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EF5C" lockStructure="1"/>
  <bookViews>
    <workbookView xWindow="1056" yWindow="1260" windowWidth="15600" windowHeight="6552" tabRatio="751" activeTab="1"/>
  </bookViews>
  <sheets>
    <sheet name="School Formula Budget 2016-17" sheetId="39" r:id="rId1"/>
    <sheet name="Special Schools &amp; PRU" sheetId="34" r:id="rId2"/>
    <sheet name="Summary for Prints" sheetId="32" state="veryHidden" r:id="rId3"/>
    <sheet name="2016-17 Nursery Budget Final" sheetId="46" state="veryHidden" r:id="rId4"/>
    <sheet name="Special Schools 2015-16" sheetId="43" state="veryHidden" r:id="rId5"/>
    <sheet name="School &amp; Nursery Setting Lookup" sheetId="35" state="veryHidden" r:id="rId6"/>
    <sheet name="Special Schools List" sheetId="38" state="veryHidden" r:id="rId7"/>
    <sheet name="ERS 2015-16" sheetId="45" state="veryHidden" r:id="rId8"/>
    <sheet name="2015-16 FORMULA" sheetId="64" state="veryHidden" r:id="rId9"/>
    <sheet name="2015 Factor % to units" sheetId="66" state="veryHidden" r:id="rId10"/>
    <sheet name="IMS after cleansed by EFA" sheetId="65" state="veryHidden" r:id="rId11"/>
    <sheet name="AWPU" sheetId="67" state="veryHidden" r:id="rId12"/>
    <sheet name="DEP" sheetId="68" state="veryHidden" r:id="rId13"/>
    <sheet name="LAC" sheetId="69" state="veryHidden" r:id="rId14"/>
    <sheet name="LCHI" sheetId="70" state="veryHidden" r:id="rId15"/>
    <sheet name="EAL" sheetId="71" state="veryHidden" r:id="rId16"/>
    <sheet name="MOB" sheetId="72" state="veryHidden" r:id="rId17"/>
    <sheet name="LUMP SUM" sheetId="73" state="veryHidden" r:id="rId18"/>
    <sheet name="SPLIT SITE" sheetId="74" state="veryHidden" r:id="rId19"/>
    <sheet name="PFI" sheetId="75" state="veryHidden" r:id="rId20"/>
    <sheet name="RATES" sheetId="76" state="veryHidden" r:id="rId21"/>
    <sheet name="2015-16 MFG" sheetId="77" state="veryHidden" r:id="rId22"/>
    <sheet name="Notional SEN" sheetId="79" state="veryHidden" r:id="rId23"/>
    <sheet name="DE-DEL" sheetId="78" state="veryHidden" r:id="rId24"/>
  </sheets>
  <externalReferences>
    <externalReference r:id="rId25"/>
    <externalReference r:id="rId26"/>
    <externalReference r:id="rId27"/>
    <externalReference r:id="rId28"/>
  </externalReferences>
  <definedNames>
    <definedName name="___cmn14" localSheetId="3">#REF!</definedName>
    <definedName name="___cmn14" localSheetId="10">#REF!</definedName>
    <definedName name="___cmn14" localSheetId="0">#REF!</definedName>
    <definedName name="___cmn14" localSheetId="2">#REF!</definedName>
    <definedName name="___cmn14">#REF!</definedName>
    <definedName name="__cmn14" localSheetId="9">#REF!</definedName>
    <definedName name="__cmn14" localSheetId="3">#REF!</definedName>
    <definedName name="__cmn14" localSheetId="10">#REF!</definedName>
    <definedName name="__cmn14" localSheetId="5">#REF!</definedName>
    <definedName name="__cmn14" localSheetId="0">#REF!</definedName>
    <definedName name="__cmn14" localSheetId="1">#REF!</definedName>
    <definedName name="__cmn14" localSheetId="6">#REF!</definedName>
    <definedName name="__cmn14" localSheetId="2">#REF!</definedName>
    <definedName name="__cmn14">#REF!</definedName>
    <definedName name="_cmn14" localSheetId="9">#REF!</definedName>
    <definedName name="_cmn14" localSheetId="3">#REF!</definedName>
    <definedName name="_cmn14" localSheetId="10">#REF!</definedName>
    <definedName name="_cmn14" localSheetId="5">#REF!</definedName>
    <definedName name="_cmn14" localSheetId="0">#REF!</definedName>
    <definedName name="_cmn14" localSheetId="1">#REF!</definedName>
    <definedName name="_cmn14" localSheetId="6">#REF!</definedName>
    <definedName name="_cmn14" localSheetId="2">#REF!</definedName>
    <definedName name="_cmn14">#REF!</definedName>
    <definedName name="_xlnm._FilterDatabase" localSheetId="3" hidden="1">'2016-17 Nursery Budget Final'!$A$1:$AW$57</definedName>
    <definedName name="_xlnm._FilterDatabase" localSheetId="5" hidden="1">'School &amp; Nursery Setting Lookup'!$A$1:$O$274</definedName>
    <definedName name="_xlnm._FilterDatabase" localSheetId="0" hidden="1">'School Formula Budget 2016-17'!#REF!</definedName>
    <definedName name="_xlnm._FilterDatabase" localSheetId="1" hidden="1">'Special Schools &amp; PRU'!#REF!</definedName>
    <definedName name="Adjustments_To_1314_SBS">'[1]Local Factors'!$Z$5</definedName>
    <definedName name="AWPU_KS3_Rate">[1]Proforma!$E$12</definedName>
    <definedName name="AWPU_KS4_Rate">[1]Proforma!$E$13</definedName>
    <definedName name="AWPU_Pri_Rate">[1]Proforma!$E$11</definedName>
    <definedName name="AWPU_Primary_DD_rate">'[1]De Delegation'!$V$8</definedName>
    <definedName name="AWPU_Sec_DD_rate">'[1]De Delegation'!$W$9</definedName>
    <definedName name="BUDSHEET" localSheetId="9">#REF!</definedName>
    <definedName name="BUDSHEET" localSheetId="3">#REF!</definedName>
    <definedName name="BUDSHEET" localSheetId="10">#REF!</definedName>
    <definedName name="BUDSHEET" localSheetId="5">#REF!</definedName>
    <definedName name="BUDSHEET" localSheetId="0">#REF!</definedName>
    <definedName name="BUDSHEET" localSheetId="1">#REF!</definedName>
    <definedName name="BUDSHEET" localSheetId="6">#REF!</definedName>
    <definedName name="BUDSHEET" localSheetId="2">#REF!</definedName>
    <definedName name="BUDSHEET">#REF!</definedName>
    <definedName name="Capping_Scaling_YesNo">[1]Proforma!$J$57</definedName>
    <definedName name="Ceiling">[1]Proforma!$D$58</definedName>
    <definedName name="datarows" localSheetId="9">[2]SchoolTable!#REF!</definedName>
    <definedName name="datarows" localSheetId="3">[2]SchoolTable!#REF!</definedName>
    <definedName name="datarows" localSheetId="10">[2]SchoolTable!#REF!</definedName>
    <definedName name="datarows" localSheetId="5">[2]SchoolTable!#REF!</definedName>
    <definedName name="datarows" localSheetId="0">[2]SchoolTable!#REF!</definedName>
    <definedName name="datarows" localSheetId="1">[2]SchoolTable!#REF!</definedName>
    <definedName name="datarows" localSheetId="6">[2]SchoolTable!#REF!</definedName>
    <definedName name="datarows" localSheetId="2">[2]SchoolTable!#REF!</definedName>
    <definedName name="datarows">[2]SchoolTable!#REF!</definedName>
    <definedName name="EAL_Pri">[1]Proforma!$E$27</definedName>
    <definedName name="EAL_Pri_DD_rate">'[1]De Delegation'!$V$21</definedName>
    <definedName name="EAL_Pri_Option">[1]Proforma!$D$27</definedName>
    <definedName name="EAL_Sec">[1]Proforma!$F$28</definedName>
    <definedName name="EAL_Sec_DD_rate">'[1]De Delegation'!$W$22</definedName>
    <definedName name="EAL_Sec_Option">[1]Proforma!$D$28</definedName>
    <definedName name="END" localSheetId="9">#REF!</definedName>
    <definedName name="END" localSheetId="3">#REF!</definedName>
    <definedName name="END" localSheetId="10">#REF!</definedName>
    <definedName name="END" localSheetId="5">#REF!</definedName>
    <definedName name="END" localSheetId="0">#REF!</definedName>
    <definedName name="END" localSheetId="1">#REF!</definedName>
    <definedName name="END" localSheetId="6">#REF!</definedName>
    <definedName name="END" localSheetId="2">#REF!</definedName>
    <definedName name="END">#REF!</definedName>
    <definedName name="enddfes" localSheetId="9">#REF!</definedName>
    <definedName name="enddfes" localSheetId="3">#REF!</definedName>
    <definedName name="enddfes" localSheetId="10">#REF!</definedName>
    <definedName name="enddfes" localSheetId="5">#REF!</definedName>
    <definedName name="enddfes" localSheetId="0">#REF!</definedName>
    <definedName name="enddfes" localSheetId="1">#REF!</definedName>
    <definedName name="enddfes" localSheetId="6">#REF!</definedName>
    <definedName name="enddfes" localSheetId="2">#REF!</definedName>
    <definedName name="enddfes">#REF!</definedName>
    <definedName name="Ethnicity___all_pupils" localSheetId="3">#REF!</definedName>
    <definedName name="Ethnicity___all_pupils" localSheetId="10">#REF!</definedName>
    <definedName name="Ethnicity___all_pupils" localSheetId="0">#REF!</definedName>
    <definedName name="Ethnicity___all_pupils" localSheetId="2">#REF!</definedName>
    <definedName name="Ethnicity___all_pupils">#REF!</definedName>
    <definedName name="Exc_Cir1_Total">'[1]New ISB'!$AJ$5</definedName>
    <definedName name="Exc_Cir2_Total">'[1]New ISB'!$AK$5</definedName>
    <definedName name="Exc_Cir3_Total">'[1]New ISB'!$AL$5</definedName>
    <definedName name="Exc_Cir4_Total">'[1]New ISB'!$AM$5</definedName>
    <definedName name="Exc_Cir5_Total">'[1]New ISB'!$AN$5</definedName>
    <definedName name="Exc_Cir6_Total">'[1]New ISB'!$AO$5</definedName>
    <definedName name="ExpYr1Chart" localSheetId="9">#REF!</definedName>
    <definedName name="ExpYr1Chart" localSheetId="3">#REF!</definedName>
    <definedName name="ExpYr1Chart" localSheetId="10">#REF!</definedName>
    <definedName name="ExpYr1Chart" localSheetId="5">#REF!</definedName>
    <definedName name="ExpYr1Chart" localSheetId="0">#REF!</definedName>
    <definedName name="ExpYr1Chart" localSheetId="1">#REF!</definedName>
    <definedName name="ExpYr1Chart" localSheetId="6">#REF!</definedName>
    <definedName name="ExpYr1Chart" localSheetId="2">#REF!</definedName>
    <definedName name="ExpYr1Chart">#REF!</definedName>
    <definedName name="ExpYr2Chart" localSheetId="9">#REF!</definedName>
    <definedName name="ExpYr2Chart" localSheetId="3">#REF!</definedName>
    <definedName name="ExpYr2Chart" localSheetId="10">#REF!</definedName>
    <definedName name="ExpYr2Chart" localSheetId="5">#REF!</definedName>
    <definedName name="ExpYr2Chart" localSheetId="0">#REF!</definedName>
    <definedName name="ExpYr2Chart" localSheetId="1">#REF!</definedName>
    <definedName name="ExpYr2Chart" localSheetId="6">#REF!</definedName>
    <definedName name="ExpYr2Chart" localSheetId="2">#REF!</definedName>
    <definedName name="ExpYr2Chart">#REF!</definedName>
    <definedName name="ExpYr3Chart" localSheetId="9">#REF!</definedName>
    <definedName name="ExpYr3Chart" localSheetId="3">#REF!</definedName>
    <definedName name="ExpYr3Chart" localSheetId="10">#REF!</definedName>
    <definedName name="ExpYr3Chart" localSheetId="5">#REF!</definedName>
    <definedName name="ExpYr3Chart" localSheetId="0">#REF!</definedName>
    <definedName name="ExpYr3Chart" localSheetId="1">#REF!</definedName>
    <definedName name="ExpYr3Chart" localSheetId="6">#REF!</definedName>
    <definedName name="ExpYr3Chart" localSheetId="2">#REF!</definedName>
    <definedName name="ExpYr3Chart">#REF!</definedName>
    <definedName name="Fringe_Total">'[1]New ISB'!$AE$5</definedName>
    <definedName name="FSM_eligibility___all_pupils" localSheetId="3">#REF!</definedName>
    <definedName name="FSM_eligibility___all_pupils" localSheetId="10">#REF!</definedName>
    <definedName name="FSM_eligibility___all_pupils" localSheetId="0">#REF!</definedName>
    <definedName name="FSM_eligibility___all_pupils" localSheetId="2">#REF!</definedName>
    <definedName name="FSM_eligibility___all_pupils">#REF!</definedName>
    <definedName name="FSM_Pri_DD_rate">'[1]De Delegation'!$V$10</definedName>
    <definedName name="FSM_Pri_Option">[1]Proforma!$D$15</definedName>
    <definedName name="FSM_Pri_Rate">[1]Proforma!$E$15</definedName>
    <definedName name="FSM_Sec_DD_rate">'[1]De Delegation'!$W$11</definedName>
    <definedName name="FSM_Sec_Option">[1]Proforma!$D$16</definedName>
    <definedName name="FSM_Sec_Rate">[1]Proforma!$F$16</definedName>
    <definedName name="IDACI_B1_Pri">[1]Proforma!$E$17</definedName>
    <definedName name="IDACI_B1_Pri_DD_rate">'[1]De Delegation'!$V$12</definedName>
    <definedName name="IDACI_B1_Sec">[1]Proforma!$F$17</definedName>
    <definedName name="IDACI_B1_Sec_DD_rate">'[1]De Delegation'!$W$12</definedName>
    <definedName name="IDACI_B2_Pri">[1]Proforma!$E$18</definedName>
    <definedName name="IDACI_B2_Pri_DD_rate">'[1]De Delegation'!$V$13</definedName>
    <definedName name="IDACI_B2_Sec">[1]Proforma!$F$18</definedName>
    <definedName name="IDACI_B2_Sec_DD_rate">'[1]De Delegation'!$W$13</definedName>
    <definedName name="IDACI_B3_Pri">[1]Proforma!$E$19</definedName>
    <definedName name="IDACI_B3_Pri_DD_rate">'[1]De Delegation'!$V$14</definedName>
    <definedName name="IDACI_B3_Sec">[1]Proforma!$F$19</definedName>
    <definedName name="IDACI_B3_Sec_DD_rate">'[1]De Delegation'!$W$14</definedName>
    <definedName name="IDACI_B4_Pri">[1]Proforma!$E$20</definedName>
    <definedName name="IDACI_B4_Pri_DD_rate">'[1]De Delegation'!$V$15</definedName>
    <definedName name="IDACI_B4_Sec">[1]Proforma!$F$20</definedName>
    <definedName name="IDACI_B4_Sec_DD_rate">'[1]De Delegation'!$W$15</definedName>
    <definedName name="IDACI_B5_Pri">[1]Proforma!$E$21</definedName>
    <definedName name="IDACI_B5_Pri_DD_rate">'[1]De Delegation'!$V$16</definedName>
    <definedName name="IDACI_B5_Sec">[1]Proforma!$F$21</definedName>
    <definedName name="IDACI_B5_Sec_DD_rate">'[1]De Delegation'!$W$16</definedName>
    <definedName name="IDACI_B6_Pri">[1]Proforma!$E$22</definedName>
    <definedName name="IDACI_B6_Pri_DD_rate">'[1]De Delegation'!$V$17</definedName>
    <definedName name="IDACI_B6_Sec">[1]Proforma!$F$22</definedName>
    <definedName name="IDACI_B6_Sec_DD_rate">'[1]De Delegation'!$W$17</definedName>
    <definedName name="j" localSheetId="9">[2]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3">[2]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10">[2]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5">[2]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0">[2]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1">[2]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6">[2]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2">[2]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LAC_Pri_DD_rate">'[1]De Delegation'!$V$18</definedName>
    <definedName name="LAC_Rate">[1]Proforma!$E$24</definedName>
    <definedName name="LAC_Sec_DD_rate">'[1]De Delegation'!$W$18</definedName>
    <definedName name="Language___all_pupils" localSheetId="3">#REF!</definedName>
    <definedName name="Language___all_pupils" localSheetId="10">#REF!</definedName>
    <definedName name="Language___all_pupils" localSheetId="0">#REF!</definedName>
    <definedName name="Language___all_pupils" localSheetId="2">#REF!</definedName>
    <definedName name="Language___all_pupils">#REF!</definedName>
    <definedName name="LCHI_Pri">[1]Proforma!$E$25</definedName>
    <definedName name="LCHI_Pri_DD_rate">'[1]De Delegation'!$V$19</definedName>
    <definedName name="LCHI_Pri_Option">[1]Proforma!$D$25</definedName>
    <definedName name="LCHI_Sec">[1]Proforma!$F$26</definedName>
    <definedName name="LCHI_Sec_DD_rate">'[1]De Delegation'!$W$20</definedName>
    <definedName name="Lump_sum_Pri_DD_rate">'[1]De Delegation'!$V$24</definedName>
    <definedName name="Lump_sum_Sec_DD_rate">'[1]De Delegation'!$W$24</definedName>
    <definedName name="Lump_Sum_total">'[1]New ISB'!$AC$5</definedName>
    <definedName name="MFG_Total">'[1]New ISB'!$BB$5</definedName>
    <definedName name="Mobility_Pri">[1]Proforma!$E$29</definedName>
    <definedName name="Mobility_Pri_DD_Rate">'[1]De Delegation'!$V$23</definedName>
    <definedName name="Mobility_Sec">[1]Proforma!$F$29</definedName>
    <definedName name="Mobility_Sec_DD_Rate">'[1]De Delegation'!$W$23</definedName>
    <definedName name="new" localSheetId="3">#REF!</definedName>
    <definedName name="new" localSheetId="10">#REF!</definedName>
    <definedName name="new" localSheetId="0">#REF!</definedName>
    <definedName name="new" localSheetId="2">#REF!</definedName>
    <definedName name="new">#REF!</definedName>
    <definedName name="NFPPRIMGM" localSheetId="9">#REF!</definedName>
    <definedName name="NFPPRIMGM" localSheetId="3">#REF!</definedName>
    <definedName name="NFPPRIMGM" localSheetId="10">#REF!</definedName>
    <definedName name="NFPPRIMGM" localSheetId="5">#REF!</definedName>
    <definedName name="NFPPRIMGM" localSheetId="0">#REF!</definedName>
    <definedName name="NFPPRIMGM" localSheetId="1">#REF!</definedName>
    <definedName name="NFPPRIMGM" localSheetId="6">#REF!</definedName>
    <definedName name="NFPPRIMGM" localSheetId="2">#REF!</definedName>
    <definedName name="NFPPRIMGM">#REF!</definedName>
    <definedName name="NFPPRIMLEA" localSheetId="9">#REF!</definedName>
    <definedName name="NFPPRIMLEA" localSheetId="3">#REF!</definedName>
    <definedName name="NFPPRIMLEA" localSheetId="10">#REF!</definedName>
    <definedName name="NFPPRIMLEA" localSheetId="5">#REF!</definedName>
    <definedName name="NFPPRIMLEA" localSheetId="0">#REF!</definedName>
    <definedName name="NFPPRIMLEA" localSheetId="1">#REF!</definedName>
    <definedName name="NFPPRIMLEA" localSheetId="6">#REF!</definedName>
    <definedName name="NFPPRIMLEA" localSheetId="2">#REF!</definedName>
    <definedName name="NFPPRIMLEA">#REF!</definedName>
    <definedName name="non_prim">[2]SchoolTable!$A$21:$IV$33,[2]SchoolTable!$A$113:$IV$142</definedName>
    <definedName name="non_sec">[2]SchoolTable!$A$21:$IV$112,[2]SchoolTable!$A$129:$IV$140</definedName>
    <definedName name="non_spe">[2]SchoolTable!$A$21:$IV$128,[2]SchoolTable!$A$140:$IV$141</definedName>
    <definedName name="NonTable2_1" localSheetId="9">[2]SchoolTable!#REF!</definedName>
    <definedName name="NonTable2_1" localSheetId="3">[2]SchoolTable!#REF!</definedName>
    <definedName name="NonTable2_1" localSheetId="10">[2]SchoolTable!#REF!</definedName>
    <definedName name="NonTable2_1" localSheetId="5">[2]SchoolTable!#REF!</definedName>
    <definedName name="NonTable2_1" localSheetId="0">[2]SchoolTable!#REF!</definedName>
    <definedName name="NonTable2_1" localSheetId="1">[2]SchoolTable!#REF!</definedName>
    <definedName name="NonTable2_1" localSheetId="6">[2]SchoolTable!#REF!</definedName>
    <definedName name="NonTable2_1" localSheetId="2">[2]SchoolTable!#REF!</definedName>
    <definedName name="NonTable2_1">[2]SchoolTable!#REF!</definedName>
    <definedName name="NonTable2_2" localSheetId="9">[2]SchoolTable!#REF!</definedName>
    <definedName name="NonTable2_2" localSheetId="3">[2]SchoolTable!#REF!</definedName>
    <definedName name="NonTable2_2" localSheetId="10">[2]SchoolTable!#REF!</definedName>
    <definedName name="NonTable2_2" localSheetId="0">[2]SchoolTable!#REF!</definedName>
    <definedName name="NonTable2_2" localSheetId="1">[2]SchoolTable!#REF!</definedName>
    <definedName name="NonTable2_2" localSheetId="2">[2]SchoolTable!#REF!</definedName>
    <definedName name="NonTable2_2">[2]SchoolTable!#REF!</definedName>
    <definedName name="NonTable2_4" localSheetId="9">[2]SchoolTable!#REF!</definedName>
    <definedName name="NonTable2_4" localSheetId="3">[2]SchoolTable!#REF!</definedName>
    <definedName name="NonTable2_4" localSheetId="10">[2]SchoolTable!#REF!</definedName>
    <definedName name="NonTable2_4" localSheetId="0">[2]SchoolTable!#REF!</definedName>
    <definedName name="NonTable2_4" localSheetId="1">[2]SchoolTable!#REF!</definedName>
    <definedName name="NonTable2_4" localSheetId="2">[2]SchoolTable!#REF!</definedName>
    <definedName name="NonTable2_4">[2]SchoolTable!#REF!</definedName>
    <definedName name="Notional_SEN_AWPU_KS3">[1]Proforma!$L$12</definedName>
    <definedName name="Notional_SEN_AWPU_KS4">[1]Proforma!$L$13</definedName>
    <definedName name="Notional_SEN_AWPU_Pri">[1]Proforma!$L$11</definedName>
    <definedName name="Notional_SEN_EAL_Pri">[1]Proforma!$L$27</definedName>
    <definedName name="Notional_SEN_EAL_Sec">[1]Proforma!$M$28</definedName>
    <definedName name="Notional_SEN_ExCir1">[1]Proforma!$L$47</definedName>
    <definedName name="Notional_SEN_ExCir2">[1]Proforma!$L$48</definedName>
    <definedName name="Notional_SEN_ExCir3">[1]Proforma!$L$49</definedName>
    <definedName name="Notional_SEN_ExCir4">[1]Proforma!$L$50</definedName>
    <definedName name="Notional_SEN_ExCir5">[1]Proforma!$L$51</definedName>
    <definedName name="Notional_SEN_ExCir6">[1]Proforma!$L$52</definedName>
    <definedName name="Notional_SEN_Fringe">[1]Proforma!$L$40</definedName>
    <definedName name="Notional_SEN_FSM_Pri">[1]Proforma!$L$15</definedName>
    <definedName name="Notional_SEN_FSM_Sec">[1]Proforma!$M$16</definedName>
    <definedName name="Notional_SEN_IDACI_B1_Pri">[1]Proforma!$L$17</definedName>
    <definedName name="Notional_SEN_IDACI_B1_Sec">[1]Proforma!$M$17</definedName>
    <definedName name="Notional_SEN_IDACI_B2_Pri">[1]Proforma!$L$18</definedName>
    <definedName name="Notional_SEN_IDACI_B2_Sec">[1]Proforma!$M$18</definedName>
    <definedName name="Notional_SEN_IDACI_B3_Pri">[1]Proforma!$L$19</definedName>
    <definedName name="Notional_SEN_IDACI_B3_Sec">[1]Proforma!$M$19</definedName>
    <definedName name="Notional_SEN_IDACI_B4_Pri">[1]Proforma!$L$20</definedName>
    <definedName name="Notional_SEN_IDACI_B4_Sec">[1]Proforma!$M$20</definedName>
    <definedName name="Notional_SEN_IDACI_B5_Pri">[1]Proforma!$L$21</definedName>
    <definedName name="Notional_SEN_IDACI_B5_Sec">[1]Proforma!$M$21</definedName>
    <definedName name="Notional_SEN_IDACI_B6_Pri">[1]Proforma!$L$22</definedName>
    <definedName name="Notional_SEN_IDACI_B6_Sec">[1]Proforma!$M$22</definedName>
    <definedName name="Notional_SEN_LAC">[1]Proforma!$L$24</definedName>
    <definedName name="Notional_SEN_LCHI_Pri">[1]Proforma!$L$25</definedName>
    <definedName name="Notional_SEN_LCHI_Sec">[1]Proforma!$M$26</definedName>
    <definedName name="Notional_SEN_Lump_sum">[1]Proforma!$L$35</definedName>
    <definedName name="Notional_SEN_Mobility_Pri">[1]Proforma!$L$29</definedName>
    <definedName name="Notional_SEN_Mobility_Sec">[1]Proforma!$M$29</definedName>
    <definedName name="Notional_SEN_PFI">[1]Proforma!$L$43</definedName>
    <definedName name="Notional_SEN_Rates">[1]Proforma!$L$42</definedName>
    <definedName name="Notional_SEN_SixthForm">[1]Proforma!$L$44</definedName>
    <definedName name="Notional_SEN_Sparsity">[1]Proforma!$L$36</definedName>
    <definedName name="Notional_SEN_Split_sites">[1]Proforma!$L$41</definedName>
    <definedName name="nursery">[2]SchoolTable!$A$1:$T$65536,[2]SchoolTable!$BR$1:$CE$65536,[2]SchoolTable!$EP$1:$EP$65536,[2]SchoolTable!$EQ$1:$EQ$65536,[2]SchoolTable!$ER$1:$ER$65536,[2]SchoolTable!$ET$1:$ET$65536,[2]SchoolTable!$EU$1:$EU$65536,[2]SchoolTable!$EV$1:$EV$65536,[2]SchoolTable!$EX$1:$EX$65536,[2]SchoolTable!$EY$1:$EY$65536,[2]SchoolTable!$EZ$1:$EZ$65536</definedName>
    <definedName name="old" localSheetId="3">#REF!</definedName>
    <definedName name="old" localSheetId="10">#REF!</definedName>
    <definedName name="old" localSheetId="0">#REF!</definedName>
    <definedName name="old" localSheetId="2">#REF!</definedName>
    <definedName name="old">#REF!</definedName>
    <definedName name="PayScales" localSheetId="9">#REF!</definedName>
    <definedName name="PayScales" localSheetId="3">#REF!</definedName>
    <definedName name="PayScales" localSheetId="10">#REF!</definedName>
    <definedName name="PayScales" localSheetId="5">#REF!</definedName>
    <definedName name="PayScales" localSheetId="0">#REF!</definedName>
    <definedName name="PayScales" localSheetId="1">#REF!</definedName>
    <definedName name="PayScales" localSheetId="6">#REF!</definedName>
    <definedName name="PayScales" localSheetId="2">#REF!</definedName>
    <definedName name="PayScales">#REF!</definedName>
    <definedName name="PFI_Total">'[1]New ISB'!$AH$5</definedName>
    <definedName name="PhaseTot">[2]SchoolTable!$L$1:$L$65536,[2]SchoolTable!$AK$1:$AK$65536,[2]SchoolTable!$BC$1:$BC$65536,[2]SchoolTable!$BP$1:$BP$65536</definedName>
    <definedName name="PoolPremiumNonTeaching" localSheetId="9">'[3]Admin EDB09-EDB18'!#REF!</definedName>
    <definedName name="PoolPremiumNonTeaching" localSheetId="3">'[3]Admin EDB09-EDB18'!#REF!</definedName>
    <definedName name="PoolPremiumNonTeaching" localSheetId="10">'[3]Admin EDB09-EDB18'!#REF!</definedName>
    <definedName name="PoolPremiumNonTeaching" localSheetId="0">'[3]Admin EDB09-EDB18'!#REF!</definedName>
    <definedName name="PoolPremiumNonTeaching" localSheetId="1">'[3]Admin EDB09-EDB18'!#REF!</definedName>
    <definedName name="PoolPremiumNonTeaching" localSheetId="2">'[3]Admin EDB09-EDB18'!#REF!</definedName>
    <definedName name="PoolPremiumNonTeaching">'[3]Admin EDB09-EDB18'!#REF!</definedName>
    <definedName name="Pri_distance_threshold">[1]Proforma!$D$38</definedName>
    <definedName name="Pri_PupilNo_threshold">[1]Proforma!$D$39</definedName>
    <definedName name="primary">[2]SchoolTable!$A$1:$AL$65536,[2]SchoolTable!$BR$1:$CM$65536,[2]SchoolTable!$CQ$1:$CR$65536,[2]SchoolTable!$CQ$1:$ER$65536,[2]SchoolTable!$ET$1:$EZ$65536</definedName>
    <definedName name="Primary_Lump_sum">[1]Proforma!$E$35</definedName>
    <definedName name="_xlnm.Print_Area" localSheetId="9">'2015 Factor % to units'!$A$2:$BH$85</definedName>
    <definedName name="_xlnm.Print_Area" localSheetId="8">'2015-16 FORMULA'!$A$1:$Z$130</definedName>
    <definedName name="_xlnm.Print_Area" localSheetId="3">'2016-17 Nursery Budget Final'!$A$60:$AW$213</definedName>
    <definedName name="_xlnm.Print_Area" localSheetId="10">'IMS after cleansed by EFA'!$B$1:$AN$121</definedName>
    <definedName name="_xlnm.Print_Area" localSheetId="20">RATES!$A$1:$O$123</definedName>
    <definedName name="_xlnm.Print_Area" localSheetId="0">'School Formula Budget 2016-17'!$B$1:$J$151</definedName>
    <definedName name="_xlnm.Print_Area" localSheetId="1">'Special Schools &amp; PRU'!$A$1:$D$28</definedName>
    <definedName name="_xlnm.Print_Area" localSheetId="2">'Summary for Prints'!$A$1:$AK$142</definedName>
    <definedName name="_xlnm.Print_Titles" localSheetId="9">'2015 Factor % to units'!$A:$B,'2015 Factor % to units'!$2:$2</definedName>
    <definedName name="_xlnm.Print_Titles" localSheetId="8">'2015-16 FORMULA'!$A:$B,'2015-16 FORMULA'!$1:$1</definedName>
    <definedName name="_xlnm.Print_Titles" localSheetId="3">'2016-17 Nursery Budget Final'!$A:$C,'2016-17 Nursery Budget Final'!$5:$5</definedName>
    <definedName name="_xlnm.Print_Titles" localSheetId="7">'ERS 2015-16'!$A:$A</definedName>
    <definedName name="_xlnm.Print_Titles" localSheetId="10">'IMS after cleansed by EFA'!$1:$2</definedName>
    <definedName name="_xlnm.Print_Titles" localSheetId="20">RATES!$6:$6</definedName>
    <definedName name="_xlnm.Print_Titles" localSheetId="2">'Summary for Prints'!$A:$B,'Summary for Prints'!$1:$1</definedName>
    <definedName name="PupilNumberChart" localSheetId="9">#REF!</definedName>
    <definedName name="PupilNumberChart" localSheetId="3">#REF!</definedName>
    <definedName name="PupilNumberChart" localSheetId="10">#REF!</definedName>
    <definedName name="PupilNumberChart" localSheetId="5">#REF!</definedName>
    <definedName name="PupilNumberChart" localSheetId="0">#REF!</definedName>
    <definedName name="PupilNumberChart" localSheetId="1">#REF!</definedName>
    <definedName name="PupilNumberChart" localSheetId="6">#REF!</definedName>
    <definedName name="PupilNumberChart" localSheetId="2">#REF!</definedName>
    <definedName name="PupilNumberChart">#REF!</definedName>
    <definedName name="PupilOnRoll" localSheetId="9">#REF!</definedName>
    <definedName name="PupilOnRoll" localSheetId="3">#REF!</definedName>
    <definedName name="PupilOnRoll" localSheetId="10">#REF!</definedName>
    <definedName name="PupilOnRoll" localSheetId="5">#REF!</definedName>
    <definedName name="PupilOnRoll" localSheetId="0">#REF!</definedName>
    <definedName name="PupilOnRoll" localSheetId="1">#REF!</definedName>
    <definedName name="PupilOnRoll" localSheetId="6">#REF!</definedName>
    <definedName name="PupilOnRoll" localSheetId="2">#REF!</definedName>
    <definedName name="PupilOnRoll">#REF!</definedName>
    <definedName name="Pupils_on_Roll__C___M_only__Crosstab" localSheetId="9">#REF!</definedName>
    <definedName name="Pupils_on_Roll__C___M_only__Crosstab" localSheetId="3">#REF!</definedName>
    <definedName name="Pupils_on_Roll__C___M_only__Crosstab" localSheetId="10">#REF!</definedName>
    <definedName name="Pupils_on_Roll__C___M_only__Crosstab" localSheetId="5">#REF!</definedName>
    <definedName name="Pupils_on_Roll__C___M_only__Crosstab" localSheetId="0">#REF!</definedName>
    <definedName name="Pupils_on_Roll__C___M_only__Crosstab" localSheetId="1">#REF!</definedName>
    <definedName name="Pupils_on_Roll__C___M_only__Crosstab" localSheetId="6">#REF!</definedName>
    <definedName name="Pupils_on_Roll__C___M_only__Crosstab" localSheetId="2">#REF!</definedName>
    <definedName name="Pupils_on_Roll__C___M_only__Crosstab">#REF!</definedName>
    <definedName name="Rates_Total">'[1]New ISB'!$AG$5</definedName>
    <definedName name="Reasons_list">'[1]Input &amp; Adjustments'!$BQ$6:$BQ$13</definedName>
    <definedName name="Reception_Uplift_YesNo">[1]Proforma!$E$9</definedName>
    <definedName name="Scaling_Factor">[1]Proforma!$G$58</definedName>
    <definedName name="Sch_type">[4]Rates!$A$4:$A$8</definedName>
    <definedName name="School" localSheetId="9">#REF!</definedName>
    <definedName name="School" localSheetId="3">#REF!</definedName>
    <definedName name="School" localSheetId="10">#REF!</definedName>
    <definedName name="School" localSheetId="5">#REF!</definedName>
    <definedName name="School" localSheetId="0">#REF!</definedName>
    <definedName name="School" localSheetId="1">#REF!</definedName>
    <definedName name="School" localSheetId="6">#REF!</definedName>
    <definedName name="School" localSheetId="2">#REF!</definedName>
    <definedName name="School">#REF!</definedName>
    <definedName name="School_list">'[1]New ISB'!$C$6:$C$250</definedName>
    <definedName name="Sec_distance_threshold">[1]Proforma!$G$38</definedName>
    <definedName name="Sec_PupilNo_threshold">[1]Proforma!$G$39</definedName>
    <definedName name="secondary">[2]SchoolTable!$A$1:$T$65536,[2]SchoolTable!$AM$1:$BD$65536,[2]SchoolTable!$BR$1:$EZ$65536</definedName>
    <definedName name="Secondary_Lump_Sum">[1]Proforma!$G$35</definedName>
    <definedName name="Sixth_Form_Total">'[1]New ISB'!$AI$5</definedName>
    <definedName name="smrow" localSheetId="9">[2]SchoolTable!#REF!</definedName>
    <definedName name="smrow" localSheetId="3">[2]SchoolTable!#REF!</definedName>
    <definedName name="smrow" localSheetId="10">[2]SchoolTable!#REF!</definedName>
    <definedName name="smrow" localSheetId="5">[2]SchoolTable!#REF!</definedName>
    <definedName name="smrow" localSheetId="0">[2]SchoolTable!#REF!</definedName>
    <definedName name="smrow" localSheetId="1">[2]SchoolTable!#REF!</definedName>
    <definedName name="smrow" localSheetId="6">[2]SchoolTable!#REF!</definedName>
    <definedName name="smrow" localSheetId="2">[2]SchoolTable!#REF!</definedName>
    <definedName name="smrow">[2]SchoolTable!#REF!</definedName>
    <definedName name="Sparsity_Pri_DD_percentage">'[1]De Delegation'!$V$26</definedName>
    <definedName name="Sparsity_Pri_lump_sum">[1]Proforma!$E$36</definedName>
    <definedName name="Sparsity_Sec_DD_percentage">'[1]De Delegation'!$W$26</definedName>
    <definedName name="Sparsity_Sec_lump_sum">[1]Proforma!$G$36</definedName>
    <definedName name="Sparsity_Total">'[1]New ISB'!$AD$5</definedName>
    <definedName name="special">[2]SchoolTable!$A$1:$T$65536,[2]SchoolTable!$BE$1:$BS$65536,[2]SchoolTable!$BS$1:$BT$1,[2]SchoolTable!$BR$1:$CM$65536,[2]SchoolTable!$CQ$1:$EZ$65536</definedName>
    <definedName name="Split_Sites_Total">'[1]New ISB'!$AF$5</definedName>
    <definedName name="startdfes" localSheetId="9">#REF!</definedName>
    <definedName name="startdfes" localSheetId="3">#REF!</definedName>
    <definedName name="startdfes" localSheetId="10">#REF!</definedName>
    <definedName name="startdfes" localSheetId="5">#REF!</definedName>
    <definedName name="startdfes" localSheetId="0">#REF!</definedName>
    <definedName name="startdfes" localSheetId="1">#REF!</definedName>
    <definedName name="startdfes" localSheetId="6">#REF!</definedName>
    <definedName name="startdfes" localSheetId="2">#REF!</definedName>
    <definedName name="startdfes">#REF!</definedName>
    <definedName name="T2_Notes_Check" localSheetId="9">#REF!</definedName>
    <definedName name="T2_Notes_Check" localSheetId="3">#REF!</definedName>
    <definedName name="T2_Notes_Check" localSheetId="10">#REF!</definedName>
    <definedName name="T2_Notes_Check" localSheetId="5">#REF!</definedName>
    <definedName name="T2_Notes_Check" localSheetId="0">#REF!</definedName>
    <definedName name="T2_Notes_Check" localSheetId="1">#REF!</definedName>
    <definedName name="T2_Notes_Check" localSheetId="6">#REF!</definedName>
    <definedName name="T2_Notes_Check" localSheetId="2">#REF!</definedName>
    <definedName name="T2_Notes_Check">#REF!</definedName>
    <definedName name="Table_2" localSheetId="9">[2]SchoolTable!$CM$1:$CM$65536,[2]SchoolTable!#REF!,[2]SchoolTable!$CP$1:$CP$65536,[2]SchoolTable!$CT$1:$CT$65536,[2]SchoolTable!$CW$1:$CW$65536,[2]SchoolTable!$CZ$1:$CZ$65536,[2]SchoolTable!$DC$1:$DC$65536,[2]SchoolTable!$DI$1:$DI$65536,[2]SchoolTable!$DQ$1:$DQ$65536,[2]SchoolTable!#REF!,[2]SchoolTable!$DX$1:$DX$65536</definedName>
    <definedName name="Table_2" localSheetId="3">[2]SchoolTable!$CM$1:$CM$65536,[2]SchoolTable!#REF!,[2]SchoolTable!$CP$1:$CP$65536,[2]SchoolTable!$CT$1:$CT$65536,[2]SchoolTable!$CW$1:$CW$65536,[2]SchoolTable!$CZ$1:$CZ$65536,[2]SchoolTable!$DC$1:$DC$65536,[2]SchoolTable!$DI$1:$DI$65536,[2]SchoolTable!$DQ$1:$DQ$65536,[2]SchoolTable!#REF!,[2]SchoolTable!$DX$1:$DX$65536</definedName>
    <definedName name="Table_2" localSheetId="10">[2]SchoolTable!$CM$1:$CM$65536,[2]SchoolTable!#REF!,[2]SchoolTable!$CP$1:$CP$65536,[2]SchoolTable!$CT$1:$CT$65536,[2]SchoolTable!$CW$1:$CW$65536,[2]SchoolTable!$CZ$1:$CZ$65536,[2]SchoolTable!$DC$1:$DC$65536,[2]SchoolTable!$DI$1:$DI$65536,[2]SchoolTable!$DQ$1:$DQ$65536,[2]SchoolTable!#REF!,[2]SchoolTable!$DX$1:$DX$65536</definedName>
    <definedName name="Table_2" localSheetId="5">[2]SchoolTable!$CM$1:$CM$65536,[2]SchoolTable!#REF!,[2]SchoolTable!$CP$1:$CP$65536,[2]SchoolTable!$CT$1:$CT$65536,[2]SchoolTable!$CW$1:$CW$65536,[2]SchoolTable!$CZ$1:$CZ$65536,[2]SchoolTable!$DC$1:$DC$65536,[2]SchoolTable!$DI$1:$DI$65536,[2]SchoolTable!$DQ$1:$DQ$65536,[2]SchoolTable!#REF!,[2]SchoolTable!$DX$1:$DX$65536</definedName>
    <definedName name="Table_2" localSheetId="0">[2]SchoolTable!$CM$1:$CM$65536,[2]SchoolTable!#REF!,[2]SchoolTable!$CP$1:$CP$65536,[2]SchoolTable!$CT$1:$CT$65536,[2]SchoolTable!$CW$1:$CW$65536,[2]SchoolTable!$CZ$1:$CZ$65536,[2]SchoolTable!$DC$1:$DC$65536,[2]SchoolTable!$DI$1:$DI$65536,[2]SchoolTable!$DQ$1:$DQ$65536,[2]SchoolTable!#REF!,[2]SchoolTable!$DX$1:$DX$65536</definedName>
    <definedName name="Table_2" localSheetId="1">[2]SchoolTable!$CM$1:$CM$65536,[2]SchoolTable!#REF!,[2]SchoolTable!$CP$1:$CP$65536,[2]SchoolTable!$CT$1:$CT$65536,[2]SchoolTable!$CW$1:$CW$65536,[2]SchoolTable!$CZ$1:$CZ$65536,[2]SchoolTable!$DC$1:$DC$65536,[2]SchoolTable!$DI$1:$DI$65536,[2]SchoolTable!$DQ$1:$DQ$65536,[2]SchoolTable!#REF!,[2]SchoolTable!$DX$1:$DX$65536</definedName>
    <definedName name="Table_2" localSheetId="6">[2]SchoolTable!$CM$1:$CM$65536,[2]SchoolTable!#REF!,[2]SchoolTable!$CP$1:$CP$65536,[2]SchoolTable!$CT$1:$CT$65536,[2]SchoolTable!$CW$1:$CW$65536,[2]SchoolTable!$CZ$1:$CZ$65536,[2]SchoolTable!$DC$1:$DC$65536,[2]SchoolTable!$DI$1:$DI$65536,[2]SchoolTable!$DQ$1:$DQ$65536,[2]SchoolTable!#REF!,[2]SchoolTable!$DX$1:$DX$65536</definedName>
    <definedName name="Table_2" localSheetId="2">[2]SchoolTable!$CM$1:$CM$65536,[2]SchoolTable!#REF!,[2]SchoolTable!$CP$1:$CP$65536,[2]SchoolTable!$CT$1:$CT$65536,[2]SchoolTable!$CW$1:$CW$65536,[2]SchoolTable!$CZ$1:$CZ$65536,[2]SchoolTable!$DC$1:$DC$65536,[2]SchoolTable!$DI$1:$DI$65536,[2]SchoolTable!$DQ$1:$DQ$65536,[2]SchoolTable!#REF!,[2]SchoolTable!$DX$1:$DX$65536</definedName>
    <definedName name="Table_2">[2]SchoolTable!$CM$1:$CM$65536,[2]SchoolTable!#REF!,[2]SchoolTable!$CP$1:$CP$65536,[2]SchoolTable!$CT$1:$CT$65536,[2]SchoolTable!$CW$1:$CW$65536,[2]SchoolTable!$CZ$1:$CZ$65536,[2]SchoolTable!$DC$1:$DC$65536,[2]SchoolTable!$DI$1:$DI$65536,[2]SchoolTable!$DQ$1:$DQ$65536,[2]SchoolTable!#REF!,[2]SchoolTable!$DX$1:$DX$65536</definedName>
    <definedName name="Table2">[2]SchoolTable!$A$1:$F$65536,[2]SchoolTable!$L$1:$N$65536,[2]SchoolTable!$S$1:$T$65536,[2]SchoolTable!$AK$1:$AL$65536,[2]SchoolTable!$BC$1:$BD$65536,[2]SchoolTable!$BP$1:$BQ$65536,[2]SchoolTable!$BR$1:$BR$65536</definedName>
    <definedName name="Table2_2">[2]SchoolTable!$CE$1:$CE$65536,[2]SchoolTable!$CM$1:$CM$65536,[2]SchoolTable!$CP$1:$CP$65536,[2]SchoolTable!$CT$1:$CT$65536,[2]SchoolTable!$CW$1:$CW$65536,[2]SchoolTable!$CZ$1:$CZ$65536,[2]SchoolTable!$DC$1:$DC$65536</definedName>
    <definedName name="Table2_3">[2]SchoolTable!$DI$1:$DI$65536,[2]SchoolTable!$DQ$1:$DQ$65536,[2]SchoolTable!$DX$1:$DX$65536,[2]SchoolTable!$EB$1:$EB$65536,[2]SchoolTable!$EE$1:$EE$65536,[2]SchoolTable!$EH$1:$EH$65536,[2]SchoolTable!$EO$1:$EO$65536</definedName>
    <definedName name="Table2_5" localSheetId="9">[2]SchoolTable!$CM$1:$CM$65536,[2]SchoolTable!#REF!,[2]SchoolTable!$CP$1:$CP$65536,[2]SchoolTable!$CT$1:$CT$65536,[2]SchoolTable!$CW$1:$CW$65536,[2]SchoolTable!$CZ$1:$CZ$65536</definedName>
    <definedName name="Table2_5" localSheetId="3">[2]SchoolTable!$CM$1:$CM$65536,[2]SchoolTable!#REF!,[2]SchoolTable!$CP$1:$CP$65536,[2]SchoolTable!$CT$1:$CT$65536,[2]SchoolTable!$CW$1:$CW$65536,[2]SchoolTable!$CZ$1:$CZ$65536</definedName>
    <definedName name="Table2_5" localSheetId="10">[2]SchoolTable!$CM$1:$CM$65536,[2]SchoolTable!#REF!,[2]SchoolTable!$CP$1:$CP$65536,[2]SchoolTable!$CT$1:$CT$65536,[2]SchoolTable!$CW$1:$CW$65536,[2]SchoolTable!$CZ$1:$CZ$65536</definedName>
    <definedName name="Table2_5" localSheetId="5">[2]SchoolTable!$CM$1:$CM$65536,[2]SchoolTable!#REF!,[2]SchoolTable!$CP$1:$CP$65536,[2]SchoolTable!$CT$1:$CT$65536,[2]SchoolTable!$CW$1:$CW$65536,[2]SchoolTable!$CZ$1:$CZ$65536</definedName>
    <definedName name="Table2_5" localSheetId="0">[2]SchoolTable!$CM$1:$CM$65536,[2]SchoolTable!#REF!,[2]SchoolTable!$CP$1:$CP$65536,[2]SchoolTable!$CT$1:$CT$65536,[2]SchoolTable!$CW$1:$CW$65536,[2]SchoolTable!$CZ$1:$CZ$65536</definedName>
    <definedName name="Table2_5" localSheetId="1">[2]SchoolTable!$CM$1:$CM$65536,[2]SchoolTable!#REF!,[2]SchoolTable!$CP$1:$CP$65536,[2]SchoolTable!$CT$1:$CT$65536,[2]SchoolTable!$CW$1:$CW$65536,[2]SchoolTable!$CZ$1:$CZ$65536</definedName>
    <definedName name="Table2_5" localSheetId="6">[2]SchoolTable!$CM$1:$CM$65536,[2]SchoolTable!#REF!,[2]SchoolTable!$CP$1:$CP$65536,[2]SchoolTable!$CT$1:$CT$65536,[2]SchoolTable!$CW$1:$CW$65536,[2]SchoolTable!$CZ$1:$CZ$65536</definedName>
    <definedName name="Table2_5" localSheetId="2">[2]SchoolTable!$CM$1:$CM$65536,[2]SchoolTable!#REF!,[2]SchoolTable!$CP$1:$CP$65536,[2]SchoolTable!$CT$1:$CT$65536,[2]SchoolTable!$CW$1:$CW$65536,[2]SchoolTable!$CZ$1:$CZ$65536</definedName>
    <definedName name="Table2_5">[2]SchoolTable!$CM$1:$CM$65536,[2]SchoolTable!#REF!,[2]SchoolTable!$CP$1:$CP$65536,[2]SchoolTable!$CT$1:$CT$65536,[2]SchoolTable!$CW$1:$CW$65536,[2]SchoolTable!$CZ$1:$CZ$65536</definedName>
    <definedName name="TableName">"Dummy"</definedName>
    <definedName name="Tapered_lump_sum">[1]Proforma!$I$36</definedName>
    <definedName name="Total_Notional_SEN">'[1]New ISB'!$AS$5</definedName>
    <definedName name="Total_Primary_funding">'[1]New ISB'!$AU$5</definedName>
    <definedName name="Total_Secondary_Funding">'[1]New ISB'!$AV$5</definedName>
    <definedName name="zdata" localSheetId="9">#REF!</definedName>
    <definedName name="zdata" localSheetId="3">#REF!</definedName>
    <definedName name="zdata" localSheetId="10">#REF!</definedName>
    <definedName name="zdata" localSheetId="5">#REF!</definedName>
    <definedName name="zdata" localSheetId="0">#REF!</definedName>
    <definedName name="zdata" localSheetId="1">#REF!</definedName>
    <definedName name="zdata" localSheetId="6">#REF!</definedName>
    <definedName name="zdata" localSheetId="2">#REF!</definedName>
    <definedName name="zdata">#REF!</definedName>
  </definedNames>
  <calcPr calcId="145621"/>
</workbook>
</file>

<file path=xl/calcChain.xml><?xml version="1.0" encoding="utf-8"?>
<calcChain xmlns="http://schemas.openxmlformats.org/spreadsheetml/2006/main">
  <c r="AB78" i="32" l="1"/>
  <c r="AB79" i="32"/>
  <c r="AB80" i="32"/>
  <c r="AB81" i="32"/>
  <c r="AB82" i="32"/>
  <c r="AB83" i="32"/>
  <c r="AB84" i="32"/>
  <c r="AB85" i="32"/>
  <c r="AB86" i="32"/>
  <c r="AB87" i="32"/>
  <c r="AB88" i="32"/>
  <c r="AB89" i="32"/>
  <c r="AB90" i="32"/>
  <c r="AB91" i="32"/>
  <c r="AB77" i="32"/>
  <c r="BZ14" i="43" l="1"/>
  <c r="T85" i="32" l="1"/>
  <c r="T80" i="32"/>
  <c r="Y30" i="45"/>
  <c r="AE42" i="45"/>
  <c r="AK506" i="32"/>
  <c r="AJ506" i="32"/>
  <c r="AG151" i="32"/>
  <c r="AA154" i="32" l="1"/>
  <c r="AC154" i="32"/>
  <c r="AD154" i="32"/>
  <c r="AE154" i="32"/>
  <c r="AF154" i="32"/>
  <c r="AH154" i="32"/>
  <c r="AI154" i="32"/>
  <c r="S103" i="68" l="1"/>
  <c r="T103" i="68"/>
  <c r="U103" i="68"/>
  <c r="V103" i="68"/>
  <c r="W103" i="68"/>
  <c r="X103" i="68"/>
  <c r="Y103" i="68"/>
  <c r="Z103" i="68"/>
  <c r="AA103" i="68"/>
  <c r="AB103" i="68"/>
  <c r="AC103" i="68"/>
  <c r="AD103" i="68"/>
  <c r="AE103" i="68"/>
  <c r="R103" i="68"/>
  <c r="S100" i="68"/>
  <c r="U100" i="68"/>
  <c r="W100" i="68"/>
  <c r="Y100" i="68"/>
  <c r="AA100" i="68"/>
  <c r="AC100" i="68"/>
  <c r="AE100" i="68"/>
  <c r="AD99" i="68"/>
  <c r="AB99" i="68"/>
  <c r="Z99" i="68"/>
  <c r="X99" i="68"/>
  <c r="V99" i="68"/>
  <c r="T99" i="68"/>
  <c r="R99" i="68"/>
  <c r="T97" i="68"/>
  <c r="U97" i="68"/>
  <c r="V97" i="68"/>
  <c r="W97" i="68"/>
  <c r="X97" i="68"/>
  <c r="Y97" i="68"/>
  <c r="Z97" i="68"/>
  <c r="AA97" i="68"/>
  <c r="AB97" i="68"/>
  <c r="AC97" i="68"/>
  <c r="AD97" i="68"/>
  <c r="AE97" i="68"/>
  <c r="R97" i="68"/>
  <c r="S97" i="68"/>
  <c r="AE95" i="68"/>
  <c r="AC95" i="68"/>
  <c r="AA95" i="68"/>
  <c r="Y95" i="68"/>
  <c r="W95" i="68"/>
  <c r="U95" i="68"/>
  <c r="S95" i="68"/>
  <c r="S82" i="68"/>
  <c r="U82" i="68"/>
  <c r="W82" i="68"/>
  <c r="Y82" i="68"/>
  <c r="AA82" i="68"/>
  <c r="AC82" i="68"/>
  <c r="AE82" i="68"/>
  <c r="S83" i="68"/>
  <c r="U83" i="68"/>
  <c r="W83" i="68"/>
  <c r="Y83" i="68"/>
  <c r="AA83" i="68"/>
  <c r="AC83" i="68"/>
  <c r="AE83" i="68"/>
  <c r="S84" i="68"/>
  <c r="U84" i="68"/>
  <c r="W84" i="68"/>
  <c r="Y84" i="68"/>
  <c r="AA84" i="68"/>
  <c r="AC84" i="68"/>
  <c r="AE84" i="68"/>
  <c r="S85" i="68"/>
  <c r="U85" i="68"/>
  <c r="W85" i="68"/>
  <c r="Y85" i="68"/>
  <c r="AA85" i="68"/>
  <c r="AC85" i="68"/>
  <c r="AE85" i="68"/>
  <c r="S86" i="68"/>
  <c r="U86" i="68"/>
  <c r="W86" i="68"/>
  <c r="Y86" i="68"/>
  <c r="AA86" i="68"/>
  <c r="AC86" i="68"/>
  <c r="AE86" i="68"/>
  <c r="S87" i="68"/>
  <c r="U87" i="68"/>
  <c r="W87" i="68"/>
  <c r="Y87" i="68"/>
  <c r="AA87" i="68"/>
  <c r="AC87" i="68"/>
  <c r="AE87" i="68"/>
  <c r="S88" i="68"/>
  <c r="U88" i="68"/>
  <c r="W88" i="68"/>
  <c r="Y88" i="68"/>
  <c r="AA88" i="68"/>
  <c r="AC88" i="68"/>
  <c r="AE88" i="68"/>
  <c r="S89" i="68"/>
  <c r="U89" i="68"/>
  <c r="W89" i="68"/>
  <c r="Y89" i="68"/>
  <c r="AA89" i="68"/>
  <c r="AC89" i="68"/>
  <c r="AE89" i="68"/>
  <c r="S90" i="68"/>
  <c r="U90" i="68"/>
  <c r="W90" i="68"/>
  <c r="Y90" i="68"/>
  <c r="AA90" i="68"/>
  <c r="AC90" i="68"/>
  <c r="AE90" i="68"/>
  <c r="S91" i="68"/>
  <c r="U91" i="68"/>
  <c r="W91" i="68"/>
  <c r="Y91" i="68"/>
  <c r="AA91" i="68"/>
  <c r="AC91" i="68"/>
  <c r="AE91" i="68"/>
  <c r="S92" i="68"/>
  <c r="U92" i="68"/>
  <c r="W92" i="68"/>
  <c r="Y92" i="68"/>
  <c r="AA92" i="68"/>
  <c r="AC92" i="68"/>
  <c r="AE92" i="68"/>
  <c r="S93" i="68"/>
  <c r="U93" i="68"/>
  <c r="W93" i="68"/>
  <c r="Y93" i="68"/>
  <c r="AA93" i="68"/>
  <c r="AC93" i="68"/>
  <c r="AE93" i="68"/>
  <c r="S94" i="68"/>
  <c r="U94" i="68"/>
  <c r="W94" i="68"/>
  <c r="Y94" i="68"/>
  <c r="AA94" i="68"/>
  <c r="AC94" i="68"/>
  <c r="AE94" i="68"/>
  <c r="AE81" i="68"/>
  <c r="AC81" i="68"/>
  <c r="AA81" i="68"/>
  <c r="Y81" i="68"/>
  <c r="W81" i="68"/>
  <c r="U81" i="68"/>
  <c r="S81" i="68"/>
  <c r="S79" i="68"/>
  <c r="U79" i="68"/>
  <c r="W79" i="68"/>
  <c r="Y79" i="68"/>
  <c r="AA79" i="68"/>
  <c r="AC79" i="68"/>
  <c r="AE79" i="68"/>
  <c r="AD77" i="68"/>
  <c r="AB77" i="68"/>
  <c r="Z77" i="68"/>
  <c r="X77" i="68"/>
  <c r="V77" i="68"/>
  <c r="T77" i="68"/>
  <c r="R77" i="68"/>
  <c r="AG95" i="32"/>
  <c r="AG97" i="32" s="1"/>
  <c r="AI97" i="32"/>
  <c r="AH97" i="32"/>
  <c r="AG90" i="32"/>
  <c r="AG91" i="32"/>
  <c r="AG78" i="32"/>
  <c r="AG79" i="32"/>
  <c r="AG80" i="32"/>
  <c r="AG81" i="32"/>
  <c r="AG82" i="32"/>
  <c r="AG83" i="32"/>
  <c r="AG84" i="32"/>
  <c r="AG85" i="32"/>
  <c r="AG86" i="32"/>
  <c r="AG87" i="32"/>
  <c r="AG88" i="32"/>
  <c r="AG89" i="32"/>
  <c r="AG77" i="32"/>
  <c r="AG73" i="32"/>
  <c r="AB73" i="32"/>
  <c r="AJ96" i="32"/>
  <c r="AG93" i="32" l="1"/>
  <c r="AB97" i="32"/>
  <c r="K213" i="32" l="1"/>
  <c r="Z204" i="32"/>
  <c r="Y204" i="32"/>
  <c r="X204" i="32"/>
  <c r="W204" i="32"/>
  <c r="V204" i="32"/>
  <c r="U204" i="32"/>
  <c r="T204" i="32"/>
  <c r="S204" i="32"/>
  <c r="O198" i="32"/>
  <c r="Z184" i="32"/>
  <c r="Y184" i="32"/>
  <c r="X184" i="32"/>
  <c r="W184" i="32"/>
  <c r="V184" i="32"/>
  <c r="U184" i="32"/>
  <c r="T184" i="32"/>
  <c r="S184" i="32"/>
  <c r="R184" i="32"/>
  <c r="Q184" i="32"/>
  <c r="P184" i="32"/>
  <c r="O184" i="32"/>
  <c r="N184" i="32"/>
  <c r="M184" i="32"/>
  <c r="L184" i="32"/>
  <c r="K184" i="32"/>
  <c r="J184" i="32"/>
  <c r="I184" i="32"/>
  <c r="H184" i="32"/>
  <c r="G184" i="32"/>
  <c r="F184" i="32"/>
  <c r="E184" i="32"/>
  <c r="D184" i="32"/>
  <c r="C184" i="32"/>
  <c r="Z164" i="32"/>
  <c r="Z167" i="32" s="1"/>
  <c r="Z171" i="32" s="1"/>
  <c r="X151" i="32"/>
  <c r="U151" i="32"/>
  <c r="T151" i="32"/>
  <c r="K151" i="32"/>
  <c r="M150" i="32"/>
  <c r="P150" i="32" s="1"/>
  <c r="R150" i="32" s="1"/>
  <c r="Z150" i="32" s="1"/>
  <c r="AJ150" i="32" s="1"/>
  <c r="AK150" i="32" s="1"/>
  <c r="M149" i="32"/>
  <c r="P149" i="32" s="1"/>
  <c r="R149" i="32" s="1"/>
  <c r="Z149" i="32" s="1"/>
  <c r="AJ149" i="32" s="1"/>
  <c r="AK149" i="32" s="1"/>
  <c r="M148" i="32"/>
  <c r="P148" i="32" s="1"/>
  <c r="R148" i="32" s="1"/>
  <c r="Z148" i="32" s="1"/>
  <c r="AJ148" i="32" s="1"/>
  <c r="AK148" i="32" s="1"/>
  <c r="M147" i="32"/>
  <c r="P147" i="32" s="1"/>
  <c r="R147" i="32" s="1"/>
  <c r="Z147" i="32" s="1"/>
  <c r="AJ147" i="32" s="1"/>
  <c r="AK147" i="32" s="1"/>
  <c r="M146" i="32"/>
  <c r="P146" i="32" s="1"/>
  <c r="R146" i="32" s="1"/>
  <c r="Z146" i="32" s="1"/>
  <c r="AJ146" i="32" s="1"/>
  <c r="AK146" i="32" s="1"/>
  <c r="M145" i="32"/>
  <c r="P145" i="32" s="1"/>
  <c r="R145" i="32" s="1"/>
  <c r="Z145" i="32" s="1"/>
  <c r="AJ145" i="32" s="1"/>
  <c r="AK145" i="32" s="1"/>
  <c r="N144" i="32"/>
  <c r="M144" i="32"/>
  <c r="Q124" i="32"/>
  <c r="P124" i="32"/>
  <c r="N124" i="32"/>
  <c r="M124" i="32"/>
  <c r="L124" i="32"/>
  <c r="L125" i="32" s="1"/>
  <c r="K124" i="32"/>
  <c r="J124" i="32"/>
  <c r="J125" i="32" s="1"/>
  <c r="I124" i="32"/>
  <c r="H124" i="32"/>
  <c r="H125" i="32" s="1"/>
  <c r="G124" i="32"/>
  <c r="G125" i="32" s="1"/>
  <c r="F124" i="32"/>
  <c r="F125" i="32" s="1"/>
  <c r="E124" i="32"/>
  <c r="E125" i="32" s="1"/>
  <c r="D124" i="32"/>
  <c r="D125" i="32" s="1"/>
  <c r="C124" i="32"/>
  <c r="I113" i="32"/>
  <c r="H113" i="32"/>
  <c r="E113" i="32"/>
  <c r="K112" i="32"/>
  <c r="G112" i="32"/>
  <c r="F112" i="32"/>
  <c r="D112" i="32"/>
  <c r="C112" i="32"/>
  <c r="P111" i="32"/>
  <c r="P110" i="32"/>
  <c r="P109" i="32"/>
  <c r="P108" i="32"/>
  <c r="P107" i="32"/>
  <c r="O107" i="32"/>
  <c r="N107" i="32"/>
  <c r="M107" i="32"/>
  <c r="L107" i="32"/>
  <c r="K107" i="32"/>
  <c r="J107" i="32"/>
  <c r="I107" i="32"/>
  <c r="H107" i="32"/>
  <c r="G107" i="32"/>
  <c r="F107" i="32"/>
  <c r="E107" i="32"/>
  <c r="D107" i="32"/>
  <c r="C107" i="32"/>
  <c r="Y97" i="32"/>
  <c r="Y190" i="32" s="1"/>
  <c r="Y195" i="32" s="1"/>
  <c r="X97" i="32"/>
  <c r="X190" i="32" s="1"/>
  <c r="X195" i="32" s="1"/>
  <c r="W97" i="32"/>
  <c r="W190" i="32" s="1"/>
  <c r="W195" i="32" s="1"/>
  <c r="V97" i="32"/>
  <c r="V190" i="32" s="1"/>
  <c r="V195" i="32" s="1"/>
  <c r="U97" i="32"/>
  <c r="U190" i="32" s="1"/>
  <c r="U195" i="32" s="1"/>
  <c r="T97" i="32"/>
  <c r="T190" i="32" s="1"/>
  <c r="T195" i="32" s="1"/>
  <c r="S97" i="32"/>
  <c r="S190" i="32" s="1"/>
  <c r="S195" i="32" s="1"/>
  <c r="N97" i="32"/>
  <c r="N190" i="32" s="1"/>
  <c r="N195" i="32" s="1"/>
  <c r="K97" i="32"/>
  <c r="K190" i="32" s="1"/>
  <c r="K195" i="32" s="1"/>
  <c r="J97" i="32"/>
  <c r="J190" i="32" s="1"/>
  <c r="J195" i="32" s="1"/>
  <c r="G97" i="32"/>
  <c r="G190" i="32" s="1"/>
  <c r="G195" i="32" s="1"/>
  <c r="F97" i="32"/>
  <c r="F190" i="32" s="1"/>
  <c r="F195" i="32" s="1"/>
  <c r="O97" i="32"/>
  <c r="O190" i="32" s="1"/>
  <c r="O195" i="32" s="1"/>
  <c r="L97" i="32"/>
  <c r="L190" i="32" s="1"/>
  <c r="L195" i="32" s="1"/>
  <c r="I97" i="32"/>
  <c r="I190" i="32" s="1"/>
  <c r="I195" i="32" s="1"/>
  <c r="H97" i="32"/>
  <c r="H190" i="32" s="1"/>
  <c r="H195" i="32" s="1"/>
  <c r="E97" i="32"/>
  <c r="E190" i="32" s="1"/>
  <c r="E195" i="32" s="1"/>
  <c r="D97" i="32"/>
  <c r="D190" i="32" s="1"/>
  <c r="D195" i="32" s="1"/>
  <c r="C97" i="32"/>
  <c r="C190" i="32" s="1"/>
  <c r="C195" i="32" s="1"/>
  <c r="Y93" i="32"/>
  <c r="Y189" i="32" s="1"/>
  <c r="Y194" i="32" s="1"/>
  <c r="X93" i="32"/>
  <c r="X189" i="32" s="1"/>
  <c r="X194" i="32" s="1"/>
  <c r="W93" i="32"/>
  <c r="W189" i="32" s="1"/>
  <c r="W194" i="32" s="1"/>
  <c r="V93" i="32"/>
  <c r="V189" i="32" s="1"/>
  <c r="V194" i="32" s="1"/>
  <c r="U93" i="32"/>
  <c r="U189" i="32" s="1"/>
  <c r="U194" i="32" s="1"/>
  <c r="T93" i="32"/>
  <c r="T189" i="32" s="1"/>
  <c r="T194" i="32" s="1"/>
  <c r="S93" i="32"/>
  <c r="S189" i="32" s="1"/>
  <c r="S194" i="32" s="1"/>
  <c r="L112" i="32"/>
  <c r="J112" i="32"/>
  <c r="I112" i="32"/>
  <c r="H112" i="32"/>
  <c r="E112" i="32"/>
  <c r="M90" i="32"/>
  <c r="P90" i="32" s="1"/>
  <c r="M88" i="32"/>
  <c r="P88" i="32" s="1"/>
  <c r="R88" i="32" s="1"/>
  <c r="Z88" i="32" s="1"/>
  <c r="M86" i="32"/>
  <c r="P86" i="32" s="1"/>
  <c r="R86" i="32" s="1"/>
  <c r="Z86" i="32" s="1"/>
  <c r="M84" i="32"/>
  <c r="P84" i="32" s="1"/>
  <c r="M82" i="32"/>
  <c r="P82" i="32" s="1"/>
  <c r="R82" i="32" s="1"/>
  <c r="Z82" i="32" s="1"/>
  <c r="M81" i="32"/>
  <c r="M80" i="32"/>
  <c r="P80" i="32" s="1"/>
  <c r="R80" i="32" s="1"/>
  <c r="Z80" i="32" s="1"/>
  <c r="I93" i="32"/>
  <c r="E93" i="32"/>
  <c r="Y75" i="32"/>
  <c r="Y188" i="32" s="1"/>
  <c r="Y193" i="32" s="1"/>
  <c r="X75" i="32"/>
  <c r="X188" i="32" s="1"/>
  <c r="X193" i="32" s="1"/>
  <c r="W75" i="32"/>
  <c r="W188" i="32" s="1"/>
  <c r="W193" i="32" s="1"/>
  <c r="V75" i="32"/>
  <c r="U75" i="32"/>
  <c r="U188" i="32" s="1"/>
  <c r="U193" i="32" s="1"/>
  <c r="T75" i="32"/>
  <c r="T188" i="32" s="1"/>
  <c r="T193" i="32" s="1"/>
  <c r="L113" i="32"/>
  <c r="K113" i="32"/>
  <c r="J113" i="32"/>
  <c r="G113" i="32"/>
  <c r="F113" i="32"/>
  <c r="D113" i="32"/>
  <c r="M72" i="32"/>
  <c r="P72" i="32" s="1"/>
  <c r="M70" i="32"/>
  <c r="P70" i="32" s="1"/>
  <c r="M68" i="32"/>
  <c r="P68" i="32" s="1"/>
  <c r="M67" i="32"/>
  <c r="P67" i="32" s="1"/>
  <c r="M66" i="32"/>
  <c r="P66" i="32" s="1"/>
  <c r="M65" i="32"/>
  <c r="P65" i="32" s="1"/>
  <c r="R65" i="32" s="1"/>
  <c r="Z65" i="32" s="1"/>
  <c r="M62" i="32"/>
  <c r="P62" i="32" s="1"/>
  <c r="R62" i="32" s="1"/>
  <c r="Z62" i="32" s="1"/>
  <c r="M61" i="32"/>
  <c r="P61" i="32" s="1"/>
  <c r="M60" i="32"/>
  <c r="M59" i="32"/>
  <c r="P59" i="32" s="1"/>
  <c r="M58" i="32"/>
  <c r="P58" i="32" s="1"/>
  <c r="M57" i="32"/>
  <c r="M56" i="32"/>
  <c r="P56" i="32" s="1"/>
  <c r="M55" i="32"/>
  <c r="P55" i="32" s="1"/>
  <c r="M54" i="32"/>
  <c r="P54" i="32" s="1"/>
  <c r="M53" i="32"/>
  <c r="P53" i="32" s="1"/>
  <c r="M52" i="32"/>
  <c r="P52" i="32" s="1"/>
  <c r="M51" i="32"/>
  <c r="P51" i="32" s="1"/>
  <c r="M48" i="32"/>
  <c r="P48" i="32" s="1"/>
  <c r="M47" i="32"/>
  <c r="M46" i="32"/>
  <c r="P46" i="32" s="1"/>
  <c r="M45" i="32"/>
  <c r="P45" i="32" s="1"/>
  <c r="M44" i="32"/>
  <c r="P44" i="32" s="1"/>
  <c r="M43" i="32"/>
  <c r="P43" i="32" s="1"/>
  <c r="M42" i="32"/>
  <c r="P42" i="32" s="1"/>
  <c r="M41" i="32"/>
  <c r="P41" i="32" s="1"/>
  <c r="M40" i="32"/>
  <c r="M39" i="32"/>
  <c r="P39" i="32" s="1"/>
  <c r="M38" i="32"/>
  <c r="M37" i="32"/>
  <c r="P37" i="32" s="1"/>
  <c r="M36" i="32"/>
  <c r="P36" i="32" s="1"/>
  <c r="M35" i="32"/>
  <c r="P35" i="32" s="1"/>
  <c r="M34" i="32"/>
  <c r="M33" i="32"/>
  <c r="P33" i="32" s="1"/>
  <c r="M30" i="32"/>
  <c r="P30" i="32" s="1"/>
  <c r="M29" i="32"/>
  <c r="P29" i="32" s="1"/>
  <c r="M28" i="32"/>
  <c r="P28" i="32" s="1"/>
  <c r="M27" i="32"/>
  <c r="P27" i="32" s="1"/>
  <c r="M26" i="32"/>
  <c r="P26" i="32" s="1"/>
  <c r="M25" i="32"/>
  <c r="P25" i="32" s="1"/>
  <c r="M23" i="32"/>
  <c r="P23" i="32" s="1"/>
  <c r="M21" i="32"/>
  <c r="P21" i="32" s="1"/>
  <c r="M20" i="32"/>
  <c r="P20" i="32" s="1"/>
  <c r="M19" i="32"/>
  <c r="P19" i="32" s="1"/>
  <c r="M18" i="32"/>
  <c r="P18" i="32" s="1"/>
  <c r="M17" i="32"/>
  <c r="P17" i="32" s="1"/>
  <c r="M15" i="32"/>
  <c r="P15" i="32" s="1"/>
  <c r="M14" i="32"/>
  <c r="P14" i="32" s="1"/>
  <c r="R14" i="32" s="1"/>
  <c r="Z14" i="32" s="1"/>
  <c r="M12" i="32"/>
  <c r="P12" i="32" s="1"/>
  <c r="R12" i="32" s="1"/>
  <c r="M11" i="32"/>
  <c r="P11" i="32" s="1"/>
  <c r="M10" i="32"/>
  <c r="P10" i="32" s="1"/>
  <c r="M9" i="32"/>
  <c r="P9" i="32" s="1"/>
  <c r="M8" i="32"/>
  <c r="P8" i="32" s="1"/>
  <c r="M7" i="32"/>
  <c r="P7" i="32" s="1"/>
  <c r="M6" i="32"/>
  <c r="P6" i="32" s="1"/>
  <c r="M4" i="32"/>
  <c r="P4" i="32" s="1"/>
  <c r="M3" i="32"/>
  <c r="P3" i="32" s="1"/>
  <c r="R3" i="32" s="1"/>
  <c r="Z3" i="32" s="1"/>
  <c r="N203" i="32"/>
  <c r="N204" i="32" s="1"/>
  <c r="L203" i="32"/>
  <c r="L204" i="32" s="1"/>
  <c r="J203" i="32"/>
  <c r="J204" i="32" s="1"/>
  <c r="F203" i="32"/>
  <c r="F204" i="32" s="1"/>
  <c r="D203" i="32"/>
  <c r="D204" i="32" s="1"/>
  <c r="X153" i="32" l="1"/>
  <c r="U101" i="32"/>
  <c r="U205" i="32" s="1"/>
  <c r="U206" i="32" s="1"/>
  <c r="O75" i="32"/>
  <c r="O188" i="32" s="1"/>
  <c r="O193" i="32" s="1"/>
  <c r="O203" i="32"/>
  <c r="O204" i="32" s="1"/>
  <c r="E189" i="32"/>
  <c r="E194" i="32" s="1"/>
  <c r="C203" i="32"/>
  <c r="C204" i="32" s="1"/>
  <c r="C75" i="32"/>
  <c r="C188" i="32" s="1"/>
  <c r="C193" i="32" s="1"/>
  <c r="M2" i="32"/>
  <c r="G203" i="32"/>
  <c r="G204" i="32" s="1"/>
  <c r="G75" i="32"/>
  <c r="G188" i="32" s="1"/>
  <c r="G193" i="32" s="1"/>
  <c r="K203" i="32"/>
  <c r="K204" i="32" s="1"/>
  <c r="K75" i="32"/>
  <c r="K188" i="32" s="1"/>
  <c r="K193" i="32" s="1"/>
  <c r="Z12" i="32"/>
  <c r="M95" i="32"/>
  <c r="H203" i="32"/>
  <c r="H204" i="32" s="1"/>
  <c r="H75" i="32"/>
  <c r="H188" i="32" s="1"/>
  <c r="H193" i="32" s="1"/>
  <c r="M22" i="32"/>
  <c r="P22" i="32" s="1"/>
  <c r="M24" i="32"/>
  <c r="P24" i="32" s="1"/>
  <c r="M31" i="32"/>
  <c r="P31" i="32" s="1"/>
  <c r="R31" i="32" s="1"/>
  <c r="Z31" i="32" s="1"/>
  <c r="M32" i="32"/>
  <c r="P32" i="32" s="1"/>
  <c r="I189" i="32"/>
  <c r="I194" i="32" s="1"/>
  <c r="M78" i="32"/>
  <c r="P78" i="32" s="1"/>
  <c r="K93" i="32"/>
  <c r="E203" i="32"/>
  <c r="E204" i="32" s="1"/>
  <c r="E75" i="32"/>
  <c r="E188" i="32" s="1"/>
  <c r="E193" i="32" s="1"/>
  <c r="I203" i="32"/>
  <c r="I204" i="32" s="1"/>
  <c r="I75" i="32"/>
  <c r="I188" i="32" s="1"/>
  <c r="I193" i="32" s="1"/>
  <c r="Q203" i="32"/>
  <c r="Q204" i="32" s="1"/>
  <c r="P34" i="32"/>
  <c r="P40" i="32"/>
  <c r="R40" i="32" s="1"/>
  <c r="Z40" i="32" s="1"/>
  <c r="P47" i="32"/>
  <c r="P60" i="32"/>
  <c r="D75" i="32"/>
  <c r="D188" i="32" s="1"/>
  <c r="D193" i="32" s="1"/>
  <c r="S75" i="32"/>
  <c r="S188" i="32" s="1"/>
  <c r="S193" i="32" s="1"/>
  <c r="M5" i="32"/>
  <c r="P5" i="32" s="1"/>
  <c r="M13" i="32"/>
  <c r="P13" i="32" s="1"/>
  <c r="M16" i="32"/>
  <c r="P16" i="32" s="1"/>
  <c r="P38" i="32"/>
  <c r="M50" i="32"/>
  <c r="P50" i="32" s="1"/>
  <c r="P57" i="32"/>
  <c r="M63" i="32"/>
  <c r="P63" i="32" s="1"/>
  <c r="L75" i="32"/>
  <c r="L188" i="32" s="1"/>
  <c r="L193" i="32" s="1"/>
  <c r="D93" i="32"/>
  <c r="M77" i="32"/>
  <c r="H93" i="32"/>
  <c r="L93" i="32"/>
  <c r="G93" i="32"/>
  <c r="O93" i="32"/>
  <c r="P81" i="32"/>
  <c r="S101" i="32"/>
  <c r="M64" i="32"/>
  <c r="P64" i="32" s="1"/>
  <c r="M69" i="32"/>
  <c r="P69" i="32" s="1"/>
  <c r="C113" i="32"/>
  <c r="M73" i="32"/>
  <c r="J75" i="32"/>
  <c r="J188" i="32" s="1"/>
  <c r="J193" i="32" s="1"/>
  <c r="M83" i="32"/>
  <c r="P83" i="32" s="1"/>
  <c r="C93" i="32"/>
  <c r="M121" i="32"/>
  <c r="M125" i="32" s="1"/>
  <c r="M49" i="32"/>
  <c r="P49" i="32" s="1"/>
  <c r="M71" i="32"/>
  <c r="P71" i="32" s="1"/>
  <c r="F75" i="32"/>
  <c r="F188" i="32" s="1"/>
  <c r="F193" i="32" s="1"/>
  <c r="N75" i="32"/>
  <c r="N188" i="32" s="1"/>
  <c r="N193" i="32" s="1"/>
  <c r="N93" i="32"/>
  <c r="M79" i="32"/>
  <c r="P79" i="32" s="1"/>
  <c r="M85" i="32"/>
  <c r="P85" i="32" s="1"/>
  <c r="R85" i="32" s="1"/>
  <c r="Z85" i="32" s="1"/>
  <c r="M89" i="32"/>
  <c r="P89" i="32" s="1"/>
  <c r="R89" i="32" s="1"/>
  <c r="Z89" i="32" s="1"/>
  <c r="AJ89" i="32" s="1"/>
  <c r="M91" i="32"/>
  <c r="W101" i="32"/>
  <c r="C125" i="32"/>
  <c r="K125" i="32"/>
  <c r="V188" i="32"/>
  <c r="V193" i="32" s="1"/>
  <c r="V101" i="32"/>
  <c r="F93" i="32"/>
  <c r="J93" i="32"/>
  <c r="M87" i="32"/>
  <c r="P87" i="32" s="1"/>
  <c r="R87" i="32" s="1"/>
  <c r="Z87" i="32" s="1"/>
  <c r="Q90" i="32"/>
  <c r="R90" i="32" s="1"/>
  <c r="Z90" i="32" s="1"/>
  <c r="AJ90" i="32" s="1"/>
  <c r="AK90" i="32" s="1"/>
  <c r="Y101" i="32"/>
  <c r="I125" i="32"/>
  <c r="M151" i="32"/>
  <c r="P151" i="32" s="1"/>
  <c r="T101" i="32"/>
  <c r="X101" i="32"/>
  <c r="P144" i="32"/>
  <c r="R144" i="32" s="1"/>
  <c r="U141" i="32" l="1"/>
  <c r="U210" i="32" s="1"/>
  <c r="U209" i="32"/>
  <c r="U158" i="32"/>
  <c r="U225" i="32"/>
  <c r="U191" i="32"/>
  <c r="U196" i="32" s="1"/>
  <c r="U154" i="32"/>
  <c r="I101" i="32"/>
  <c r="I205" i="32" s="1"/>
  <c r="I206" i="32" s="1"/>
  <c r="U103" i="32"/>
  <c r="U102" i="32"/>
  <c r="Z144" i="32"/>
  <c r="AJ144" i="32" s="1"/>
  <c r="AK144" i="32" s="1"/>
  <c r="M113" i="32"/>
  <c r="P113" i="32" s="1"/>
  <c r="P73" i="32"/>
  <c r="R73" i="32" s="1"/>
  <c r="H101" i="32"/>
  <c r="H189" i="32"/>
  <c r="H194" i="32" s="1"/>
  <c r="P95" i="32"/>
  <c r="M97" i="32"/>
  <c r="M190" i="32" s="1"/>
  <c r="M195" i="32" s="1"/>
  <c r="P77" i="32"/>
  <c r="M93" i="32"/>
  <c r="I225" i="32"/>
  <c r="T225" i="32"/>
  <c r="T154" i="32"/>
  <c r="T141" i="32"/>
  <c r="T210" i="32" s="1"/>
  <c r="T191" i="32"/>
  <c r="T196" i="32" s="1"/>
  <c r="T158" i="32"/>
  <c r="T103" i="32"/>
  <c r="T102" i="32"/>
  <c r="T209" i="32"/>
  <c r="T205" i="32"/>
  <c r="T206" i="32" s="1"/>
  <c r="Y225" i="32"/>
  <c r="Y209" i="32"/>
  <c r="Y205" i="32"/>
  <c r="Y206" i="32" s="1"/>
  <c r="Y191" i="32"/>
  <c r="Y196" i="32" s="1"/>
  <c r="Y154" i="32"/>
  <c r="Y103" i="32"/>
  <c r="Y102" i="32"/>
  <c r="Y158" i="32"/>
  <c r="Y141" i="32"/>
  <c r="Y210" i="32" s="1"/>
  <c r="F189" i="32"/>
  <c r="F194" i="32" s="1"/>
  <c r="F101" i="32"/>
  <c r="G189" i="32"/>
  <c r="G194" i="32" s="1"/>
  <c r="G101" i="32"/>
  <c r="D101" i="32"/>
  <c r="D189" i="32"/>
  <c r="D194" i="32" s="1"/>
  <c r="M112" i="32"/>
  <c r="P112" i="32" s="1"/>
  <c r="P91" i="32"/>
  <c r="R91" i="32" s="1"/>
  <c r="Z91" i="32" s="1"/>
  <c r="AJ91" i="32" s="1"/>
  <c r="AK91" i="32" s="1"/>
  <c r="N101" i="32"/>
  <c r="N189" i="32"/>
  <c r="N194" i="32" s="1"/>
  <c r="C189" i="32"/>
  <c r="C194" i="32" s="1"/>
  <c r="C101" i="32"/>
  <c r="X209" i="32"/>
  <c r="X205" i="32"/>
  <c r="X206" i="32" s="1"/>
  <c r="X141" i="32"/>
  <c r="X210" i="32" s="1"/>
  <c r="X103" i="32"/>
  <c r="X102" i="32"/>
  <c r="X191" i="32"/>
  <c r="X196" i="32" s="1"/>
  <c r="X158" i="32"/>
  <c r="X225" i="32"/>
  <c r="X154" i="32"/>
  <c r="J189" i="32"/>
  <c r="J194" i="32" s="1"/>
  <c r="J101" i="32"/>
  <c r="O189" i="32"/>
  <c r="O194" i="32" s="1"/>
  <c r="O101" i="32"/>
  <c r="M203" i="32"/>
  <c r="M204" i="32" s="1"/>
  <c r="M75" i="32"/>
  <c r="M188" i="32" s="1"/>
  <c r="M193" i="32" s="1"/>
  <c r="P2" i="32"/>
  <c r="E101" i="32"/>
  <c r="V191" i="32"/>
  <c r="V196" i="32" s="1"/>
  <c r="V205" i="32"/>
  <c r="V206" i="32" s="1"/>
  <c r="V158" i="32"/>
  <c r="V209" i="32"/>
  <c r="V154" i="32"/>
  <c r="V103" i="32"/>
  <c r="V102" i="32"/>
  <c r="V141" i="32"/>
  <c r="V210" i="32" s="1"/>
  <c r="V225" i="32"/>
  <c r="W158" i="32"/>
  <c r="W154" i="32"/>
  <c r="W209" i="32"/>
  <c r="W225" i="32"/>
  <c r="W205" i="32"/>
  <c r="W206" i="32" s="1"/>
  <c r="W141" i="32"/>
  <c r="W210" i="32" s="1"/>
  <c r="W103" i="32"/>
  <c r="W102" i="32"/>
  <c r="W191" i="32"/>
  <c r="W196" i="32" s="1"/>
  <c r="S209" i="32"/>
  <c r="S205" i="32"/>
  <c r="S206" i="32" s="1"/>
  <c r="S158" i="32"/>
  <c r="S154" i="32"/>
  <c r="S225" i="32"/>
  <c r="S191" i="32"/>
  <c r="S196" i="32" s="1"/>
  <c r="S141" i="32"/>
  <c r="S210" i="32" s="1"/>
  <c r="S103" i="32"/>
  <c r="S102" i="32"/>
  <c r="L189" i="32"/>
  <c r="L194" i="32" s="1"/>
  <c r="L101" i="32"/>
  <c r="L154" i="32" s="1"/>
  <c r="K189" i="32"/>
  <c r="K194" i="32" s="1"/>
  <c r="K101" i="32"/>
  <c r="I191" i="32" l="1"/>
  <c r="I196" i="32" s="1"/>
  <c r="I102" i="32"/>
  <c r="I141" i="32"/>
  <c r="I210" i="32" s="1"/>
  <c r="I154" i="32"/>
  <c r="I209" i="32"/>
  <c r="I122" i="32"/>
  <c r="I103" i="32"/>
  <c r="I199" i="32"/>
  <c r="I158" i="32"/>
  <c r="K191" i="32"/>
  <c r="K196" i="32" s="1"/>
  <c r="K158" i="32"/>
  <c r="K154" i="32"/>
  <c r="K141" i="32"/>
  <c r="K210" i="32" s="1"/>
  <c r="K205" i="32"/>
  <c r="K206" i="32" s="1"/>
  <c r="K225" i="32"/>
  <c r="K209" i="32"/>
  <c r="K199" i="32"/>
  <c r="K103" i="32"/>
  <c r="K102" i="32"/>
  <c r="K122" i="32"/>
  <c r="L225" i="32"/>
  <c r="L199" i="32"/>
  <c r="L191" i="32"/>
  <c r="L196" i="32" s="1"/>
  <c r="L158" i="32"/>
  <c r="L141" i="32"/>
  <c r="L210" i="32" s="1"/>
  <c r="L209" i="32"/>
  <c r="L205" i="32"/>
  <c r="L206" i="32" s="1"/>
  <c r="L122" i="32"/>
  <c r="L103" i="32"/>
  <c r="L102" i="32"/>
  <c r="P97" i="32"/>
  <c r="P190" i="32" s="1"/>
  <c r="P195" i="32" s="1"/>
  <c r="E225" i="32"/>
  <c r="E209" i="32"/>
  <c r="E205" i="32"/>
  <c r="E206" i="32" s="1"/>
  <c r="E199" i="32"/>
  <c r="E191" i="32"/>
  <c r="E196" i="32" s="1"/>
  <c r="E158" i="32"/>
  <c r="E141" i="32"/>
  <c r="E210" i="32" s="1"/>
  <c r="E154" i="32"/>
  <c r="E103" i="32"/>
  <c r="E102" i="32"/>
  <c r="E122" i="32"/>
  <c r="J225" i="32"/>
  <c r="J209" i="32"/>
  <c r="J191" i="32"/>
  <c r="J196" i="32" s="1"/>
  <c r="J141" i="32"/>
  <c r="J210" i="32" s="1"/>
  <c r="J205" i="32"/>
  <c r="J206" i="32" s="1"/>
  <c r="J199" i="32"/>
  <c r="J103" i="32"/>
  <c r="J102" i="32"/>
  <c r="J158" i="32"/>
  <c r="J122" i="32"/>
  <c r="J154" i="32"/>
  <c r="D225" i="32"/>
  <c r="D191" i="32"/>
  <c r="D196" i="32" s="1"/>
  <c r="D154" i="32"/>
  <c r="D141" i="32"/>
  <c r="D210" i="32" s="1"/>
  <c r="D209" i="32"/>
  <c r="D205" i="32"/>
  <c r="D206" i="32" s="1"/>
  <c r="D199" i="32"/>
  <c r="D103" i="32"/>
  <c r="D102" i="32"/>
  <c r="D122" i="32"/>
  <c r="D158" i="32"/>
  <c r="M189" i="32"/>
  <c r="M194" i="32" s="1"/>
  <c r="M101" i="32"/>
  <c r="N143" i="32" s="1"/>
  <c r="H209" i="32"/>
  <c r="H205" i="32"/>
  <c r="H206" i="32" s="1"/>
  <c r="H199" i="32"/>
  <c r="H141" i="32"/>
  <c r="H210" i="32" s="1"/>
  <c r="H154" i="32"/>
  <c r="H103" i="32"/>
  <c r="H102" i="32"/>
  <c r="H225" i="32"/>
  <c r="H158" i="32"/>
  <c r="H122" i="32"/>
  <c r="H191" i="32"/>
  <c r="H196" i="32" s="1"/>
  <c r="P203" i="32"/>
  <c r="P204" i="32" s="1"/>
  <c r="P75" i="32"/>
  <c r="P188" i="32" s="1"/>
  <c r="P193" i="32" s="1"/>
  <c r="R2" i="32"/>
  <c r="N209" i="32"/>
  <c r="N205" i="32"/>
  <c r="N206" i="32" s="1"/>
  <c r="N199" i="32"/>
  <c r="N154" i="32"/>
  <c r="N222" i="32" s="1"/>
  <c r="A114" i="32"/>
  <c r="N225" i="32"/>
  <c r="N121" i="32"/>
  <c r="N125" i="32" s="1"/>
  <c r="N103" i="32"/>
  <c r="N102" i="32"/>
  <c r="N191" i="32"/>
  <c r="N196" i="32" s="1"/>
  <c r="N141" i="32"/>
  <c r="N210" i="32" s="1"/>
  <c r="N158" i="32"/>
  <c r="G158" i="32"/>
  <c r="G154" i="32"/>
  <c r="G205" i="32"/>
  <c r="G206" i="32" s="1"/>
  <c r="G209" i="32"/>
  <c r="G191" i="32"/>
  <c r="G196" i="32" s="1"/>
  <c r="G141" i="32"/>
  <c r="G210" i="32" s="1"/>
  <c r="G225" i="32"/>
  <c r="G199" i="32"/>
  <c r="G103" i="32"/>
  <c r="G102" i="32"/>
  <c r="G122" i="32"/>
  <c r="P93" i="32"/>
  <c r="R77" i="32"/>
  <c r="O225" i="32"/>
  <c r="O158" i="32"/>
  <c r="O154" i="32"/>
  <c r="O205" i="32"/>
  <c r="O206" i="32" s="1"/>
  <c r="O199" i="32"/>
  <c r="O141" i="32"/>
  <c r="O210" i="32" s="1"/>
  <c r="O191" i="32"/>
  <c r="O196" i="32" s="1"/>
  <c r="O103" i="32"/>
  <c r="O102" i="32"/>
  <c r="O209" i="32"/>
  <c r="C209" i="32"/>
  <c r="C205" i="32"/>
  <c r="C206" i="32" s="1"/>
  <c r="C199" i="32"/>
  <c r="C158" i="32"/>
  <c r="C154" i="32"/>
  <c r="C225" i="32"/>
  <c r="C141" i="32"/>
  <c r="C210" i="32" s="1"/>
  <c r="C103" i="32"/>
  <c r="C102" i="32"/>
  <c r="C191" i="32"/>
  <c r="C196" i="32" s="1"/>
  <c r="C122" i="32"/>
  <c r="F191" i="32"/>
  <c r="F196" i="32" s="1"/>
  <c r="F225" i="32"/>
  <c r="F199" i="32"/>
  <c r="F158" i="32"/>
  <c r="F103" i="32"/>
  <c r="F102" i="32"/>
  <c r="F209" i="32"/>
  <c r="F154" i="32"/>
  <c r="F205" i="32"/>
  <c r="F206" i="32" s="1"/>
  <c r="F141" i="32"/>
  <c r="F210" i="32" s="1"/>
  <c r="F122" i="32"/>
  <c r="Z73" i="32"/>
  <c r="AJ73" i="32" s="1"/>
  <c r="AK73" i="32" s="1"/>
  <c r="R117" i="32"/>
  <c r="R119" i="32" s="1"/>
  <c r="Z77" i="32" l="1"/>
  <c r="M225" i="32"/>
  <c r="M209" i="32"/>
  <c r="M205" i="32"/>
  <c r="M206" i="32" s="1"/>
  <c r="M199" i="32"/>
  <c r="M191" i="32"/>
  <c r="M196" i="32" s="1"/>
  <c r="M158" i="32"/>
  <c r="M141" i="32"/>
  <c r="M210" i="32" s="1"/>
  <c r="M154" i="32"/>
  <c r="M102" i="32"/>
  <c r="M103" i="32"/>
  <c r="M122" i="32"/>
  <c r="P189" i="32"/>
  <c r="P194" i="32" s="1"/>
  <c r="P101" i="32"/>
  <c r="Z151" i="32"/>
  <c r="AJ151" i="32" s="1"/>
  <c r="AK151" i="32" s="1"/>
  <c r="R151" i="32"/>
  <c r="R203" i="32"/>
  <c r="R204" i="32" s="1"/>
  <c r="Z2" i="32"/>
  <c r="P191" i="32" l="1"/>
  <c r="P196" i="32" s="1"/>
  <c r="P209" i="32"/>
  <c r="P141" i="32"/>
  <c r="P210" i="32" s="1"/>
  <c r="P154" i="32"/>
  <c r="P222" i="32" s="1"/>
  <c r="P103" i="32"/>
  <c r="P102" i="32"/>
  <c r="P158" i="32"/>
  <c r="P205" i="32"/>
  <c r="P206" i="32" s="1"/>
  <c r="A113" i="32"/>
  <c r="P225" i="32"/>
  <c r="P199" i="32"/>
  <c r="P142" i="32"/>
  <c r="P121" i="32"/>
  <c r="P125" i="32" s="1"/>
  <c r="R55" i="32" l="1"/>
  <c r="Z55" i="32" s="1"/>
  <c r="R50" i="32"/>
  <c r="Z50" i="32" s="1"/>
  <c r="R20" i="32"/>
  <c r="Z20" i="32" s="1"/>
  <c r="R10" i="32"/>
  <c r="Z10" i="32" s="1"/>
  <c r="R6" i="32"/>
  <c r="Z6" i="32" s="1"/>
  <c r="R39" i="32"/>
  <c r="Z39" i="32" s="1"/>
  <c r="R58" i="32"/>
  <c r="Z58" i="32" s="1"/>
  <c r="R57" i="32"/>
  <c r="Z57" i="32" s="1"/>
  <c r="R18" i="32"/>
  <c r="Z18" i="32" s="1"/>
  <c r="R41" i="32"/>
  <c r="Z41" i="32" s="1"/>
  <c r="R29" i="32"/>
  <c r="Z29" i="32" s="1"/>
  <c r="R51" i="32"/>
  <c r="Z51" i="32" s="1"/>
  <c r="R45" i="32"/>
  <c r="Z45" i="32" s="1"/>
  <c r="R52" i="32"/>
  <c r="Z52" i="32" s="1"/>
  <c r="R70" i="32"/>
  <c r="Z70" i="32" s="1"/>
  <c r="R27" i="32"/>
  <c r="Z27" i="32" s="1"/>
  <c r="R33" i="32"/>
  <c r="Z33" i="32" s="1"/>
  <c r="R61" i="32"/>
  <c r="Z61" i="32" s="1"/>
  <c r="R44" i="32"/>
  <c r="Z44" i="32" s="1"/>
  <c r="R38" i="32"/>
  <c r="Z38" i="32" s="1"/>
  <c r="R54" i="32"/>
  <c r="Z54" i="32" s="1"/>
  <c r="R66" i="32"/>
  <c r="Z66" i="32" s="1"/>
  <c r="R19" i="32"/>
  <c r="Z19" i="32" s="1"/>
  <c r="R53" i="32"/>
  <c r="Z53" i="32" s="1"/>
  <c r="R28" i="32"/>
  <c r="Z28" i="32" s="1"/>
  <c r="R56" i="32"/>
  <c r="Z56" i="32" s="1"/>
  <c r="R48" i="32"/>
  <c r="Z48" i="32" s="1"/>
  <c r="R69" i="32"/>
  <c r="Z69" i="32" s="1"/>
  <c r="R63" i="32"/>
  <c r="Z63" i="32" s="1"/>
  <c r="R5" i="32"/>
  <c r="Z5" i="32" s="1"/>
  <c r="R71" i="32"/>
  <c r="Z71" i="32" s="1"/>
  <c r="R72" i="32"/>
  <c r="Z72" i="32" s="1"/>
  <c r="R13" i="32"/>
  <c r="Z13" i="32" s="1"/>
  <c r="R7" i="32"/>
  <c r="Z7" i="32" s="1"/>
  <c r="R49" i="32"/>
  <c r="Z49" i="32" s="1"/>
  <c r="R59" i="32"/>
  <c r="Z59" i="32" s="1"/>
  <c r="R30" i="32"/>
  <c r="Z30" i="32" s="1"/>
  <c r="R22" i="32"/>
  <c r="Z22" i="32" s="1"/>
  <c r="R11" i="32"/>
  <c r="Z11" i="32" s="1"/>
  <c r="R23" i="32"/>
  <c r="Z23" i="32" s="1"/>
  <c r="R36" i="32"/>
  <c r="Z36" i="32" s="1"/>
  <c r="R43" i="32"/>
  <c r="Z43" i="32" s="1"/>
  <c r="R79" i="32"/>
  <c r="Z79" i="32" s="1"/>
  <c r="R47" i="32"/>
  <c r="Z47" i="32" s="1"/>
  <c r="R8" i="32"/>
  <c r="Z8" i="32" s="1"/>
  <c r="R46" i="32"/>
  <c r="Z46" i="32" s="1"/>
  <c r="R16" i="32"/>
  <c r="Z16" i="32" s="1"/>
  <c r="R32" i="32"/>
  <c r="Z32" i="32" s="1"/>
  <c r="R68" i="32"/>
  <c r="Z68" i="32" s="1"/>
  <c r="R60" i="32"/>
  <c r="Z60" i="32" s="1"/>
  <c r="R21" i="32"/>
  <c r="Z21" i="32" s="1"/>
  <c r="R9" i="32"/>
  <c r="Z9" i="32" s="1"/>
  <c r="R25" i="32"/>
  <c r="Z25" i="32" s="1"/>
  <c r="R24" i="32"/>
  <c r="Z24" i="32" s="1"/>
  <c r="R37" i="32"/>
  <c r="Z37" i="32" s="1"/>
  <c r="R42" i="32"/>
  <c r="Z42" i="32" s="1"/>
  <c r="R17" i="32"/>
  <c r="Z17" i="32" s="1"/>
  <c r="R26" i="32"/>
  <c r="Z26" i="32" s="1"/>
  <c r="R84" i="32"/>
  <c r="Z84" i="32" s="1"/>
  <c r="R34" i="32"/>
  <c r="Z34" i="32" s="1"/>
  <c r="R83" i="32"/>
  <c r="Z83" i="32" s="1"/>
  <c r="R67" i="32"/>
  <c r="Z67" i="32" s="1"/>
  <c r="R81" i="32"/>
  <c r="Z81" i="32" s="1"/>
  <c r="R35" i="32"/>
  <c r="Z35" i="32" s="1"/>
  <c r="R15" i="32"/>
  <c r="Z15" i="32" s="1"/>
  <c r="R64" i="32"/>
  <c r="Z64" i="32" s="1"/>
  <c r="Q93" i="32" l="1"/>
  <c r="R78" i="32"/>
  <c r="Q75" i="32"/>
  <c r="Q188" i="32" s="1"/>
  <c r="Q193" i="32" s="1"/>
  <c r="R4" i="32"/>
  <c r="Q97" i="32"/>
  <c r="Q190" i="32" s="1"/>
  <c r="Q195" i="32" s="1"/>
  <c r="R95" i="32"/>
  <c r="R97" i="32" l="1"/>
  <c r="R190" i="32" s="1"/>
  <c r="R195" i="32" s="1"/>
  <c r="Z95" i="32"/>
  <c r="AJ95" i="32" s="1"/>
  <c r="Z78" i="32"/>
  <c r="R93" i="32"/>
  <c r="Z4" i="32"/>
  <c r="R75" i="32"/>
  <c r="R188" i="32" s="1"/>
  <c r="R193" i="32" s="1"/>
  <c r="Q189" i="32"/>
  <c r="Q194" i="32" s="1"/>
  <c r="Q101" i="32"/>
  <c r="Z97" i="32" l="1"/>
  <c r="Z93" i="32"/>
  <c r="Z75" i="32"/>
  <c r="Z188" i="32" s="1"/>
  <c r="Z193" i="32" s="1"/>
  <c r="Q225" i="32"/>
  <c r="Q209" i="32"/>
  <c r="Q205" i="32"/>
  <c r="Q206" i="32" s="1"/>
  <c r="Q199" i="32"/>
  <c r="Q191" i="32"/>
  <c r="Q196" i="32" s="1"/>
  <c r="Q158" i="32"/>
  <c r="Q125" i="32"/>
  <c r="Q154" i="32"/>
  <c r="Q103" i="32"/>
  <c r="Q102" i="32"/>
  <c r="Q106" i="32"/>
  <c r="Q141" i="32"/>
  <c r="Q210" i="32" s="1"/>
  <c r="R189" i="32"/>
  <c r="R194" i="32" s="1"/>
  <c r="R101" i="32"/>
  <c r="Z101" i="32" l="1"/>
  <c r="Z158" i="32" s="1"/>
  <c r="Z189" i="32"/>
  <c r="Z194" i="32" s="1"/>
  <c r="Z190" i="32"/>
  <c r="Z195" i="32" s="1"/>
  <c r="R225" i="32"/>
  <c r="R209" i="32"/>
  <c r="R205" i="32"/>
  <c r="R206" i="32" s="1"/>
  <c r="R199" i="32"/>
  <c r="R154" i="32"/>
  <c r="R222" i="32" s="1"/>
  <c r="R141" i="32"/>
  <c r="R210" i="32" s="1"/>
  <c r="R103" i="32"/>
  <c r="R102" i="32"/>
  <c r="R158" i="32"/>
  <c r="R191" i="32"/>
  <c r="R196" i="32" s="1"/>
  <c r="Z191" i="32" l="1"/>
  <c r="Z196" i="32" s="1"/>
  <c r="Z225" i="32"/>
  <c r="Z205" i="32"/>
  <c r="Z206" i="32" s="1"/>
  <c r="Z209" i="32"/>
  <c r="Z102" i="32"/>
  <c r="Z103" i="32"/>
  <c r="Z154" i="32"/>
  <c r="Z141" i="32"/>
  <c r="Z210" i="32" s="1"/>
  <c r="AV235" i="46"/>
  <c r="AU235" i="46"/>
  <c r="AU55" i="46"/>
  <c r="AV53" i="46"/>
  <c r="AV51" i="46"/>
  <c r="AV49" i="46"/>
  <c r="AV30" i="46"/>
  <c r="O267" i="46"/>
  <c r="AM240" i="46"/>
  <c r="S240" i="46"/>
  <c r="R240" i="46"/>
  <c r="Q240" i="46"/>
  <c r="S239" i="46"/>
  <c r="R239" i="46"/>
  <c r="Q239" i="46"/>
  <c r="AT236" i="46"/>
  <c r="AT264" i="46" s="1"/>
  <c r="AR236" i="46"/>
  <c r="AR264" i="46" s="1"/>
  <c r="AP236" i="46"/>
  <c r="AP264" i="46" s="1"/>
  <c r="AL236" i="46"/>
  <c r="AL264" i="46" s="1"/>
  <c r="AJ236" i="46"/>
  <c r="AJ264" i="46" s="1"/>
  <c r="AF236" i="46"/>
  <c r="AF264" i="46" s="1"/>
  <c r="AD236" i="46"/>
  <c r="AD264" i="46" s="1"/>
  <c r="AB236" i="46"/>
  <c r="AB264" i="46" s="1"/>
  <c r="Z236" i="46"/>
  <c r="Z264" i="46" s="1"/>
  <c r="V236" i="46"/>
  <c r="V264" i="46" s="1"/>
  <c r="T236" i="46"/>
  <c r="T264" i="46" s="1"/>
  <c r="P236" i="46"/>
  <c r="P264" i="46" s="1"/>
  <c r="N236" i="46"/>
  <c r="N264" i="46" s="1"/>
  <c r="M236" i="46"/>
  <c r="K236" i="46"/>
  <c r="K264" i="46" s="1"/>
  <c r="AG235" i="46"/>
  <c r="AE235" i="46"/>
  <c r="AC235" i="46"/>
  <c r="AS234" i="46"/>
  <c r="AW234" i="46" s="1"/>
  <c r="AK233" i="46"/>
  <c r="N233" i="46"/>
  <c r="AK232" i="46"/>
  <c r="N232" i="46"/>
  <c r="AK231" i="46"/>
  <c r="N231" i="46"/>
  <c r="AK230" i="46"/>
  <c r="N230" i="46"/>
  <c r="AK229" i="46"/>
  <c r="N229" i="46"/>
  <c r="AK228" i="46"/>
  <c r="N228" i="46"/>
  <c r="AK227" i="46"/>
  <c r="N227" i="46"/>
  <c r="AK226" i="46"/>
  <c r="N226" i="46"/>
  <c r="AK225" i="46"/>
  <c r="N225" i="46"/>
  <c r="AK224" i="46"/>
  <c r="N224" i="46"/>
  <c r="AK223" i="46"/>
  <c r="N223" i="46"/>
  <c r="AK222" i="46"/>
  <c r="N222" i="46"/>
  <c r="AK221" i="46"/>
  <c r="N221" i="46"/>
  <c r="AK220" i="46"/>
  <c r="N220" i="46"/>
  <c r="AK219" i="46"/>
  <c r="N219" i="46"/>
  <c r="AK218" i="46"/>
  <c r="N218" i="46"/>
  <c r="AK217" i="46"/>
  <c r="N217" i="46"/>
  <c r="AK216" i="46"/>
  <c r="N216" i="46"/>
  <c r="AK215" i="46"/>
  <c r="N215" i="46"/>
  <c r="AK214" i="46"/>
  <c r="N214" i="46"/>
  <c r="AK213" i="46"/>
  <c r="N213" i="46"/>
  <c r="AK212" i="46"/>
  <c r="N212" i="46"/>
  <c r="AK211" i="46"/>
  <c r="N211" i="46"/>
  <c r="AK210" i="46"/>
  <c r="N210" i="46"/>
  <c r="AK209" i="46"/>
  <c r="N209" i="46"/>
  <c r="AK208" i="46"/>
  <c r="N208" i="46"/>
  <c r="AK207" i="46"/>
  <c r="N207" i="46"/>
  <c r="AK206" i="46"/>
  <c r="N206" i="46"/>
  <c r="AK205" i="46"/>
  <c r="N205" i="46"/>
  <c r="AK204" i="46"/>
  <c r="N204" i="46"/>
  <c r="AK203" i="46"/>
  <c r="N203" i="46"/>
  <c r="AK202" i="46"/>
  <c r="N202" i="46"/>
  <c r="AK201" i="46"/>
  <c r="N201" i="46"/>
  <c r="AK200" i="46"/>
  <c r="N200" i="46"/>
  <c r="AK199" i="46"/>
  <c r="N199" i="46"/>
  <c r="AK198" i="46"/>
  <c r="N198" i="46"/>
  <c r="AK197" i="46"/>
  <c r="N197" i="46"/>
  <c r="AK196" i="46"/>
  <c r="N196" i="46"/>
  <c r="AK195" i="46"/>
  <c r="N195" i="46"/>
  <c r="AK194" i="46"/>
  <c r="N194" i="46"/>
  <c r="AK193" i="46"/>
  <c r="N193" i="46"/>
  <c r="AK192" i="46"/>
  <c r="N192" i="46"/>
  <c r="AK191" i="46"/>
  <c r="N191" i="46"/>
  <c r="AK190" i="46"/>
  <c r="N190" i="46"/>
  <c r="AK189" i="46"/>
  <c r="N189" i="46"/>
  <c r="AK188" i="46"/>
  <c r="N188" i="46"/>
  <c r="AK187" i="46"/>
  <c r="N187" i="46"/>
  <c r="AK186" i="46"/>
  <c r="N186" i="46"/>
  <c r="AK185" i="46"/>
  <c r="N185" i="46"/>
  <c r="AK184" i="46"/>
  <c r="N184" i="46"/>
  <c r="AK183" i="46"/>
  <c r="N183" i="46"/>
  <c r="AK182" i="46"/>
  <c r="N182" i="46"/>
  <c r="AK181" i="46"/>
  <c r="N181" i="46"/>
  <c r="AK180" i="46"/>
  <c r="N180" i="46"/>
  <c r="AK179" i="46"/>
  <c r="N179" i="46"/>
  <c r="AK178" i="46"/>
  <c r="N178" i="46"/>
  <c r="AK177" i="46"/>
  <c r="N177" i="46"/>
  <c r="AK176" i="46"/>
  <c r="N176" i="46"/>
  <c r="AK175" i="46"/>
  <c r="N175" i="46"/>
  <c r="AK174" i="46"/>
  <c r="N174" i="46"/>
  <c r="AK173" i="46"/>
  <c r="N173" i="46"/>
  <c r="AK172" i="46"/>
  <c r="N172" i="46"/>
  <c r="AK171" i="46"/>
  <c r="N171" i="46"/>
  <c r="AK170" i="46"/>
  <c r="N170" i="46"/>
  <c r="AK169" i="46"/>
  <c r="N169" i="46"/>
  <c r="AK168" i="46"/>
  <c r="N168" i="46"/>
  <c r="AK167" i="46"/>
  <c r="N167" i="46"/>
  <c r="AK166" i="46"/>
  <c r="N166" i="46"/>
  <c r="AK165" i="46"/>
  <c r="N165" i="46"/>
  <c r="AK164" i="46"/>
  <c r="N164" i="46"/>
  <c r="AK163" i="46"/>
  <c r="N163" i="46"/>
  <c r="AK162" i="46"/>
  <c r="N162" i="46"/>
  <c r="AK161" i="46"/>
  <c r="N161" i="46"/>
  <c r="AK160" i="46"/>
  <c r="N160" i="46"/>
  <c r="AK159" i="46"/>
  <c r="N159" i="46"/>
  <c r="AK158" i="46"/>
  <c r="N158" i="46"/>
  <c r="AK157" i="46"/>
  <c r="N157" i="46"/>
  <c r="AK156" i="46"/>
  <c r="N156" i="46"/>
  <c r="AK155" i="46"/>
  <c r="N155" i="46"/>
  <c r="AK154" i="46"/>
  <c r="N154" i="46"/>
  <c r="AK153" i="46"/>
  <c r="N153" i="46"/>
  <c r="AK152" i="46"/>
  <c r="N152" i="46"/>
  <c r="AK151" i="46"/>
  <c r="N151" i="46"/>
  <c r="AK150" i="46"/>
  <c r="N150" i="46"/>
  <c r="AQ149" i="46"/>
  <c r="AK149" i="46"/>
  <c r="AA149" i="46"/>
  <c r="U149" i="46"/>
  <c r="N149" i="46"/>
  <c r="AK148" i="46"/>
  <c r="N148" i="46"/>
  <c r="AK147" i="46"/>
  <c r="N147" i="46"/>
  <c r="AK146" i="46"/>
  <c r="N146" i="46"/>
  <c r="AK145" i="46"/>
  <c r="N145" i="46"/>
  <c r="AK144" i="46"/>
  <c r="N144" i="46"/>
  <c r="AK143" i="46"/>
  <c r="N143" i="46"/>
  <c r="AK142" i="46"/>
  <c r="N142" i="46"/>
  <c r="AK141" i="46"/>
  <c r="N141" i="46"/>
  <c r="AK140" i="46"/>
  <c r="N140" i="46"/>
  <c r="AK139" i="46"/>
  <c r="N139" i="46"/>
  <c r="AK138" i="46"/>
  <c r="N138" i="46"/>
  <c r="AK137" i="46"/>
  <c r="N137" i="46"/>
  <c r="AK136" i="46"/>
  <c r="N136" i="46"/>
  <c r="AK135" i="46"/>
  <c r="N135" i="46"/>
  <c r="AK134" i="46"/>
  <c r="N134" i="46"/>
  <c r="AK133" i="46"/>
  <c r="N133" i="46"/>
  <c r="AK132" i="46"/>
  <c r="N132" i="46"/>
  <c r="AK131" i="46"/>
  <c r="N131" i="46"/>
  <c r="AK130" i="46"/>
  <c r="N130" i="46"/>
  <c r="AK129" i="46"/>
  <c r="N129" i="46"/>
  <c r="AK128" i="46"/>
  <c r="N128" i="46"/>
  <c r="AK127" i="46"/>
  <c r="N127" i="46"/>
  <c r="AK126" i="46"/>
  <c r="N126" i="46"/>
  <c r="AK125" i="46"/>
  <c r="N125" i="46"/>
  <c r="AK124" i="46"/>
  <c r="N124" i="46"/>
  <c r="AK123" i="46"/>
  <c r="N123" i="46"/>
  <c r="AK122" i="46"/>
  <c r="N122" i="46"/>
  <c r="AK121" i="46"/>
  <c r="N121" i="46"/>
  <c r="AK120" i="46"/>
  <c r="N120" i="46"/>
  <c r="AK119" i="46"/>
  <c r="N119" i="46"/>
  <c r="AK118" i="46"/>
  <c r="N118" i="46"/>
  <c r="AK117" i="46"/>
  <c r="N117" i="46"/>
  <c r="AK116" i="46"/>
  <c r="N116" i="46"/>
  <c r="AK115" i="46"/>
  <c r="N115" i="46"/>
  <c r="AK114" i="46"/>
  <c r="N114" i="46"/>
  <c r="AK113" i="46"/>
  <c r="N113" i="46"/>
  <c r="AK112" i="46"/>
  <c r="N112" i="46"/>
  <c r="AK111" i="46"/>
  <c r="N111" i="46"/>
  <c r="AK110" i="46"/>
  <c r="N110" i="46"/>
  <c r="AK109" i="46"/>
  <c r="N109" i="46"/>
  <c r="AK108" i="46"/>
  <c r="N108" i="46"/>
  <c r="AK107" i="46"/>
  <c r="N107" i="46"/>
  <c r="AK106" i="46"/>
  <c r="N106" i="46"/>
  <c r="AK105" i="46"/>
  <c r="N105" i="46"/>
  <c r="AK104" i="46"/>
  <c r="N104" i="46"/>
  <c r="AK103" i="46"/>
  <c r="N103" i="46"/>
  <c r="AK102" i="46"/>
  <c r="N102" i="46"/>
  <c r="AK101" i="46"/>
  <c r="N101" i="46"/>
  <c r="AK100" i="46"/>
  <c r="N100" i="46"/>
  <c r="AK99" i="46"/>
  <c r="N99" i="46"/>
  <c r="AK98" i="46"/>
  <c r="N98" i="46"/>
  <c r="AK97" i="46"/>
  <c r="N97" i="46"/>
  <c r="AK96" i="46"/>
  <c r="N96" i="46"/>
  <c r="AK95" i="46"/>
  <c r="N95" i="46"/>
  <c r="AK94" i="46"/>
  <c r="N94" i="46"/>
  <c r="AK93" i="46"/>
  <c r="N93" i="46"/>
  <c r="AK92" i="46"/>
  <c r="N92" i="46"/>
  <c r="AK91" i="46"/>
  <c r="N91" i="46"/>
  <c r="AK90" i="46"/>
  <c r="N90" i="46"/>
  <c r="AK89" i="46"/>
  <c r="N89" i="46"/>
  <c r="AK88" i="46"/>
  <c r="N88" i="46"/>
  <c r="AK87" i="46"/>
  <c r="N87" i="46"/>
  <c r="AK86" i="46"/>
  <c r="N86" i="46"/>
  <c r="AK85" i="46"/>
  <c r="N85" i="46"/>
  <c r="AK84" i="46"/>
  <c r="N84" i="46"/>
  <c r="AK83" i="46"/>
  <c r="N83" i="46"/>
  <c r="AK82" i="46"/>
  <c r="N82" i="46"/>
  <c r="AK81" i="46"/>
  <c r="N81" i="46"/>
  <c r="AK80" i="46"/>
  <c r="N80" i="46"/>
  <c r="AK79" i="46"/>
  <c r="N79" i="46"/>
  <c r="AK78" i="46"/>
  <c r="N78" i="46"/>
  <c r="AK77" i="46"/>
  <c r="N77" i="46"/>
  <c r="AK76" i="46"/>
  <c r="N76" i="46"/>
  <c r="AK75" i="46"/>
  <c r="N75" i="46"/>
  <c r="AK74" i="46"/>
  <c r="N74" i="46"/>
  <c r="AK73" i="46"/>
  <c r="N73" i="46"/>
  <c r="AK72" i="46"/>
  <c r="N72" i="46"/>
  <c r="AK71" i="46"/>
  <c r="N71" i="46"/>
  <c r="AK70" i="46"/>
  <c r="N70" i="46"/>
  <c r="AK69" i="46"/>
  <c r="N69" i="46"/>
  <c r="AK68" i="46"/>
  <c r="N68" i="46"/>
  <c r="AK67" i="46"/>
  <c r="N67" i="46"/>
  <c r="AK66" i="46"/>
  <c r="N66" i="46"/>
  <c r="AK65" i="46"/>
  <c r="N65" i="46"/>
  <c r="AK64" i="46"/>
  <c r="N64" i="46"/>
  <c r="AK63" i="46"/>
  <c r="N63" i="46"/>
  <c r="AK62" i="46"/>
  <c r="N62" i="46"/>
  <c r="AK61" i="46"/>
  <c r="N61" i="46"/>
  <c r="AK60" i="46"/>
  <c r="N60" i="46"/>
  <c r="N57" i="46"/>
  <c r="AR56" i="46"/>
  <c r="AR57" i="46" s="1"/>
  <c r="AI55" i="46"/>
  <c r="AI236" i="46" s="1"/>
  <c r="AI264" i="46" s="1"/>
  <c r="AH55" i="46"/>
  <c r="AH236" i="46" s="1"/>
  <c r="AH264" i="46" s="1"/>
  <c r="AE55" i="46"/>
  <c r="AC55" i="46"/>
  <c r="AK53" i="46"/>
  <c r="F53" i="46"/>
  <c r="AK52" i="46"/>
  <c r="N52" i="46"/>
  <c r="F52" i="46"/>
  <c r="AK51" i="46"/>
  <c r="F51" i="46"/>
  <c r="AK50" i="46"/>
  <c r="N50" i="46"/>
  <c r="F50" i="46"/>
  <c r="AK49" i="46"/>
  <c r="F49" i="46"/>
  <c r="AK48" i="46"/>
  <c r="N48" i="46"/>
  <c r="F48" i="46"/>
  <c r="AK47" i="46"/>
  <c r="N47" i="46"/>
  <c r="F47" i="46"/>
  <c r="AK46" i="46"/>
  <c r="N46" i="46"/>
  <c r="F46" i="46"/>
  <c r="AK45" i="46"/>
  <c r="N45" i="46"/>
  <c r="F45" i="46"/>
  <c r="AK44" i="46"/>
  <c r="N44" i="46"/>
  <c r="F44" i="46"/>
  <c r="AK43" i="46"/>
  <c r="N43" i="46"/>
  <c r="F43" i="46"/>
  <c r="AK42" i="46"/>
  <c r="N42" i="46"/>
  <c r="F42" i="46"/>
  <c r="AK41" i="46"/>
  <c r="N41" i="46"/>
  <c r="F41" i="46"/>
  <c r="AK40" i="46"/>
  <c r="N40" i="46"/>
  <c r="F40" i="46"/>
  <c r="AK39" i="46"/>
  <c r="N39" i="46"/>
  <c r="F39" i="46"/>
  <c r="AK38" i="46"/>
  <c r="N38" i="46"/>
  <c r="F38" i="46"/>
  <c r="AK37" i="46"/>
  <c r="N37" i="46"/>
  <c r="F37" i="46"/>
  <c r="AK36" i="46"/>
  <c r="N36" i="46"/>
  <c r="F36" i="46"/>
  <c r="AK35" i="46"/>
  <c r="N35" i="46"/>
  <c r="F35" i="46"/>
  <c r="AK34" i="46"/>
  <c r="N34" i="46"/>
  <c r="F34" i="46"/>
  <c r="AK33" i="46"/>
  <c r="F33" i="46"/>
  <c r="AK32" i="46"/>
  <c r="N32" i="46"/>
  <c r="F32" i="46"/>
  <c r="AK31" i="46"/>
  <c r="N31" i="46"/>
  <c r="F31" i="46"/>
  <c r="AK30" i="46"/>
  <c r="F30" i="46"/>
  <c r="AK29" i="46"/>
  <c r="N29" i="46"/>
  <c r="F29" i="46"/>
  <c r="AK28" i="46"/>
  <c r="N28" i="46"/>
  <c r="F28" i="46"/>
  <c r="AK27" i="46"/>
  <c r="N27" i="46"/>
  <c r="F27" i="46"/>
  <c r="AK26" i="46"/>
  <c r="N26" i="46"/>
  <c r="F26" i="46"/>
  <c r="AK25" i="46"/>
  <c r="N25" i="46"/>
  <c r="F25" i="46"/>
  <c r="AK24" i="46"/>
  <c r="N24" i="46"/>
  <c r="F24" i="46"/>
  <c r="AK23" i="46"/>
  <c r="N23" i="46"/>
  <c r="F23" i="46"/>
  <c r="AK22" i="46"/>
  <c r="F22" i="46"/>
  <c r="AK21" i="46"/>
  <c r="N21" i="46"/>
  <c r="F21" i="46"/>
  <c r="AK20" i="46"/>
  <c r="N20" i="46"/>
  <c r="F20" i="46"/>
  <c r="AK19" i="46"/>
  <c r="N19" i="46"/>
  <c r="F19" i="46"/>
  <c r="AK18" i="46"/>
  <c r="N18" i="46"/>
  <c r="F18" i="46"/>
  <c r="AK17" i="46"/>
  <c r="N17" i="46"/>
  <c r="F17" i="46"/>
  <c r="AK16" i="46"/>
  <c r="N16" i="46"/>
  <c r="F16" i="46"/>
  <c r="AK15" i="46"/>
  <c r="N15" i="46"/>
  <c r="F15" i="46"/>
  <c r="AK14" i="46"/>
  <c r="N14" i="46"/>
  <c r="F14" i="46"/>
  <c r="AK13" i="46"/>
  <c r="N13" i="46"/>
  <c r="E13" i="46"/>
  <c r="AK12" i="46"/>
  <c r="N12" i="46"/>
  <c r="F12" i="46"/>
  <c r="AK11" i="46"/>
  <c r="N11" i="46"/>
  <c r="F11" i="46"/>
  <c r="AK10" i="46"/>
  <c r="N10" i="46"/>
  <c r="F10" i="46"/>
  <c r="AK9" i="46"/>
  <c r="F9" i="46"/>
  <c r="AK8" i="46"/>
  <c r="N8" i="46"/>
  <c r="F8" i="46"/>
  <c r="AK7" i="46"/>
  <c r="N7" i="46"/>
  <c r="F7" i="46"/>
  <c r="AU236" i="46" l="1"/>
  <c r="B246" i="46" s="1"/>
  <c r="AA7" i="46"/>
  <c r="AQ113" i="46"/>
  <c r="AQ93" i="46"/>
  <c r="J173" i="46"/>
  <c r="L173" i="46" s="1"/>
  <c r="AQ109" i="46"/>
  <c r="J220" i="46"/>
  <c r="L220" i="46" s="1"/>
  <c r="O220" i="46" s="1"/>
  <c r="J221" i="46"/>
  <c r="L221" i="46" s="1"/>
  <c r="O221" i="46" s="1"/>
  <c r="O173" i="46"/>
  <c r="AQ97" i="46"/>
  <c r="J24" i="46"/>
  <c r="L24" i="46" s="1"/>
  <c r="O24" i="46" s="1"/>
  <c r="AQ77" i="46"/>
  <c r="AQ101" i="46"/>
  <c r="AQ81" i="46"/>
  <c r="AQ105" i="46"/>
  <c r="J139" i="46"/>
  <c r="L139" i="46" s="1"/>
  <c r="AA52" i="46"/>
  <c r="AQ80" i="46"/>
  <c r="J44" i="46"/>
  <c r="L44" i="46" s="1"/>
  <c r="O44" i="46" s="1"/>
  <c r="J65" i="46"/>
  <c r="L65" i="46" s="1"/>
  <c r="O65" i="46" s="1"/>
  <c r="AQ73" i="46"/>
  <c r="J73" i="46"/>
  <c r="L73" i="46" s="1"/>
  <c r="O73" i="46" s="1"/>
  <c r="AQ76" i="46"/>
  <c r="AQ200" i="46"/>
  <c r="J52" i="46"/>
  <c r="AQ88" i="46"/>
  <c r="AQ89" i="46"/>
  <c r="J150" i="46"/>
  <c r="L150" i="46" s="1"/>
  <c r="O150" i="46" s="1"/>
  <c r="J192" i="46"/>
  <c r="L192" i="46" s="1"/>
  <c r="O192" i="46" s="1"/>
  <c r="J32" i="46"/>
  <c r="L32" i="46" s="1"/>
  <c r="O32" i="46" s="1"/>
  <c r="AQ84" i="46"/>
  <c r="AQ85" i="46"/>
  <c r="AQ94" i="46"/>
  <c r="J135" i="46"/>
  <c r="L135" i="46" s="1"/>
  <c r="O135" i="46" s="1"/>
  <c r="AV55" i="46"/>
  <c r="AV236" i="46" s="1"/>
  <c r="AV264" i="46" s="1"/>
  <c r="AG55" i="46"/>
  <c r="AG236" i="46" s="1"/>
  <c r="J68" i="46"/>
  <c r="L68" i="46" s="1"/>
  <c r="J160" i="46"/>
  <c r="L160" i="46" s="1"/>
  <c r="O160" i="46" s="1"/>
  <c r="J191" i="46"/>
  <c r="L191" i="46" s="1"/>
  <c r="O191" i="46" s="1"/>
  <c r="J198" i="46"/>
  <c r="L198" i="46" s="1"/>
  <c r="O198" i="46" s="1"/>
  <c r="J202" i="46"/>
  <c r="L202" i="46" s="1"/>
  <c r="O202" i="46" s="1"/>
  <c r="J224" i="46"/>
  <c r="L224" i="46" s="1"/>
  <c r="O224" i="46" s="1"/>
  <c r="AU264" i="46"/>
  <c r="B244" i="46"/>
  <c r="AQ184" i="46"/>
  <c r="J8" i="46"/>
  <c r="AA11" i="46"/>
  <c r="AA51" i="46"/>
  <c r="AQ61" i="46"/>
  <c r="E55" i="46"/>
  <c r="E236" i="46" s="1"/>
  <c r="E264" i="46" s="1"/>
  <c r="F13" i="46"/>
  <c r="F55" i="46" s="1"/>
  <c r="F236" i="46" s="1"/>
  <c r="F264" i="46" s="1"/>
  <c r="AQ15" i="46"/>
  <c r="AQ24" i="46"/>
  <c r="AA40" i="46"/>
  <c r="J40" i="46"/>
  <c r="H56" i="46"/>
  <c r="AQ69" i="46"/>
  <c r="J127" i="46"/>
  <c r="L127" i="46" s="1"/>
  <c r="O127" i="46" s="1"/>
  <c r="J156" i="46"/>
  <c r="L156" i="46" s="1"/>
  <c r="O156" i="46" s="1"/>
  <c r="AQ175" i="46"/>
  <c r="AA28" i="46"/>
  <c r="G235" i="46"/>
  <c r="J154" i="46"/>
  <c r="L154" i="46" s="1"/>
  <c r="O154" i="46" s="1"/>
  <c r="J12" i="46"/>
  <c r="AA17" i="46"/>
  <c r="J17" i="46"/>
  <c r="L17" i="46" s="1"/>
  <c r="O17" i="46" s="1"/>
  <c r="J48" i="46"/>
  <c r="L48" i="46" s="1"/>
  <c r="O48" i="46" s="1"/>
  <c r="AQ99" i="46"/>
  <c r="AQ103" i="46"/>
  <c r="AQ111" i="46"/>
  <c r="J114" i="46"/>
  <c r="L114" i="46" s="1"/>
  <c r="O114" i="46" s="1"/>
  <c r="AQ222" i="46"/>
  <c r="AQ65" i="46"/>
  <c r="J78" i="46"/>
  <c r="L78" i="46" s="1"/>
  <c r="O78" i="46" s="1"/>
  <c r="AQ176" i="46"/>
  <c r="J176" i="46"/>
  <c r="L176" i="46" s="1"/>
  <c r="O176" i="46" s="1"/>
  <c r="AQ193" i="46"/>
  <c r="J193" i="46"/>
  <c r="L193" i="46" s="1"/>
  <c r="O193" i="46" s="1"/>
  <c r="AQ230" i="46"/>
  <c r="J13" i="46"/>
  <c r="L13" i="46" s="1"/>
  <c r="O13" i="46" s="1"/>
  <c r="J28" i="46"/>
  <c r="AA34" i="46"/>
  <c r="J36" i="46"/>
  <c r="L36" i="46" s="1"/>
  <c r="O36" i="46" s="1"/>
  <c r="J45" i="46"/>
  <c r="K45" i="46" s="1"/>
  <c r="AQ46" i="46"/>
  <c r="AA49" i="46"/>
  <c r="AK235" i="46"/>
  <c r="J61" i="46"/>
  <c r="L61" i="46" s="1"/>
  <c r="O61" i="46" s="1"/>
  <c r="J62" i="46"/>
  <c r="L62" i="46" s="1"/>
  <c r="O62" i="46" s="1"/>
  <c r="J64" i="46"/>
  <c r="L64" i="46" s="1"/>
  <c r="O64" i="46" s="1"/>
  <c r="J69" i="46"/>
  <c r="L69" i="46" s="1"/>
  <c r="O69" i="46" s="1"/>
  <c r="J72" i="46"/>
  <c r="L72" i="46" s="1"/>
  <c r="O72" i="46" s="1"/>
  <c r="U154" i="46"/>
  <c r="J168" i="46"/>
  <c r="L168" i="46" s="1"/>
  <c r="O168" i="46" s="1"/>
  <c r="AQ26" i="46"/>
  <c r="J41" i="46"/>
  <c r="L41" i="46" s="1"/>
  <c r="O41" i="46" s="1"/>
  <c r="AQ90" i="46"/>
  <c r="AQ98" i="46"/>
  <c r="AQ110" i="46"/>
  <c r="J118" i="46"/>
  <c r="L118" i="46" s="1"/>
  <c r="O118" i="46" s="1"/>
  <c r="J152" i="46"/>
  <c r="L152" i="46" s="1"/>
  <c r="J157" i="46"/>
  <c r="L157" i="46" s="1"/>
  <c r="O157" i="46" s="1"/>
  <c r="AQ165" i="46"/>
  <c r="J165" i="46"/>
  <c r="L165" i="46" s="1"/>
  <c r="O165" i="46" s="1"/>
  <c r="AQ187" i="46"/>
  <c r="J210" i="46"/>
  <c r="L210" i="46" s="1"/>
  <c r="O210" i="46" s="1"/>
  <c r="AQ220" i="46"/>
  <c r="O139" i="46"/>
  <c r="J149" i="46"/>
  <c r="L149" i="46" s="1"/>
  <c r="O149" i="46" s="1"/>
  <c r="AS149" i="46" s="1"/>
  <c r="AW149" i="46" s="1"/>
  <c r="AQ167" i="46"/>
  <c r="J181" i="46"/>
  <c r="L181" i="46" s="1"/>
  <c r="O181" i="46" s="1"/>
  <c r="J184" i="46"/>
  <c r="L184" i="46" s="1"/>
  <c r="O184" i="46" s="1"/>
  <c r="J206" i="46"/>
  <c r="L206" i="46" s="1"/>
  <c r="AQ207" i="46"/>
  <c r="J212" i="46"/>
  <c r="L212" i="46" s="1"/>
  <c r="O212" i="46" s="1"/>
  <c r="AQ228" i="46"/>
  <c r="J164" i="46"/>
  <c r="L164" i="46" s="1"/>
  <c r="O164" i="46" s="1"/>
  <c r="J199" i="46"/>
  <c r="L199" i="46" s="1"/>
  <c r="O199" i="46" s="1"/>
  <c r="J207" i="46"/>
  <c r="L207" i="46" s="1"/>
  <c r="O207" i="46" s="1"/>
  <c r="J216" i="46"/>
  <c r="L216" i="46" s="1"/>
  <c r="O216" i="46" s="1"/>
  <c r="AA14" i="46"/>
  <c r="J11" i="46"/>
  <c r="L11" i="46" s="1"/>
  <c r="O11" i="46" s="1"/>
  <c r="AA25" i="46"/>
  <c r="AA27" i="46"/>
  <c r="J35" i="46"/>
  <c r="J37" i="46"/>
  <c r="AA37" i="46"/>
  <c r="G56" i="46"/>
  <c r="J14" i="46"/>
  <c r="I56" i="46"/>
  <c r="J16" i="46"/>
  <c r="J18" i="46"/>
  <c r="J20" i="46"/>
  <c r="L20" i="46" s="1"/>
  <c r="O20" i="46" s="1"/>
  <c r="I55" i="46"/>
  <c r="J7" i="46"/>
  <c r="K7" i="46" s="1"/>
  <c r="AK55" i="46"/>
  <c r="J9" i="46"/>
  <c r="G55" i="46"/>
  <c r="AQ9" i="46"/>
  <c r="J21" i="46"/>
  <c r="J23" i="46"/>
  <c r="L23" i="46" s="1"/>
  <c r="O23" i="46" s="1"/>
  <c r="J25" i="46"/>
  <c r="J27" i="46"/>
  <c r="L27" i="46" s="1"/>
  <c r="O27" i="46" s="1"/>
  <c r="J29" i="46"/>
  <c r="AQ29" i="46"/>
  <c r="J31" i="46"/>
  <c r="J33" i="46"/>
  <c r="AA35" i="46"/>
  <c r="AA39" i="46"/>
  <c r="AA43" i="46"/>
  <c r="AQ62" i="46"/>
  <c r="AQ70" i="46"/>
  <c r="J182" i="46"/>
  <c r="L182" i="46" s="1"/>
  <c r="O182" i="46" s="1"/>
  <c r="J186" i="46"/>
  <c r="L186" i="46" s="1"/>
  <c r="O186" i="46" s="1"/>
  <c r="AA18" i="46"/>
  <c r="AA32" i="46"/>
  <c r="AA38" i="46"/>
  <c r="J39" i="46"/>
  <c r="L39" i="46" s="1"/>
  <c r="O39" i="46" s="1"/>
  <c r="AQ41" i="46"/>
  <c r="AA44" i="46"/>
  <c r="J47" i="46"/>
  <c r="J51" i="46"/>
  <c r="L51" i="46" s="1"/>
  <c r="O51" i="46" s="1"/>
  <c r="H55" i="46"/>
  <c r="AQ63" i="46"/>
  <c r="J82" i="46"/>
  <c r="L82" i="46" s="1"/>
  <c r="O82" i="46" s="1"/>
  <c r="AQ82" i="46"/>
  <c r="J86" i="46"/>
  <c r="L86" i="46" s="1"/>
  <c r="O86" i="46" s="1"/>
  <c r="AQ86" i="46"/>
  <c r="J90" i="46"/>
  <c r="L90" i="46" s="1"/>
  <c r="O90" i="46" s="1"/>
  <c r="J94" i="46"/>
  <c r="L94" i="46" s="1"/>
  <c r="O94" i="46" s="1"/>
  <c r="J98" i="46"/>
  <c r="L98" i="46" s="1"/>
  <c r="O98" i="46" s="1"/>
  <c r="J102" i="46"/>
  <c r="L102" i="46" s="1"/>
  <c r="O102" i="46" s="1"/>
  <c r="AQ102" i="46"/>
  <c r="J106" i="46"/>
  <c r="L106" i="46" s="1"/>
  <c r="O106" i="46" s="1"/>
  <c r="AQ106" i="46"/>
  <c r="J110" i="46"/>
  <c r="L110" i="46" s="1"/>
  <c r="O110" i="46" s="1"/>
  <c r="AA117" i="46"/>
  <c r="U119" i="46"/>
  <c r="J119" i="46"/>
  <c r="L119" i="46" s="1"/>
  <c r="O119" i="46" s="1"/>
  <c r="J123" i="46"/>
  <c r="L123" i="46" s="1"/>
  <c r="O123" i="46" s="1"/>
  <c r="J133" i="46"/>
  <c r="L133" i="46" s="1"/>
  <c r="O133" i="46" s="1"/>
  <c r="J138" i="46"/>
  <c r="L138" i="46" s="1"/>
  <c r="O138" i="46" s="1"/>
  <c r="AQ162" i="46"/>
  <c r="J10" i="46"/>
  <c r="J15" i="46"/>
  <c r="J19" i="46"/>
  <c r="J22" i="46"/>
  <c r="J26" i="46"/>
  <c r="J30" i="46"/>
  <c r="J34" i="46"/>
  <c r="J38" i="46"/>
  <c r="J42" i="46"/>
  <c r="J46" i="46"/>
  <c r="J50" i="46"/>
  <c r="I235" i="46"/>
  <c r="J66" i="46"/>
  <c r="L66" i="46" s="1"/>
  <c r="O66" i="46" s="1"/>
  <c r="AQ67" i="46"/>
  <c r="J70" i="46"/>
  <c r="L70" i="46" s="1"/>
  <c r="O70" i="46" s="1"/>
  <c r="AQ71" i="46"/>
  <c r="J74" i="46"/>
  <c r="L74" i="46" s="1"/>
  <c r="O74" i="46" s="1"/>
  <c r="AQ104" i="46"/>
  <c r="J121" i="46"/>
  <c r="L121" i="46" s="1"/>
  <c r="O121" i="46" s="1"/>
  <c r="J124" i="46"/>
  <c r="L124" i="46" s="1"/>
  <c r="O124" i="46" s="1"/>
  <c r="J134" i="46"/>
  <c r="L134" i="46" s="1"/>
  <c r="O134" i="46" s="1"/>
  <c r="AQ151" i="46"/>
  <c r="J151" i="46"/>
  <c r="L151" i="46" s="1"/>
  <c r="O151" i="46" s="1"/>
  <c r="AQ161" i="46"/>
  <c r="J166" i="46"/>
  <c r="L166" i="46" s="1"/>
  <c r="O166" i="46" s="1"/>
  <c r="J172" i="46"/>
  <c r="L172" i="46" s="1"/>
  <c r="O172" i="46" s="1"/>
  <c r="J185" i="46"/>
  <c r="L185" i="46" s="1"/>
  <c r="O185" i="46" s="1"/>
  <c r="AA197" i="46"/>
  <c r="J197" i="46"/>
  <c r="L197" i="46" s="1"/>
  <c r="O197" i="46" s="1"/>
  <c r="AA42" i="46"/>
  <c r="AQ66" i="46"/>
  <c r="AQ74" i="46"/>
  <c r="J117" i="46"/>
  <c r="L117" i="46" s="1"/>
  <c r="O117" i="46" s="1"/>
  <c r="J122" i="46"/>
  <c r="L122" i="46" s="1"/>
  <c r="O122" i="46" s="1"/>
  <c r="J159" i="46"/>
  <c r="L159" i="46" s="1"/>
  <c r="O159" i="46" s="1"/>
  <c r="J43" i="46"/>
  <c r="L43" i="46" s="1"/>
  <c r="O43" i="46" s="1"/>
  <c r="H235" i="46"/>
  <c r="AQ78" i="46"/>
  <c r="J49" i="46"/>
  <c r="J53" i="46"/>
  <c r="J60" i="46"/>
  <c r="J63" i="46"/>
  <c r="L63" i="46" s="1"/>
  <c r="O63" i="46" s="1"/>
  <c r="J67" i="46"/>
  <c r="L67" i="46" s="1"/>
  <c r="O67" i="46" s="1"/>
  <c r="AA71" i="46"/>
  <c r="J71" i="46"/>
  <c r="L71" i="46" s="1"/>
  <c r="O71" i="46" s="1"/>
  <c r="J76" i="46"/>
  <c r="L76" i="46" s="1"/>
  <c r="O76" i="46" s="1"/>
  <c r="J77" i="46"/>
  <c r="L77" i="46" s="1"/>
  <c r="O77" i="46" s="1"/>
  <c r="J80" i="46"/>
  <c r="L80" i="46" s="1"/>
  <c r="O80" i="46" s="1"/>
  <c r="J81" i="46"/>
  <c r="L81" i="46" s="1"/>
  <c r="O81" i="46" s="1"/>
  <c r="J84" i="46"/>
  <c r="L84" i="46" s="1"/>
  <c r="O84" i="46" s="1"/>
  <c r="J85" i="46"/>
  <c r="L85" i="46" s="1"/>
  <c r="O85" i="46" s="1"/>
  <c r="J88" i="46"/>
  <c r="L88" i="46" s="1"/>
  <c r="O88" i="46" s="1"/>
  <c r="J89" i="46"/>
  <c r="L89" i="46" s="1"/>
  <c r="O89" i="46" s="1"/>
  <c r="J92" i="46"/>
  <c r="L92" i="46" s="1"/>
  <c r="O92" i="46" s="1"/>
  <c r="J93" i="46"/>
  <c r="L93" i="46" s="1"/>
  <c r="O93" i="46" s="1"/>
  <c r="J96" i="46"/>
  <c r="L96" i="46" s="1"/>
  <c r="O96" i="46" s="1"/>
  <c r="J97" i="46"/>
  <c r="L97" i="46" s="1"/>
  <c r="O97" i="46" s="1"/>
  <c r="J100" i="46"/>
  <c r="L100" i="46" s="1"/>
  <c r="O100" i="46" s="1"/>
  <c r="J101" i="46"/>
  <c r="L101" i="46" s="1"/>
  <c r="O101" i="46" s="1"/>
  <c r="J104" i="46"/>
  <c r="L104" i="46" s="1"/>
  <c r="O104" i="46" s="1"/>
  <c r="J105" i="46"/>
  <c r="L105" i="46" s="1"/>
  <c r="O105" i="46" s="1"/>
  <c r="J108" i="46"/>
  <c r="L108" i="46" s="1"/>
  <c r="O108" i="46" s="1"/>
  <c r="J109" i="46"/>
  <c r="L109" i="46" s="1"/>
  <c r="O109" i="46" s="1"/>
  <c r="J112" i="46"/>
  <c r="L112" i="46" s="1"/>
  <c r="O112" i="46" s="1"/>
  <c r="J113" i="46"/>
  <c r="L113" i="46" s="1"/>
  <c r="O113" i="46" s="1"/>
  <c r="U115" i="46"/>
  <c r="J115" i="46"/>
  <c r="L115" i="46" s="1"/>
  <c r="O115" i="46" s="1"/>
  <c r="J129" i="46"/>
  <c r="L129" i="46" s="1"/>
  <c r="O129" i="46" s="1"/>
  <c r="J131" i="46"/>
  <c r="L131" i="46" s="1"/>
  <c r="O131" i="46" s="1"/>
  <c r="J143" i="46"/>
  <c r="L143" i="46" s="1"/>
  <c r="O143" i="46" s="1"/>
  <c r="J145" i="46"/>
  <c r="L145" i="46" s="1"/>
  <c r="O145" i="46" s="1"/>
  <c r="J147" i="46"/>
  <c r="L147" i="46" s="1"/>
  <c r="O147" i="46" s="1"/>
  <c r="J161" i="46"/>
  <c r="L161" i="46" s="1"/>
  <c r="O161" i="46" s="1"/>
  <c r="J180" i="46"/>
  <c r="L180" i="46" s="1"/>
  <c r="O180" i="46" s="1"/>
  <c r="AA190" i="46"/>
  <c r="J190" i="46"/>
  <c r="L190" i="46" s="1"/>
  <c r="O190" i="46" s="1"/>
  <c r="J75" i="46"/>
  <c r="L75" i="46" s="1"/>
  <c r="O75" i="46" s="1"/>
  <c r="J79" i="46"/>
  <c r="L79" i="46" s="1"/>
  <c r="O79" i="46" s="1"/>
  <c r="J83" i="46"/>
  <c r="L83" i="46" s="1"/>
  <c r="O83" i="46" s="1"/>
  <c r="J87" i="46"/>
  <c r="L87" i="46" s="1"/>
  <c r="O87" i="46" s="1"/>
  <c r="J91" i="46"/>
  <c r="L91" i="46" s="1"/>
  <c r="O91" i="46" s="1"/>
  <c r="J95" i="46"/>
  <c r="L95" i="46" s="1"/>
  <c r="O95" i="46" s="1"/>
  <c r="J99" i="46"/>
  <c r="L99" i="46" s="1"/>
  <c r="O99" i="46" s="1"/>
  <c r="J103" i="46"/>
  <c r="L103" i="46" s="1"/>
  <c r="O103" i="46" s="1"/>
  <c r="J107" i="46"/>
  <c r="L107" i="46" s="1"/>
  <c r="O107" i="46" s="1"/>
  <c r="J111" i="46"/>
  <c r="L111" i="46" s="1"/>
  <c r="O111" i="46" s="1"/>
  <c r="AA122" i="46"/>
  <c r="J126" i="46"/>
  <c r="L126" i="46" s="1"/>
  <c r="O126" i="46" s="1"/>
  <c r="J137" i="46"/>
  <c r="L137" i="46" s="1"/>
  <c r="O137" i="46" s="1"/>
  <c r="J142" i="46"/>
  <c r="L142" i="46" s="1"/>
  <c r="O142" i="46" s="1"/>
  <c r="J155" i="46"/>
  <c r="L155" i="46" s="1"/>
  <c r="O155" i="46" s="1"/>
  <c r="J163" i="46"/>
  <c r="L163" i="46" s="1"/>
  <c r="O163" i="46" s="1"/>
  <c r="J169" i="46"/>
  <c r="L169" i="46" s="1"/>
  <c r="O169" i="46" s="1"/>
  <c r="J174" i="46"/>
  <c r="L174" i="46" s="1"/>
  <c r="O174" i="46" s="1"/>
  <c r="AQ192" i="46"/>
  <c r="J204" i="46"/>
  <c r="L204" i="46" s="1"/>
  <c r="O204" i="46" s="1"/>
  <c r="J116" i="46"/>
  <c r="L116" i="46" s="1"/>
  <c r="O116" i="46" s="1"/>
  <c r="J120" i="46"/>
  <c r="L120" i="46" s="1"/>
  <c r="O120" i="46" s="1"/>
  <c r="J125" i="46"/>
  <c r="L125" i="46" s="1"/>
  <c r="O125" i="46" s="1"/>
  <c r="J130" i="46"/>
  <c r="L130" i="46" s="1"/>
  <c r="O130" i="46" s="1"/>
  <c r="J141" i="46"/>
  <c r="L141" i="46" s="1"/>
  <c r="O141" i="46" s="1"/>
  <c r="J146" i="46"/>
  <c r="L146" i="46" s="1"/>
  <c r="O146" i="46" s="1"/>
  <c r="O152" i="46"/>
  <c r="J153" i="46"/>
  <c r="L153" i="46" s="1"/>
  <c r="O153" i="46" s="1"/>
  <c r="U158" i="46"/>
  <c r="J158" i="46"/>
  <c r="L158" i="46" s="1"/>
  <c r="O158" i="46" s="1"/>
  <c r="J171" i="46"/>
  <c r="L171" i="46" s="1"/>
  <c r="O171" i="46" s="1"/>
  <c r="J177" i="46"/>
  <c r="L177" i="46" s="1"/>
  <c r="O177" i="46" s="1"/>
  <c r="AQ178" i="46"/>
  <c r="J179" i="46"/>
  <c r="L179" i="46" s="1"/>
  <c r="O179" i="46" s="1"/>
  <c r="J187" i="46"/>
  <c r="L187" i="46" s="1"/>
  <c r="O187" i="46" s="1"/>
  <c r="J201" i="46"/>
  <c r="L201" i="46" s="1"/>
  <c r="O201" i="46" s="1"/>
  <c r="J128" i="46"/>
  <c r="L128" i="46" s="1"/>
  <c r="O128" i="46" s="1"/>
  <c r="J132" i="46"/>
  <c r="L132" i="46" s="1"/>
  <c r="O132" i="46" s="1"/>
  <c r="J136" i="46"/>
  <c r="L136" i="46" s="1"/>
  <c r="O136" i="46" s="1"/>
  <c r="J140" i="46"/>
  <c r="L140" i="46" s="1"/>
  <c r="O140" i="46" s="1"/>
  <c r="J144" i="46"/>
  <c r="L144" i="46" s="1"/>
  <c r="O144" i="46" s="1"/>
  <c r="J148" i="46"/>
  <c r="L148" i="46" s="1"/>
  <c r="O148" i="46" s="1"/>
  <c r="J167" i="46"/>
  <c r="L167" i="46" s="1"/>
  <c r="O167" i="46" s="1"/>
  <c r="J175" i="46"/>
  <c r="L175" i="46" s="1"/>
  <c r="O175" i="46" s="1"/>
  <c r="J183" i="46"/>
  <c r="L183" i="46" s="1"/>
  <c r="O183" i="46" s="1"/>
  <c r="J196" i="46"/>
  <c r="L196" i="46" s="1"/>
  <c r="O196" i="46" s="1"/>
  <c r="J203" i="46"/>
  <c r="L203" i="46" s="1"/>
  <c r="O203" i="46" s="1"/>
  <c r="J225" i="46"/>
  <c r="L225" i="46" s="1"/>
  <c r="O225" i="46" s="1"/>
  <c r="U135" i="46"/>
  <c r="AQ139" i="46"/>
  <c r="AQ148" i="46"/>
  <c r="J162" i="46"/>
  <c r="L162" i="46" s="1"/>
  <c r="O162" i="46" s="1"/>
  <c r="J170" i="46"/>
  <c r="L170" i="46" s="1"/>
  <c r="O170" i="46" s="1"/>
  <c r="J178" i="46"/>
  <c r="L178" i="46" s="1"/>
  <c r="O178" i="46" s="1"/>
  <c r="J189" i="46"/>
  <c r="L189" i="46" s="1"/>
  <c r="O189" i="46" s="1"/>
  <c r="J209" i="46"/>
  <c r="L209" i="46" s="1"/>
  <c r="O209" i="46" s="1"/>
  <c r="AQ217" i="46"/>
  <c r="J217" i="46"/>
  <c r="L217" i="46" s="1"/>
  <c r="O217" i="46" s="1"/>
  <c r="U195" i="46"/>
  <c r="AQ208" i="46"/>
  <c r="AQ213" i="46"/>
  <c r="J213" i="46"/>
  <c r="L213" i="46" s="1"/>
  <c r="O213" i="46" s="1"/>
  <c r="J219" i="46"/>
  <c r="L219" i="46" s="1"/>
  <c r="O219" i="46" s="1"/>
  <c r="J188" i="46"/>
  <c r="L188" i="46" s="1"/>
  <c r="O188" i="46" s="1"/>
  <c r="AQ191" i="46"/>
  <c r="J194" i="46"/>
  <c r="L194" i="46" s="1"/>
  <c r="O194" i="46" s="1"/>
  <c r="J195" i="46"/>
  <c r="L195" i="46" s="1"/>
  <c r="O195" i="46" s="1"/>
  <c r="J200" i="46"/>
  <c r="L200" i="46" s="1"/>
  <c r="O200" i="46" s="1"/>
  <c r="J205" i="46"/>
  <c r="L205" i="46" s="1"/>
  <c r="O205" i="46" s="1"/>
  <c r="J208" i="46"/>
  <c r="L208" i="46" s="1"/>
  <c r="O208" i="46" s="1"/>
  <c r="U211" i="46"/>
  <c r="AQ215" i="46"/>
  <c r="J215" i="46"/>
  <c r="L215" i="46" s="1"/>
  <c r="O215" i="46" s="1"/>
  <c r="O206" i="46"/>
  <c r="J211" i="46"/>
  <c r="L211" i="46" s="1"/>
  <c r="O211" i="46" s="1"/>
  <c r="AQ214" i="46"/>
  <c r="AQ218" i="46"/>
  <c r="J227" i="46"/>
  <c r="L227" i="46" s="1"/>
  <c r="O227" i="46" s="1"/>
  <c r="J233" i="46"/>
  <c r="L233" i="46" s="1"/>
  <c r="O233" i="46" s="1"/>
  <c r="AA212" i="46"/>
  <c r="J214" i="46"/>
  <c r="L214" i="46" s="1"/>
  <c r="O214" i="46" s="1"/>
  <c r="J218" i="46"/>
  <c r="L218" i="46" s="1"/>
  <c r="O218" i="46" s="1"/>
  <c r="J222" i="46"/>
  <c r="L222" i="46" s="1"/>
  <c r="O222" i="46" s="1"/>
  <c r="J223" i="46"/>
  <c r="L223" i="46" s="1"/>
  <c r="O223" i="46" s="1"/>
  <c r="J228" i="46"/>
  <c r="L228" i="46" s="1"/>
  <c r="O228" i="46" s="1"/>
  <c r="J230" i="46"/>
  <c r="L230" i="46" s="1"/>
  <c r="O230" i="46" s="1"/>
  <c r="AQ232" i="46"/>
  <c r="AE236" i="46"/>
  <c r="AE264" i="46" s="1"/>
  <c r="AA223" i="46"/>
  <c r="J226" i="46"/>
  <c r="L226" i="46" s="1"/>
  <c r="O226" i="46" s="1"/>
  <c r="J231" i="46"/>
  <c r="L231" i="46" s="1"/>
  <c r="O231" i="46" s="1"/>
  <c r="J229" i="46"/>
  <c r="L229" i="46" s="1"/>
  <c r="O229" i="46" s="1"/>
  <c r="J232" i="46"/>
  <c r="L232" i="46" s="1"/>
  <c r="O232" i="46" s="1"/>
  <c r="AC236" i="46"/>
  <c r="AC264" i="46" s="1"/>
  <c r="M264" i="46"/>
  <c r="AX251" i="46" s="1"/>
  <c r="U125" i="46" l="1"/>
  <c r="AQ180" i="46"/>
  <c r="G236" i="46"/>
  <c r="G264" i="46" s="1"/>
  <c r="AQ210" i="46"/>
  <c r="AQ195" i="46"/>
  <c r="AQ32" i="46"/>
  <c r="U181" i="46"/>
  <c r="AQ205" i="46"/>
  <c r="U169" i="46"/>
  <c r="AA151" i="46"/>
  <c r="AQ95" i="46"/>
  <c r="AA13" i="46"/>
  <c r="AQ27" i="46"/>
  <c r="AQ199" i="46"/>
  <c r="G252" i="46"/>
  <c r="T14" i="39" s="1"/>
  <c r="AR250" i="46"/>
  <c r="AV251" i="46"/>
  <c r="AX252" i="46"/>
  <c r="I251" i="46"/>
  <c r="V13" i="39" s="1"/>
  <c r="AA183" i="46"/>
  <c r="U157" i="46"/>
  <c r="AA172" i="46"/>
  <c r="AA9" i="46"/>
  <c r="AQ231" i="46"/>
  <c r="U191" i="46"/>
  <c r="AV249" i="46"/>
  <c r="H252" i="46"/>
  <c r="U14" i="39" s="1"/>
  <c r="I250" i="46"/>
  <c r="V12" i="39" s="1"/>
  <c r="H249" i="46"/>
  <c r="U11" i="39" s="1"/>
  <c r="G249" i="46"/>
  <c r="T11" i="39" s="1"/>
  <c r="AR251" i="46"/>
  <c r="AV252" i="46"/>
  <c r="AA227" i="46"/>
  <c r="AQ224" i="46"/>
  <c r="AA161" i="46"/>
  <c r="U30" i="46"/>
  <c r="O68" i="46"/>
  <c r="O251" i="46" s="1"/>
  <c r="P13" i="39" s="1"/>
  <c r="B251" i="46"/>
  <c r="AQ39" i="46"/>
  <c r="AX249" i="46"/>
  <c r="AR252" i="46"/>
  <c r="AX250" i="46"/>
  <c r="G250" i="46"/>
  <c r="T12" i="39" s="1"/>
  <c r="I252" i="46"/>
  <c r="V14" i="39" s="1"/>
  <c r="U76" i="46"/>
  <c r="AA23" i="46"/>
  <c r="AQ44" i="46"/>
  <c r="H251" i="46"/>
  <c r="U13" i="39" s="1"/>
  <c r="I249" i="46"/>
  <c r="V11" i="39" s="1"/>
  <c r="G251" i="46"/>
  <c r="T13" i="39" s="1"/>
  <c r="H250" i="46"/>
  <c r="U12" i="39" s="1"/>
  <c r="AR249" i="46"/>
  <c r="AR253" i="46" s="1"/>
  <c r="AV250" i="46"/>
  <c r="U207" i="46"/>
  <c r="AA207" i="46"/>
  <c r="AS207" i="46" s="1"/>
  <c r="AW207" i="46" s="1"/>
  <c r="AA162" i="46"/>
  <c r="U87" i="46"/>
  <c r="K41" i="46"/>
  <c r="AQ36" i="46"/>
  <c r="AA215" i="46"/>
  <c r="U108" i="46"/>
  <c r="U96" i="46"/>
  <c r="U92" i="46"/>
  <c r="U68" i="46"/>
  <c r="AA182" i="46"/>
  <c r="AQ16" i="46"/>
  <c r="AA20" i="46"/>
  <c r="AA198" i="46"/>
  <c r="AA195" i="46"/>
  <c r="AS195" i="46" s="1"/>
  <c r="AW195" i="46" s="1"/>
  <c r="U120" i="46"/>
  <c r="U112" i="46"/>
  <c r="U104" i="46"/>
  <c r="AA24" i="46"/>
  <c r="AK236" i="46"/>
  <c r="AK264" i="46" s="1"/>
  <c r="K48" i="46"/>
  <c r="AA141" i="46"/>
  <c r="AA48" i="46"/>
  <c r="U208" i="46"/>
  <c r="U193" i="46"/>
  <c r="AQ189" i="46"/>
  <c r="AA139" i="46"/>
  <c r="AQ131" i="46"/>
  <c r="AA112" i="46"/>
  <c r="AA185" i="46"/>
  <c r="AQ172" i="46"/>
  <c r="AA33" i="46"/>
  <c r="AQ35" i="46"/>
  <c r="K17" i="46"/>
  <c r="U147" i="46"/>
  <c r="AQ123" i="46"/>
  <c r="U204" i="46"/>
  <c r="U155" i="46"/>
  <c r="AQ129" i="46"/>
  <c r="U124" i="46"/>
  <c r="AQ92" i="46"/>
  <c r="L45" i="46"/>
  <c r="O45" i="46" s="1"/>
  <c r="AA30" i="46"/>
  <c r="K11" i="46"/>
  <c r="AQ144" i="46"/>
  <c r="AA90" i="46"/>
  <c r="AA110" i="46"/>
  <c r="AA75" i="46"/>
  <c r="U229" i="46"/>
  <c r="AA184" i="46"/>
  <c r="AQ188" i="46"/>
  <c r="U224" i="46"/>
  <c r="AA176" i="46"/>
  <c r="U140" i="46"/>
  <c r="AQ160" i="46"/>
  <c r="AQ166" i="46"/>
  <c r="K20" i="46"/>
  <c r="AA125" i="46"/>
  <c r="AA31" i="46"/>
  <c r="U61" i="46"/>
  <c r="AQ118" i="46"/>
  <c r="AQ79" i="46"/>
  <c r="AQ21" i="46"/>
  <c r="U176" i="46"/>
  <c r="AQ206" i="46"/>
  <c r="AA224" i="46"/>
  <c r="AS224" i="46" s="1"/>
  <c r="AW224" i="46" s="1"/>
  <c r="U219" i="46"/>
  <c r="U78" i="46"/>
  <c r="AQ19" i="46"/>
  <c r="AQ87" i="46"/>
  <c r="AQ50" i="46"/>
  <c r="AQ38" i="46"/>
  <c r="U231" i="46"/>
  <c r="AQ212" i="46"/>
  <c r="AQ223" i="46"/>
  <c r="AA138" i="46"/>
  <c r="U143" i="46"/>
  <c r="U221" i="46"/>
  <c r="AA189" i="46"/>
  <c r="AA150" i="46"/>
  <c r="AQ127" i="46"/>
  <c r="U161" i="46"/>
  <c r="AQ52" i="46"/>
  <c r="U133" i="46"/>
  <c r="AA29" i="46"/>
  <c r="AA74" i="46"/>
  <c r="AQ14" i="46"/>
  <c r="AQ225" i="46"/>
  <c r="AA168" i="46"/>
  <c r="AA145" i="46"/>
  <c r="AQ154" i="46"/>
  <c r="AA169" i="46"/>
  <c r="AQ8" i="46"/>
  <c r="AQ170" i="46"/>
  <c r="K24" i="46"/>
  <c r="AA203" i="46"/>
  <c r="AA206" i="46"/>
  <c r="U183" i="46"/>
  <c r="AA171" i="46"/>
  <c r="U141" i="46"/>
  <c r="AA91" i="46"/>
  <c r="U114" i="46"/>
  <c r="U100" i="46"/>
  <c r="U67" i="46"/>
  <c r="AQ133" i="46"/>
  <c r="AQ114" i="46"/>
  <c r="AA66" i="46"/>
  <c r="AA19" i="46"/>
  <c r="U223" i="46"/>
  <c r="AS223" i="46" s="1"/>
  <c r="AW223" i="46" s="1"/>
  <c r="U192" i="46"/>
  <c r="AQ182" i="46"/>
  <c r="AQ83" i="46"/>
  <c r="AA53" i="46"/>
  <c r="AA12" i="46"/>
  <c r="AQ10" i="46"/>
  <c r="AQ197" i="46"/>
  <c r="AA173" i="46"/>
  <c r="U165" i="46"/>
  <c r="AQ128" i="46"/>
  <c r="AQ196" i="46"/>
  <c r="AQ155" i="46"/>
  <c r="AA88" i="46"/>
  <c r="AQ17" i="46"/>
  <c r="AQ120" i="46"/>
  <c r="AA41" i="46"/>
  <c r="U70" i="46"/>
  <c r="AS70" i="46" s="1"/>
  <c r="AW70" i="46" s="1"/>
  <c r="AA16" i="46"/>
  <c r="U177" i="46"/>
  <c r="AQ11" i="46"/>
  <c r="U186" i="46"/>
  <c r="AQ204" i="46"/>
  <c r="L8" i="46"/>
  <c r="O8" i="46" s="1"/>
  <c r="K8" i="46"/>
  <c r="AA175" i="46"/>
  <c r="AQ20" i="46"/>
  <c r="U168" i="46"/>
  <c r="L40" i="46"/>
  <c r="O40" i="46" s="1"/>
  <c r="K40" i="46"/>
  <c r="U210" i="46"/>
  <c r="U227" i="46"/>
  <c r="AA199" i="46"/>
  <c r="U202" i="46"/>
  <c r="AQ203" i="46"/>
  <c r="U151" i="46"/>
  <c r="AS151" i="46" s="1"/>
  <c r="AW151" i="46" s="1"/>
  <c r="AQ124" i="46"/>
  <c r="AA119" i="46"/>
  <c r="AA231" i="46"/>
  <c r="U200" i="46"/>
  <c r="AQ209" i="46"/>
  <c r="AA165" i="46"/>
  <c r="AQ143" i="46"/>
  <c r="U225" i="46"/>
  <c r="AA140" i="46"/>
  <c r="U137" i="46"/>
  <c r="AA103" i="46"/>
  <c r="U102" i="46"/>
  <c r="U86" i="46"/>
  <c r="U83" i="46"/>
  <c r="AA129" i="46"/>
  <c r="U109" i="46"/>
  <c r="U93" i="46"/>
  <c r="U72" i="46"/>
  <c r="U43" i="46"/>
  <c r="AQ34" i="46"/>
  <c r="AA46" i="46"/>
  <c r="U203" i="46"/>
  <c r="AQ173" i="46"/>
  <c r="AA62" i="46"/>
  <c r="AQ43" i="46"/>
  <c r="L12" i="46"/>
  <c r="O12" i="46" s="1"/>
  <c r="K12" i="46"/>
  <c r="AA186" i="46"/>
  <c r="L52" i="46"/>
  <c r="O52" i="46" s="1"/>
  <c r="K52" i="46"/>
  <c r="AA216" i="46"/>
  <c r="AQ125" i="46"/>
  <c r="AQ91" i="46"/>
  <c r="AA22" i="46"/>
  <c r="AQ47" i="46"/>
  <c r="AQ13" i="46"/>
  <c r="AQ137" i="46"/>
  <c r="U220" i="46"/>
  <c r="AA218" i="46"/>
  <c r="U214" i="46"/>
  <c r="AQ229" i="46"/>
  <c r="AA204" i="46"/>
  <c r="AA208" i="46"/>
  <c r="AA219" i="46"/>
  <c r="U213" i="46"/>
  <c r="U188" i="46"/>
  <c r="AA202" i="46"/>
  <c r="AA178" i="46"/>
  <c r="AA147" i="46"/>
  <c r="AQ136" i="46"/>
  <c r="U127" i="46"/>
  <c r="U123" i="46"/>
  <c r="AA187" i="46"/>
  <c r="AA179" i="46"/>
  <c r="AQ171" i="46"/>
  <c r="U164" i="46"/>
  <c r="AA157" i="46"/>
  <c r="U118" i="46"/>
  <c r="AA116" i="46"/>
  <c r="AA192" i="46"/>
  <c r="U110" i="46"/>
  <c r="U107" i="46"/>
  <c r="AA98" i="46"/>
  <c r="AA95" i="46"/>
  <c r="U94" i="46"/>
  <c r="AA180" i="46"/>
  <c r="AA121" i="46"/>
  <c r="AA80" i="46"/>
  <c r="U69" i="46"/>
  <c r="AA67" i="46"/>
  <c r="AS67" i="46" s="1"/>
  <c r="AW67" i="46" s="1"/>
  <c r="AQ45" i="46"/>
  <c r="U172" i="46"/>
  <c r="AA166" i="46"/>
  <c r="AQ112" i="46"/>
  <c r="AQ108" i="46"/>
  <c r="AQ100" i="46"/>
  <c r="AQ96" i="46"/>
  <c r="AQ48" i="46"/>
  <c r="AQ42" i="46"/>
  <c r="AA26" i="46"/>
  <c r="AA21" i="46"/>
  <c r="AQ30" i="46"/>
  <c r="AQ25" i="46"/>
  <c r="AQ23" i="46"/>
  <c r="AQ18" i="46"/>
  <c r="AQ168" i="46"/>
  <c r="AA133" i="46"/>
  <c r="K32" i="46"/>
  <c r="AA229" i="46"/>
  <c r="AA230" i="46"/>
  <c r="AQ221" i="46"/>
  <c r="AA220" i="46"/>
  <c r="U216" i="46"/>
  <c r="AA214" i="46"/>
  <c r="U215" i="46"/>
  <c r="U206" i="46"/>
  <c r="U199" i="46"/>
  <c r="U198" i="46"/>
  <c r="AA194" i="46"/>
  <c r="AA193" i="46"/>
  <c r="AA188" i="46"/>
  <c r="U217" i="46"/>
  <c r="AQ202" i="46"/>
  <c r="AA181" i="46"/>
  <c r="U173" i="46"/>
  <c r="AA143" i="46"/>
  <c r="U139" i="46"/>
  <c r="AQ135" i="46"/>
  <c r="AA123" i="46"/>
  <c r="U152" i="46"/>
  <c r="U144" i="46"/>
  <c r="AA132" i="46"/>
  <c r="AA201" i="46"/>
  <c r="AA174" i="46"/>
  <c r="AQ169" i="46"/>
  <c r="AA99" i="46"/>
  <c r="U82" i="46"/>
  <c r="U79" i="46"/>
  <c r="AQ145" i="46"/>
  <c r="U63" i="46"/>
  <c r="U49" i="46"/>
  <c r="AQ72" i="46"/>
  <c r="AA70" i="46"/>
  <c r="AA64" i="46"/>
  <c r="AQ53" i="46"/>
  <c r="U117" i="46"/>
  <c r="U64" i="46"/>
  <c r="U29" i="46"/>
  <c r="AQ156" i="46"/>
  <c r="AQ68" i="46"/>
  <c r="AQ51" i="46"/>
  <c r="AQ49" i="46"/>
  <c r="U21" i="46"/>
  <c r="AQ186" i="46"/>
  <c r="AA47" i="46"/>
  <c r="AQ33" i="46"/>
  <c r="AQ216" i="46"/>
  <c r="AQ183" i="46"/>
  <c r="AQ174" i="46"/>
  <c r="AQ152" i="46"/>
  <c r="AA137" i="46"/>
  <c r="U131" i="46"/>
  <c r="K36" i="46"/>
  <c r="AQ121" i="46"/>
  <c r="U129" i="46"/>
  <c r="AQ141" i="46"/>
  <c r="K44" i="46"/>
  <c r="AQ116" i="46"/>
  <c r="AA191" i="46"/>
  <c r="AS191" i="46" s="1"/>
  <c r="AW191" i="46" s="1"/>
  <c r="AA209" i="46"/>
  <c r="AQ147" i="46"/>
  <c r="U101" i="46"/>
  <c r="AQ40" i="46"/>
  <c r="U11" i="46"/>
  <c r="U230" i="46"/>
  <c r="U205" i="46"/>
  <c r="AA177" i="46"/>
  <c r="AA164" i="46"/>
  <c r="U122" i="46"/>
  <c r="L28" i="46"/>
  <c r="O28" i="46" s="1"/>
  <c r="K28" i="46"/>
  <c r="U25" i="46"/>
  <c r="AA232" i="46"/>
  <c r="U170" i="46"/>
  <c r="U167" i="46"/>
  <c r="U136" i="46"/>
  <c r="AQ107" i="46"/>
  <c r="U159" i="46"/>
  <c r="AA124" i="46"/>
  <c r="AS124" i="46" s="1"/>
  <c r="AW124" i="46" s="1"/>
  <c r="AQ157" i="46"/>
  <c r="U212" i="46"/>
  <c r="U233" i="46"/>
  <c r="AQ198" i="46"/>
  <c r="U194" i="46"/>
  <c r="U189" i="46"/>
  <c r="AA170" i="46"/>
  <c r="U162" i="46"/>
  <c r="AQ132" i="46"/>
  <c r="AA127" i="46"/>
  <c r="AA167" i="46"/>
  <c r="U148" i="46"/>
  <c r="AA136" i="46"/>
  <c r="U132" i="46"/>
  <c r="AQ177" i="46"/>
  <c r="AQ164" i="46"/>
  <c r="AQ158" i="46"/>
  <c r="U160" i="46"/>
  <c r="AA102" i="46"/>
  <c r="U98" i="46"/>
  <c r="AA86" i="46"/>
  <c r="AA83" i="46"/>
  <c r="U190" i="46"/>
  <c r="U180" i="46"/>
  <c r="AA118" i="46"/>
  <c r="AQ115" i="46"/>
  <c r="AA115" i="46"/>
  <c r="AA96" i="46"/>
  <c r="AS96" i="46" s="1"/>
  <c r="AW96" i="46" s="1"/>
  <c r="AA92" i="46"/>
  <c r="U73" i="46"/>
  <c r="U65" i="46"/>
  <c r="U34" i="46"/>
  <c r="U15" i="46"/>
  <c r="U10" i="46"/>
  <c r="AA72" i="46"/>
  <c r="U62" i="46"/>
  <c r="AS62" i="46" s="1"/>
  <c r="AW62" i="46" s="1"/>
  <c r="AA45" i="46"/>
  <c r="AQ185" i="46"/>
  <c r="AQ134" i="46"/>
  <c r="U156" i="46"/>
  <c r="AA36" i="46"/>
  <c r="U182" i="46"/>
  <c r="U66" i="46"/>
  <c r="AQ22" i="46"/>
  <c r="U145" i="46"/>
  <c r="AA69" i="46"/>
  <c r="AA61" i="46"/>
  <c r="U28" i="46"/>
  <c r="AA109" i="46"/>
  <c r="U51" i="46"/>
  <c r="U23" i="46"/>
  <c r="U184" i="46"/>
  <c r="U201" i="46"/>
  <c r="AQ153" i="46"/>
  <c r="AA146" i="46"/>
  <c r="U126" i="46"/>
  <c r="AA84" i="46"/>
  <c r="U26" i="46"/>
  <c r="AQ75" i="46"/>
  <c r="AA97" i="46"/>
  <c r="AA89" i="46"/>
  <c r="U166" i="46"/>
  <c r="AQ12" i="46"/>
  <c r="U74" i="46"/>
  <c r="U9" i="46"/>
  <c r="AQ181" i="46"/>
  <c r="U150" i="46"/>
  <c r="AA225" i="46"/>
  <c r="AA221" i="46"/>
  <c r="AQ226" i="46"/>
  <c r="AQ233" i="46"/>
  <c r="AA210" i="46"/>
  <c r="AQ211" i="46"/>
  <c r="AA200" i="46"/>
  <c r="AQ219" i="46"/>
  <c r="U178" i="46"/>
  <c r="AA154" i="46"/>
  <c r="AQ140" i="46"/>
  <c r="AA135" i="46"/>
  <c r="U196" i="46"/>
  <c r="AQ194" i="46"/>
  <c r="AS194" i="46" s="1"/>
  <c r="AW194" i="46" s="1"/>
  <c r="U175" i="46"/>
  <c r="AA158" i="46"/>
  <c r="AA144" i="46"/>
  <c r="AA120" i="46"/>
  <c r="U174" i="46"/>
  <c r="U163" i="46"/>
  <c r="AA107" i="46"/>
  <c r="U106" i="46"/>
  <c r="U103" i="46"/>
  <c r="AA94" i="46"/>
  <c r="U90" i="46"/>
  <c r="U53" i="46"/>
  <c r="U50" i="46"/>
  <c r="U42" i="46"/>
  <c r="AA105" i="46"/>
  <c r="U197" i="46"/>
  <c r="U185" i="46"/>
  <c r="U134" i="46"/>
  <c r="I236" i="46"/>
  <c r="I264" i="46" s="1"/>
  <c r="AQ28" i="46"/>
  <c r="H57" i="46"/>
  <c r="AA50" i="46"/>
  <c r="U33" i="46"/>
  <c r="AQ31" i="46"/>
  <c r="X55" i="46"/>
  <c r="AQ150" i="46"/>
  <c r="K13" i="46"/>
  <c r="R235" i="46"/>
  <c r="S235" i="46"/>
  <c r="AO55" i="46"/>
  <c r="AQ7" i="46"/>
  <c r="AA152" i="46"/>
  <c r="U81" i="46"/>
  <c r="Q235" i="46"/>
  <c r="U60" i="46"/>
  <c r="K42" i="46"/>
  <c r="L42" i="46"/>
  <c r="O42" i="46" s="1"/>
  <c r="AQ119" i="46"/>
  <c r="U228" i="46"/>
  <c r="AA211" i="46"/>
  <c r="AQ201" i="46"/>
  <c r="AA142" i="46"/>
  <c r="AQ126" i="46"/>
  <c r="AQ190" i="46"/>
  <c r="AA108" i="46"/>
  <c r="AA104" i="46"/>
  <c r="AA76" i="46"/>
  <c r="AS76" i="46" s="1"/>
  <c r="AW76" i="46" s="1"/>
  <c r="AM55" i="46"/>
  <c r="W235" i="46"/>
  <c r="AA60" i="46"/>
  <c r="U48" i="46"/>
  <c r="AQ117" i="46"/>
  <c r="AQ64" i="46"/>
  <c r="AM235" i="46"/>
  <c r="AQ60" i="46"/>
  <c r="L9" i="46"/>
  <c r="K9" i="46"/>
  <c r="L37" i="46"/>
  <c r="O37" i="46" s="1"/>
  <c r="K37" i="46"/>
  <c r="AA15" i="46"/>
  <c r="U153" i="46"/>
  <c r="L49" i="46"/>
  <c r="O49" i="46" s="1"/>
  <c r="K49" i="46"/>
  <c r="L16" i="46"/>
  <c r="O16" i="46" s="1"/>
  <c r="K16" i="46"/>
  <c r="AA196" i="46"/>
  <c r="AA128" i="46"/>
  <c r="U130" i="46"/>
  <c r="AA155" i="46"/>
  <c r="AA78" i="46"/>
  <c r="S55" i="46"/>
  <c r="U39" i="46"/>
  <c r="K26" i="46"/>
  <c r="L26" i="46"/>
  <c r="O26" i="46" s="1"/>
  <c r="K15" i="46"/>
  <c r="L15" i="46"/>
  <c r="O15" i="46" s="1"/>
  <c r="L47" i="46"/>
  <c r="O47" i="46" s="1"/>
  <c r="K47" i="46"/>
  <c r="U44" i="46"/>
  <c r="AA8" i="46"/>
  <c r="W55" i="46"/>
  <c r="L33" i="46"/>
  <c r="O33" i="46" s="1"/>
  <c r="K33" i="46"/>
  <c r="L31" i="46"/>
  <c r="O31" i="46" s="1"/>
  <c r="K31" i="46"/>
  <c r="U18" i="46"/>
  <c r="U232" i="46"/>
  <c r="U226" i="46"/>
  <c r="U222" i="46"/>
  <c r="AQ227" i="46"/>
  <c r="AS227" i="46" s="1"/>
  <c r="AW227" i="46" s="1"/>
  <c r="AA213" i="46"/>
  <c r="U171" i="46"/>
  <c r="AQ130" i="46"/>
  <c r="AA163" i="46"/>
  <c r="U111" i="46"/>
  <c r="U95" i="46"/>
  <c r="AQ159" i="46"/>
  <c r="AA100" i="46"/>
  <c r="AA73" i="46"/>
  <c r="AS73" i="46" s="1"/>
  <c r="AW73" i="46" s="1"/>
  <c r="U71" i="46"/>
  <c r="AS71" i="46" s="1"/>
  <c r="AW71" i="46" s="1"/>
  <c r="AA65" i="46"/>
  <c r="Y235" i="46"/>
  <c r="U113" i="46"/>
  <c r="U105" i="46"/>
  <c r="U97" i="46"/>
  <c r="U89" i="46"/>
  <c r="K50" i="46"/>
  <c r="L50" i="46"/>
  <c r="O50" i="46" s="1"/>
  <c r="K46" i="46"/>
  <c r="L46" i="46"/>
  <c r="O46" i="46" s="1"/>
  <c r="K22" i="46"/>
  <c r="L22" i="46"/>
  <c r="O22" i="46" s="1"/>
  <c r="AA10" i="46"/>
  <c r="Y55" i="46"/>
  <c r="AN235" i="46"/>
  <c r="K51" i="46"/>
  <c r="AN55" i="46"/>
  <c r="L29" i="46"/>
  <c r="O29" i="46" s="1"/>
  <c r="K29" i="46"/>
  <c r="K39" i="46"/>
  <c r="L35" i="46"/>
  <c r="O35" i="46" s="1"/>
  <c r="K35" i="46"/>
  <c r="B243" i="46"/>
  <c r="AG264" i="46"/>
  <c r="AA228" i="46"/>
  <c r="AA226" i="46"/>
  <c r="AA222" i="46"/>
  <c r="U218" i="46"/>
  <c r="AA233" i="46"/>
  <c r="AA205" i="46"/>
  <c r="AA217" i="46"/>
  <c r="U209" i="46"/>
  <c r="AA131" i="46"/>
  <c r="AA148" i="46"/>
  <c r="U128" i="46"/>
  <c r="AQ179" i="46"/>
  <c r="AA153" i="46"/>
  <c r="U146" i="46"/>
  <c r="AA160" i="46"/>
  <c r="U142" i="46"/>
  <c r="AA111" i="46"/>
  <c r="U91" i="46"/>
  <c r="AA82" i="46"/>
  <c r="AA79" i="46"/>
  <c r="U75" i="46"/>
  <c r="U84" i="46"/>
  <c r="AA63" i="46"/>
  <c r="L53" i="46"/>
  <c r="O53" i="46" s="1"/>
  <c r="K53" i="46"/>
  <c r="U46" i="46"/>
  <c r="R55" i="46"/>
  <c r="H236" i="46"/>
  <c r="H264" i="46" s="1"/>
  <c r="U40" i="46"/>
  <c r="U12" i="46"/>
  <c r="AA159" i="46"/>
  <c r="AA113" i="46"/>
  <c r="AA93" i="46"/>
  <c r="U85" i="46"/>
  <c r="U47" i="46"/>
  <c r="K38" i="46"/>
  <c r="L38" i="46"/>
  <c r="O38" i="46" s="1"/>
  <c r="U35" i="46"/>
  <c r="U31" i="46"/>
  <c r="U22" i="46"/>
  <c r="U20" i="46"/>
  <c r="Q55" i="46"/>
  <c r="U7" i="46"/>
  <c r="AA156" i="46"/>
  <c r="AQ138" i="46"/>
  <c r="AQ122" i="46"/>
  <c r="AA114" i="46"/>
  <c r="U36" i="46"/>
  <c r="U24" i="46"/>
  <c r="AS24" i="46" s="1"/>
  <c r="AW24" i="46" s="1"/>
  <c r="U13" i="46"/>
  <c r="U8" i="46"/>
  <c r="AA101" i="46"/>
  <c r="AA85" i="46"/>
  <c r="U14" i="46"/>
  <c r="G57" i="46"/>
  <c r="I57" i="46"/>
  <c r="L18" i="46"/>
  <c r="O18" i="46" s="1"/>
  <c r="K18" i="46"/>
  <c r="U37" i="46"/>
  <c r="K27" i="46"/>
  <c r="K23" i="46"/>
  <c r="U187" i="46"/>
  <c r="U179" i="46"/>
  <c r="AQ146" i="46"/>
  <c r="AA130" i="46"/>
  <c r="U116" i="46"/>
  <c r="AQ163" i="46"/>
  <c r="AQ142" i="46"/>
  <c r="AA126" i="46"/>
  <c r="AA106" i="46"/>
  <c r="AS106" i="46" s="1"/>
  <c r="AW106" i="46" s="1"/>
  <c r="U99" i="46"/>
  <c r="AA87" i="46"/>
  <c r="AO235" i="46"/>
  <c r="U88" i="46"/>
  <c r="U80" i="46"/>
  <c r="J235" i="46"/>
  <c r="L60" i="46"/>
  <c r="B252" i="46" s="1"/>
  <c r="U38" i="46"/>
  <c r="U19" i="46"/>
  <c r="U52" i="46"/>
  <c r="U17" i="46"/>
  <c r="AS17" i="46" s="1"/>
  <c r="AW17" i="46" s="1"/>
  <c r="AA77" i="46"/>
  <c r="U45" i="46"/>
  <c r="AA134" i="46"/>
  <c r="U121" i="46"/>
  <c r="U77" i="46"/>
  <c r="X235" i="46"/>
  <c r="K34" i="46"/>
  <c r="L34" i="46"/>
  <c r="O34" i="46" s="1"/>
  <c r="K30" i="46"/>
  <c r="L30" i="46"/>
  <c r="O30" i="46" s="1"/>
  <c r="U27" i="46"/>
  <c r="AS27" i="46" s="1"/>
  <c r="AW27" i="46" s="1"/>
  <c r="K19" i="46"/>
  <c r="L19" i="46"/>
  <c r="O19" i="46" s="1"/>
  <c r="U16" i="46"/>
  <c r="K10" i="46"/>
  <c r="L10" i="46"/>
  <c r="O10" i="46" s="1"/>
  <c r="U138" i="46"/>
  <c r="AA68" i="46"/>
  <c r="U32" i="46"/>
  <c r="AS32" i="46" s="1"/>
  <c r="AW32" i="46" s="1"/>
  <c r="AA81" i="46"/>
  <c r="U41" i="46"/>
  <c r="AS41" i="46" s="1"/>
  <c r="AW41" i="46" s="1"/>
  <c r="L25" i="46"/>
  <c r="O25" i="46" s="1"/>
  <c r="K25" i="46"/>
  <c r="L21" i="46"/>
  <c r="O21" i="46" s="1"/>
  <c r="K21" i="46"/>
  <c r="J55" i="46"/>
  <c r="L7" i="46"/>
  <c r="L14" i="46"/>
  <c r="O14" i="46" s="1"/>
  <c r="K14" i="46"/>
  <c r="K43" i="46"/>
  <c r="AQ37" i="46"/>
  <c r="AS220" i="46" l="1"/>
  <c r="AW220" i="46" s="1"/>
  <c r="AS192" i="46"/>
  <c r="AW192" i="46" s="1"/>
  <c r="AS80" i="46"/>
  <c r="AW80" i="46" s="1"/>
  <c r="AS117" i="46"/>
  <c r="AW117" i="46" s="1"/>
  <c r="AS174" i="46"/>
  <c r="AW174" i="46" s="1"/>
  <c r="AX253" i="46"/>
  <c r="AS214" i="46"/>
  <c r="AW214" i="46" s="1"/>
  <c r="AS92" i="46"/>
  <c r="AW92" i="46" s="1"/>
  <c r="AS158" i="46"/>
  <c r="AW158" i="46" s="1"/>
  <c r="AS123" i="46"/>
  <c r="AW123" i="46" s="1"/>
  <c r="AA250" i="46"/>
  <c r="AQ252" i="46"/>
  <c r="AS83" i="46"/>
  <c r="AW83" i="46" s="1"/>
  <c r="AS141" i="46"/>
  <c r="AW141" i="46" s="1"/>
  <c r="AS169" i="46"/>
  <c r="AW169" i="46" s="1"/>
  <c r="AS215" i="46"/>
  <c r="AW215" i="46" s="1"/>
  <c r="AS75" i="46"/>
  <c r="AW75" i="46" s="1"/>
  <c r="AQ249" i="46"/>
  <c r="AS184" i="46"/>
  <c r="AW184" i="46" s="1"/>
  <c r="AS180" i="46"/>
  <c r="AW180" i="46" s="1"/>
  <c r="AS162" i="46"/>
  <c r="AW162" i="46" s="1"/>
  <c r="AS198" i="46"/>
  <c r="AW198" i="46" s="1"/>
  <c r="AQ251" i="46"/>
  <c r="U251" i="46"/>
  <c r="AS155" i="46"/>
  <c r="AW155" i="46" s="1"/>
  <c r="AA249" i="46"/>
  <c r="AS131" i="46"/>
  <c r="AW131" i="46" s="1"/>
  <c r="AA251" i="46"/>
  <c r="AS79" i="46"/>
  <c r="AW79" i="46" s="1"/>
  <c r="AS39" i="46"/>
  <c r="AW39" i="46" s="1"/>
  <c r="U252" i="46"/>
  <c r="AS90" i="46"/>
  <c r="AW90" i="46" s="1"/>
  <c r="AS125" i="46"/>
  <c r="AW125" i="46" s="1"/>
  <c r="AS161" i="46"/>
  <c r="AW161" i="46" s="1"/>
  <c r="G253" i="46"/>
  <c r="T15" i="39" s="1"/>
  <c r="AV253" i="46"/>
  <c r="B250" i="46"/>
  <c r="AS72" i="46"/>
  <c r="AW72" i="46" s="1"/>
  <c r="AS113" i="46"/>
  <c r="AW113" i="46" s="1"/>
  <c r="AA252" i="46"/>
  <c r="AS104" i="46"/>
  <c r="AW104" i="46" s="1"/>
  <c r="AQ250" i="46"/>
  <c r="AS212" i="46"/>
  <c r="AW212" i="46" s="1"/>
  <c r="AS199" i="46"/>
  <c r="AW199" i="46" s="1"/>
  <c r="U250" i="46"/>
  <c r="AS217" i="46"/>
  <c r="AW217" i="46" s="1"/>
  <c r="AS44" i="46"/>
  <c r="AW44" i="46" s="1"/>
  <c r="B249" i="46"/>
  <c r="AS150" i="46"/>
  <c r="AW150" i="46" s="1"/>
  <c r="U249" i="46"/>
  <c r="AS109" i="46"/>
  <c r="AW109" i="46" s="1"/>
  <c r="AS193" i="46"/>
  <c r="AW193" i="46" s="1"/>
  <c r="AS129" i="46"/>
  <c r="AW129" i="46" s="1"/>
  <c r="AS143" i="46"/>
  <c r="AW143" i="46" s="1"/>
  <c r="AS203" i="46"/>
  <c r="AW203" i="46" s="1"/>
  <c r="AS204" i="46"/>
  <c r="AW204" i="46" s="1"/>
  <c r="I253" i="46"/>
  <c r="V15" i="39" s="1"/>
  <c r="H253" i="46"/>
  <c r="U15" i="39" s="1"/>
  <c r="AS48" i="46"/>
  <c r="AW48" i="46" s="1"/>
  <c r="AS167" i="46"/>
  <c r="AW167" i="46" s="1"/>
  <c r="AS139" i="46"/>
  <c r="AW139" i="46" s="1"/>
  <c r="AS30" i="46"/>
  <c r="AW30" i="46" s="1"/>
  <c r="AS45" i="46"/>
  <c r="AW45" i="46" s="1"/>
  <c r="AS87" i="46"/>
  <c r="AW87" i="46" s="1"/>
  <c r="AS15" i="46"/>
  <c r="AW15" i="46" s="1"/>
  <c r="AS112" i="46"/>
  <c r="AW112" i="46" s="1"/>
  <c r="AS97" i="46"/>
  <c r="AW97" i="46" s="1"/>
  <c r="AS23" i="46"/>
  <c r="AW23" i="46" s="1"/>
  <c r="AS172" i="46"/>
  <c r="AW172" i="46" s="1"/>
  <c r="AS61" i="46"/>
  <c r="AW61" i="46" s="1"/>
  <c r="AS200" i="46"/>
  <c r="AW200" i="46" s="1"/>
  <c r="AS225" i="46"/>
  <c r="AW225" i="46" s="1"/>
  <c r="AS74" i="46"/>
  <c r="AW74" i="46" s="1"/>
  <c r="AS102" i="46"/>
  <c r="AW102" i="46" s="1"/>
  <c r="AS208" i="46"/>
  <c r="AW208" i="46" s="1"/>
  <c r="AS120" i="46"/>
  <c r="AW120" i="46" s="1"/>
  <c r="AS197" i="46"/>
  <c r="AW197" i="46" s="1"/>
  <c r="AS114" i="46"/>
  <c r="AW114" i="46" s="1"/>
  <c r="AS183" i="46"/>
  <c r="AW183" i="46" s="1"/>
  <c r="AS122" i="46"/>
  <c r="AW122" i="46" s="1"/>
  <c r="AS89" i="46"/>
  <c r="AW89" i="46" s="1"/>
  <c r="AS100" i="46"/>
  <c r="AW100" i="46" s="1"/>
  <c r="AS78" i="46"/>
  <c r="AW78" i="46" s="1"/>
  <c r="AS178" i="46"/>
  <c r="AW178" i="46" s="1"/>
  <c r="AS218" i="46"/>
  <c r="AW218" i="46" s="1"/>
  <c r="AS99" i="46"/>
  <c r="AW99" i="46" s="1"/>
  <c r="AS63" i="46"/>
  <c r="AW63" i="46" s="1"/>
  <c r="AS160" i="46"/>
  <c r="AW160" i="46" s="1"/>
  <c r="AS110" i="46"/>
  <c r="AW110" i="46" s="1"/>
  <c r="AS165" i="46"/>
  <c r="AW165" i="46" s="1"/>
  <c r="AS38" i="46"/>
  <c r="AW38" i="46" s="1"/>
  <c r="AS135" i="46"/>
  <c r="AW135" i="46" s="1"/>
  <c r="AS219" i="46"/>
  <c r="AW219" i="46" s="1"/>
  <c r="AS188" i="46"/>
  <c r="AW188" i="46" s="1"/>
  <c r="AS164" i="46"/>
  <c r="AW164" i="46" s="1"/>
  <c r="AS136" i="46"/>
  <c r="AW136" i="46" s="1"/>
  <c r="AS216" i="46"/>
  <c r="AW216" i="46" s="1"/>
  <c r="AS181" i="46"/>
  <c r="AW181" i="46" s="1"/>
  <c r="AS66" i="46"/>
  <c r="AW66" i="46" s="1"/>
  <c r="AS118" i="46"/>
  <c r="AW118" i="46" s="1"/>
  <c r="AS176" i="46"/>
  <c r="AW176" i="46" s="1"/>
  <c r="AS154" i="46"/>
  <c r="AW154" i="46" s="1"/>
  <c r="AS147" i="46"/>
  <c r="AW147" i="46" s="1"/>
  <c r="AS189" i="46"/>
  <c r="AW189" i="46" s="1"/>
  <c r="AS11" i="46"/>
  <c r="AW11" i="46" s="1"/>
  <c r="AS173" i="46"/>
  <c r="AW173" i="46" s="1"/>
  <c r="AS43" i="46"/>
  <c r="AW43" i="46" s="1"/>
  <c r="AS103" i="46"/>
  <c r="AW103" i="46" s="1"/>
  <c r="AS231" i="46"/>
  <c r="AW231" i="46" s="1"/>
  <c r="AS88" i="46"/>
  <c r="AW88" i="46" s="1"/>
  <c r="AS53" i="46"/>
  <c r="AW53" i="46" s="1"/>
  <c r="AS209" i="46"/>
  <c r="AW209" i="46" s="1"/>
  <c r="AS52" i="46"/>
  <c r="AW52" i="46" s="1"/>
  <c r="AS8" i="46"/>
  <c r="AW8" i="46" s="1"/>
  <c r="AS33" i="46"/>
  <c r="AW33" i="46" s="1"/>
  <c r="AS182" i="46"/>
  <c r="AW182" i="46" s="1"/>
  <c r="AS152" i="46"/>
  <c r="AW152" i="46" s="1"/>
  <c r="AS28" i="46"/>
  <c r="AW28" i="46" s="1"/>
  <c r="AS115" i="46"/>
  <c r="AW115" i="46" s="1"/>
  <c r="AS177" i="46"/>
  <c r="AW177" i="46" s="1"/>
  <c r="AS127" i="46"/>
  <c r="AW127" i="46" s="1"/>
  <c r="AN236" i="46"/>
  <c r="AN264" i="46" s="1"/>
  <c r="AS85" i="46"/>
  <c r="AW85" i="46" s="1"/>
  <c r="AS20" i="46"/>
  <c r="AW20" i="46" s="1"/>
  <c r="AS128" i="46"/>
  <c r="AW128" i="46" s="1"/>
  <c r="AS221" i="46"/>
  <c r="AW221" i="46" s="1"/>
  <c r="AS185" i="46"/>
  <c r="AW185" i="46" s="1"/>
  <c r="AS116" i="46"/>
  <c r="AW116" i="46" s="1"/>
  <c r="AS202" i="46"/>
  <c r="AW202" i="46" s="1"/>
  <c r="AS175" i="46"/>
  <c r="AW175" i="46" s="1"/>
  <c r="AS101" i="46"/>
  <c r="AW101" i="46" s="1"/>
  <c r="AS196" i="46"/>
  <c r="AW196" i="46" s="1"/>
  <c r="AS108" i="46"/>
  <c r="AW108" i="46" s="1"/>
  <c r="AS210" i="46"/>
  <c r="AW210" i="46" s="1"/>
  <c r="AS49" i="46"/>
  <c r="AW49" i="46" s="1"/>
  <c r="AS230" i="46"/>
  <c r="AW230" i="46" s="1"/>
  <c r="AS21" i="46"/>
  <c r="AW21" i="46" s="1"/>
  <c r="AS229" i="46"/>
  <c r="AW229" i="46" s="1"/>
  <c r="AS137" i="46"/>
  <c r="AW137" i="46" s="1"/>
  <c r="AS86" i="46"/>
  <c r="AW86" i="46" s="1"/>
  <c r="AS140" i="46"/>
  <c r="AW140" i="46" s="1"/>
  <c r="AS171" i="46"/>
  <c r="AW171" i="46" s="1"/>
  <c r="AS144" i="46"/>
  <c r="AW144" i="46" s="1"/>
  <c r="AS145" i="46"/>
  <c r="AW145" i="46" s="1"/>
  <c r="AS134" i="46"/>
  <c r="AW134" i="46" s="1"/>
  <c r="AS98" i="46"/>
  <c r="AW98" i="46" s="1"/>
  <c r="AS206" i="46"/>
  <c r="AW206" i="46" s="1"/>
  <c r="AS133" i="46"/>
  <c r="AW133" i="46" s="1"/>
  <c r="AS95" i="46"/>
  <c r="AW95" i="46" s="1"/>
  <c r="AS13" i="46"/>
  <c r="AW13" i="46" s="1"/>
  <c r="AS186" i="46"/>
  <c r="AW186" i="46" s="1"/>
  <c r="AS168" i="46"/>
  <c r="AW168" i="46" s="1"/>
  <c r="AS107" i="46"/>
  <c r="AW107" i="46" s="1"/>
  <c r="AS19" i="46"/>
  <c r="AW19" i="46" s="1"/>
  <c r="AS35" i="46"/>
  <c r="AW35" i="46" s="1"/>
  <c r="AS213" i="46"/>
  <c r="AW213" i="46" s="1"/>
  <c r="AS94" i="46"/>
  <c r="AW94" i="46" s="1"/>
  <c r="AS166" i="46"/>
  <c r="AW166" i="46" s="1"/>
  <c r="AS26" i="46"/>
  <c r="AW26" i="46" s="1"/>
  <c r="AS121" i="46"/>
  <c r="AW121" i="46" s="1"/>
  <c r="AS187" i="46"/>
  <c r="AW187" i="46" s="1"/>
  <c r="AS12" i="46"/>
  <c r="AW12" i="46" s="1"/>
  <c r="AS46" i="46"/>
  <c r="AW46" i="46" s="1"/>
  <c r="AS82" i="46"/>
  <c r="AW82" i="46" s="1"/>
  <c r="AS205" i="46"/>
  <c r="AW205" i="46" s="1"/>
  <c r="AS222" i="46"/>
  <c r="AW222" i="46" s="1"/>
  <c r="AS29" i="46"/>
  <c r="AW29" i="46" s="1"/>
  <c r="AS50" i="46"/>
  <c r="AW50" i="46" s="1"/>
  <c r="AS65" i="46"/>
  <c r="AW65" i="46" s="1"/>
  <c r="AS232" i="46"/>
  <c r="AW232" i="46" s="1"/>
  <c r="AS119" i="46"/>
  <c r="AW119" i="46" s="1"/>
  <c r="AS84" i="46"/>
  <c r="AW84" i="46" s="1"/>
  <c r="AS51" i="46"/>
  <c r="AW51" i="46" s="1"/>
  <c r="AS25" i="46"/>
  <c r="AW25" i="46" s="1"/>
  <c r="AS68" i="46"/>
  <c r="AS16" i="46"/>
  <c r="AW16" i="46" s="1"/>
  <c r="AS93" i="46"/>
  <c r="AW93" i="46" s="1"/>
  <c r="AS40" i="46"/>
  <c r="AW40" i="46" s="1"/>
  <c r="AS91" i="46"/>
  <c r="AW91" i="46" s="1"/>
  <c r="AS105" i="46"/>
  <c r="AW105" i="46" s="1"/>
  <c r="AS64" i="46"/>
  <c r="AW64" i="46" s="1"/>
  <c r="AS42" i="46"/>
  <c r="AW42" i="46" s="1"/>
  <c r="AS69" i="46"/>
  <c r="AW69" i="46" s="1"/>
  <c r="AS132" i="46"/>
  <c r="AW132" i="46" s="1"/>
  <c r="AS157" i="46"/>
  <c r="AW157" i="46" s="1"/>
  <c r="AS170" i="46"/>
  <c r="AW170" i="46" s="1"/>
  <c r="AS31" i="46"/>
  <c r="AW31" i="46" s="1"/>
  <c r="AS18" i="46"/>
  <c r="AW18" i="46" s="1"/>
  <c r="AA55" i="46"/>
  <c r="X236" i="46"/>
  <c r="X264" i="46" s="1"/>
  <c r="AS163" i="46"/>
  <c r="AW163" i="46" s="1"/>
  <c r="AS14" i="46"/>
  <c r="AW14" i="46" s="1"/>
  <c r="AS156" i="46"/>
  <c r="AW156" i="46" s="1"/>
  <c r="AS22" i="46"/>
  <c r="AW22" i="46" s="1"/>
  <c r="AS153" i="46"/>
  <c r="AW153" i="46" s="1"/>
  <c r="AS148" i="46"/>
  <c r="AW148" i="46" s="1"/>
  <c r="AS226" i="46"/>
  <c r="AW226" i="46" s="1"/>
  <c r="AS130" i="46"/>
  <c r="AW130" i="46" s="1"/>
  <c r="AS201" i="46"/>
  <c r="AW201" i="46" s="1"/>
  <c r="AS211" i="46"/>
  <c r="AW211" i="46" s="1"/>
  <c r="AS36" i="46"/>
  <c r="AW36" i="46" s="1"/>
  <c r="AS34" i="46"/>
  <c r="AW34" i="46" s="1"/>
  <c r="J236" i="46"/>
  <c r="J264" i="46" s="1"/>
  <c r="AS146" i="46"/>
  <c r="AW146" i="46" s="1"/>
  <c r="AS233" i="46"/>
  <c r="AW233" i="46" s="1"/>
  <c r="AS228" i="46"/>
  <c r="AW228" i="46" s="1"/>
  <c r="AS111" i="46"/>
  <c r="AW111" i="46" s="1"/>
  <c r="AS190" i="46"/>
  <c r="AW190" i="46" s="1"/>
  <c r="AQ235" i="46"/>
  <c r="AS37" i="46"/>
  <c r="AW37" i="46" s="1"/>
  <c r="AS77" i="46"/>
  <c r="AW77" i="46" s="1"/>
  <c r="AO236" i="46"/>
  <c r="AO264" i="46" s="1"/>
  <c r="AO240" i="46"/>
  <c r="AS179" i="46"/>
  <c r="AW179" i="46" s="1"/>
  <c r="AS159" i="46"/>
  <c r="AW159" i="46" s="1"/>
  <c r="U235" i="46"/>
  <c r="S236" i="46"/>
  <c r="S264" i="46" s="1"/>
  <c r="S238" i="46"/>
  <c r="AS81" i="46"/>
  <c r="AW81" i="46" s="1"/>
  <c r="L235" i="46"/>
  <c r="O60" i="46"/>
  <c r="AS142" i="46"/>
  <c r="AW142" i="46" s="1"/>
  <c r="AS138" i="46"/>
  <c r="AW138" i="46" s="1"/>
  <c r="AS47" i="46"/>
  <c r="AW47" i="46" s="1"/>
  <c r="AS10" i="46"/>
  <c r="AW10" i="46" s="1"/>
  <c r="AS126" i="46"/>
  <c r="AW126" i="46" s="1"/>
  <c r="Q238" i="46"/>
  <c r="Q236" i="46"/>
  <c r="Q264" i="46" s="1"/>
  <c r="R236" i="46"/>
  <c r="R264" i="46" s="1"/>
  <c r="R238" i="46"/>
  <c r="O9" i="46"/>
  <c r="AA235" i="46"/>
  <c r="L55" i="46"/>
  <c r="O7" i="46"/>
  <c r="O250" i="46" s="1"/>
  <c r="P12" i="39" s="1"/>
  <c r="U55" i="46"/>
  <c r="Y236" i="46"/>
  <c r="Y264" i="46" s="1"/>
  <c r="AM236" i="46"/>
  <c r="AM264" i="46" s="1"/>
  <c r="W236" i="46"/>
  <c r="W264" i="46" s="1"/>
  <c r="AQ55" i="46"/>
  <c r="AQ253" i="46" l="1"/>
  <c r="B253" i="46"/>
  <c r="U253" i="46"/>
  <c r="O235" i="46"/>
  <c r="B239" i="46" s="1"/>
  <c r="O252" i="46"/>
  <c r="P14" i="39" s="1"/>
  <c r="AS9" i="46"/>
  <c r="O249" i="46"/>
  <c r="P11" i="39" s="1"/>
  <c r="AW68" i="46"/>
  <c r="AS251" i="46"/>
  <c r="AA253" i="46"/>
  <c r="O55" i="46"/>
  <c r="AS60" i="46"/>
  <c r="AS252" i="46" s="1"/>
  <c r="AA236" i="46"/>
  <c r="AA264" i="46" s="1"/>
  <c r="B241" i="46"/>
  <c r="O236" i="46"/>
  <c r="O264" i="46" s="1"/>
  <c r="AQ236" i="46"/>
  <c r="AQ264" i="46" s="1"/>
  <c r="B242" i="46"/>
  <c r="AS7" i="46"/>
  <c r="AS250" i="46" s="1"/>
  <c r="L236" i="46"/>
  <c r="L264" i="46" s="1"/>
  <c r="B240" i="46"/>
  <c r="U236" i="46"/>
  <c r="O253" i="46" l="1"/>
  <c r="AW9" i="46"/>
  <c r="AS249" i="46"/>
  <c r="AS253" i="46" s="1"/>
  <c r="AS235" i="46"/>
  <c r="AW60" i="46"/>
  <c r="AW235" i="46" s="1"/>
  <c r="AS55" i="46"/>
  <c r="AW7" i="46"/>
  <c r="AW55" i="46" s="1"/>
  <c r="U264" i="46"/>
  <c r="U238" i="46"/>
  <c r="B245" i="46"/>
  <c r="B247" i="46" s="1"/>
  <c r="AS236" i="46" l="1"/>
  <c r="AS264" i="46" s="1"/>
  <c r="AW236" i="46"/>
  <c r="AW238" i="46" s="1"/>
  <c r="AW243" i="46" l="1"/>
  <c r="AW264" i="46"/>
  <c r="CI13" i="43" l="1"/>
  <c r="CF12" i="43"/>
  <c r="CH13" i="43"/>
  <c r="CE12" i="43"/>
  <c r="CK14" i="43"/>
  <c r="CC21" i="43"/>
  <c r="CC22" i="43"/>
  <c r="CC20" i="43"/>
  <c r="CC23" i="43" s="1"/>
  <c r="CB7" i="43"/>
  <c r="CB8" i="43"/>
  <c r="CB9" i="43"/>
  <c r="CB10" i="43"/>
  <c r="CB11" i="43"/>
  <c r="CB12" i="43"/>
  <c r="CB13" i="43"/>
  <c r="CB6" i="43"/>
  <c r="CA23" i="43"/>
  <c r="CK23" i="43" s="1"/>
  <c r="CK24" i="43" s="1"/>
  <c r="CB23" i="43"/>
  <c r="BZ23" i="43"/>
  <c r="CA14" i="43"/>
  <c r="CC14" i="43"/>
  <c r="BZ11" i="43"/>
  <c r="AS38" i="43"/>
  <c r="AR38" i="43"/>
  <c r="AQ38" i="43"/>
  <c r="AP38" i="43"/>
  <c r="AO38" i="43"/>
  <c r="AN38" i="43"/>
  <c r="AM38" i="43"/>
  <c r="AL38" i="43"/>
  <c r="AK38" i="43"/>
  <c r="AJ38" i="43"/>
  <c r="AI38" i="43"/>
  <c r="AH38" i="43"/>
  <c r="AG38" i="43"/>
  <c r="AF38" i="43"/>
  <c r="AE38" i="43"/>
  <c r="AD38" i="43"/>
  <c r="AC38" i="43"/>
  <c r="AT38" i="43" s="1"/>
  <c r="AB38" i="43"/>
  <c r="Y38" i="43"/>
  <c r="X38" i="43"/>
  <c r="W38" i="43"/>
  <c r="V38" i="43"/>
  <c r="U38" i="43"/>
  <c r="T38" i="43"/>
  <c r="S38" i="43"/>
  <c r="R38" i="43"/>
  <c r="Q38" i="43"/>
  <c r="P38" i="43"/>
  <c r="O38" i="43"/>
  <c r="N38" i="43"/>
  <c r="M38" i="43"/>
  <c r="L38" i="43"/>
  <c r="K38" i="43"/>
  <c r="J38" i="43"/>
  <c r="I38" i="43"/>
  <c r="H38" i="43"/>
  <c r="Z38" i="43" s="1"/>
  <c r="AS37" i="43"/>
  <c r="AR37" i="43"/>
  <c r="AQ37" i="43"/>
  <c r="AP37" i="43"/>
  <c r="AO37" i="43"/>
  <c r="AN37" i="43"/>
  <c r="AM37" i="43"/>
  <c r="AL37" i="43"/>
  <c r="AK37" i="43"/>
  <c r="AJ37" i="43"/>
  <c r="AI37" i="43"/>
  <c r="AH37" i="43"/>
  <c r="AG37" i="43"/>
  <c r="AF37" i="43"/>
  <c r="AE37" i="43"/>
  <c r="AD37" i="43"/>
  <c r="AC37" i="43"/>
  <c r="AB37" i="43"/>
  <c r="AT37" i="43" s="1"/>
  <c r="Y37" i="43"/>
  <c r="X37" i="43"/>
  <c r="W37" i="43"/>
  <c r="V37" i="43"/>
  <c r="U37" i="43"/>
  <c r="T37" i="43"/>
  <c r="S37" i="43"/>
  <c r="R37" i="43"/>
  <c r="Q37" i="43"/>
  <c r="P37" i="43"/>
  <c r="O37" i="43"/>
  <c r="N37" i="43"/>
  <c r="M37" i="43"/>
  <c r="L37" i="43"/>
  <c r="K37" i="43"/>
  <c r="J37" i="43"/>
  <c r="Z37" i="43" s="1"/>
  <c r="I37" i="43"/>
  <c r="H37" i="43"/>
  <c r="AS36" i="43"/>
  <c r="AR36" i="43"/>
  <c r="AQ36" i="43"/>
  <c r="AP36" i="43"/>
  <c r="AO36" i="43"/>
  <c r="AN36" i="43"/>
  <c r="AM36" i="43"/>
  <c r="AL36" i="43"/>
  <c r="AK36" i="43"/>
  <c r="AJ36" i="43"/>
  <c r="AI36" i="43"/>
  <c r="AH36" i="43"/>
  <c r="AG36" i="43"/>
  <c r="AF36" i="43"/>
  <c r="AE36" i="43"/>
  <c r="AD36" i="43"/>
  <c r="AC36" i="43"/>
  <c r="AT36" i="43" s="1"/>
  <c r="AB36" i="43"/>
  <c r="Y36" i="43"/>
  <c r="X36" i="43"/>
  <c r="W36" i="43"/>
  <c r="V36" i="43"/>
  <c r="U36" i="43"/>
  <c r="T36" i="43"/>
  <c r="S36" i="43"/>
  <c r="R36" i="43"/>
  <c r="Q36" i="43"/>
  <c r="P36" i="43"/>
  <c r="O36" i="43"/>
  <c r="N36" i="43"/>
  <c r="M36" i="43"/>
  <c r="L36" i="43"/>
  <c r="K36" i="43"/>
  <c r="J36" i="43"/>
  <c r="I36" i="43"/>
  <c r="H36" i="43"/>
  <c r="Z36" i="43" s="1"/>
  <c r="AS35" i="43"/>
  <c r="AR35" i="43"/>
  <c r="AQ35" i="43"/>
  <c r="AP35" i="43"/>
  <c r="AO35" i="43"/>
  <c r="AN35" i="43"/>
  <c r="AM35" i="43"/>
  <c r="AL35" i="43"/>
  <c r="AK35" i="43"/>
  <c r="AJ35" i="43"/>
  <c r="AI35" i="43"/>
  <c r="AH35" i="43"/>
  <c r="AG35" i="43"/>
  <c r="AF35" i="43"/>
  <c r="AE35" i="43"/>
  <c r="AD35" i="43"/>
  <c r="AC35" i="43"/>
  <c r="AB35" i="43"/>
  <c r="AT35" i="43" s="1"/>
  <c r="Y35" i="43"/>
  <c r="X35" i="43"/>
  <c r="W35" i="43"/>
  <c r="V35" i="43"/>
  <c r="U35" i="43"/>
  <c r="T35" i="43"/>
  <c r="S35" i="43"/>
  <c r="R35" i="43"/>
  <c r="Q35" i="43"/>
  <c r="P35" i="43"/>
  <c r="O35" i="43"/>
  <c r="N35" i="43"/>
  <c r="M35" i="43"/>
  <c r="L35" i="43"/>
  <c r="K35" i="43"/>
  <c r="J35" i="43"/>
  <c r="Z35" i="43" s="1"/>
  <c r="I35" i="43"/>
  <c r="H35" i="43"/>
  <c r="AS34" i="43"/>
  <c r="AR34" i="43"/>
  <c r="AQ34" i="43"/>
  <c r="AP34" i="43"/>
  <c r="AO34" i="43"/>
  <c r="AN34" i="43"/>
  <c r="AM34" i="43"/>
  <c r="AL34" i="43"/>
  <c r="AK34" i="43"/>
  <c r="AJ34" i="43"/>
  <c r="AI34" i="43"/>
  <c r="AH34" i="43"/>
  <c r="AG34" i="43"/>
  <c r="AF34" i="43"/>
  <c r="AE34" i="43"/>
  <c r="AD34" i="43"/>
  <c r="AC34" i="43"/>
  <c r="AT34" i="43" s="1"/>
  <c r="AB34" i="43"/>
  <c r="Y34" i="43"/>
  <c r="X34" i="43"/>
  <c r="W34" i="43"/>
  <c r="V34" i="43"/>
  <c r="U34" i="43"/>
  <c r="T34" i="43"/>
  <c r="S34" i="43"/>
  <c r="R34" i="43"/>
  <c r="Q34" i="43"/>
  <c r="P34" i="43"/>
  <c r="O34" i="43"/>
  <c r="N34" i="43"/>
  <c r="M34" i="43"/>
  <c r="L34" i="43"/>
  <c r="K34" i="43"/>
  <c r="J34" i="43"/>
  <c r="I34" i="43"/>
  <c r="H34" i="43"/>
  <c r="Z34" i="43" s="1"/>
  <c r="AS33" i="43"/>
  <c r="AR33" i="43"/>
  <c r="AQ33" i="43"/>
  <c r="AP33" i="43"/>
  <c r="AO33" i="43"/>
  <c r="AN33" i="43"/>
  <c r="AM33" i="43"/>
  <c r="AL33" i="43"/>
  <c r="AK33" i="43"/>
  <c r="AJ33" i="43"/>
  <c r="AI33" i="43"/>
  <c r="AH33" i="43"/>
  <c r="AG33" i="43"/>
  <c r="AF33" i="43"/>
  <c r="AE33" i="43"/>
  <c r="AD33" i="43"/>
  <c r="AC33" i="43"/>
  <c r="AB33" i="43"/>
  <c r="AT33" i="43" s="1"/>
  <c r="Y33" i="43"/>
  <c r="X33" i="43"/>
  <c r="W33" i="43"/>
  <c r="V33" i="43"/>
  <c r="U33" i="43"/>
  <c r="T33" i="43"/>
  <c r="S33" i="43"/>
  <c r="R33" i="43"/>
  <c r="Q33" i="43"/>
  <c r="P33" i="43"/>
  <c r="O33" i="43"/>
  <c r="N33" i="43"/>
  <c r="M33" i="43"/>
  <c r="L33" i="43"/>
  <c r="K33" i="43"/>
  <c r="J33" i="43"/>
  <c r="Z33" i="43" s="1"/>
  <c r="I33" i="43"/>
  <c r="H33" i="43"/>
  <c r="AS32" i="43"/>
  <c r="AR32" i="43"/>
  <c r="AQ32" i="43"/>
  <c r="AP32" i="43"/>
  <c r="AO32" i="43"/>
  <c r="AN32" i="43"/>
  <c r="AM32" i="43"/>
  <c r="AL32" i="43"/>
  <c r="AK32" i="43"/>
  <c r="AJ32" i="43"/>
  <c r="AI32" i="43"/>
  <c r="AH32" i="43"/>
  <c r="AG32" i="43"/>
  <c r="AF32" i="43"/>
  <c r="AE32" i="43"/>
  <c r="AD32" i="43"/>
  <c r="AC32" i="43"/>
  <c r="AT32" i="43" s="1"/>
  <c r="AB32" i="43"/>
  <c r="Y32" i="43"/>
  <c r="X32" i="43"/>
  <c r="W32" i="43"/>
  <c r="V32" i="43"/>
  <c r="U32" i="43"/>
  <c r="T32" i="43"/>
  <c r="S32" i="43"/>
  <c r="R32" i="43"/>
  <c r="Q32" i="43"/>
  <c r="P32" i="43"/>
  <c r="O32" i="43"/>
  <c r="N32" i="43"/>
  <c r="M32" i="43"/>
  <c r="L32" i="43"/>
  <c r="K32" i="43"/>
  <c r="J32" i="43"/>
  <c r="I32" i="43"/>
  <c r="H32" i="43"/>
  <c r="Z32" i="43" s="1"/>
  <c r="AS31" i="43"/>
  <c r="AS39" i="43" s="1"/>
  <c r="AR31" i="43"/>
  <c r="AR39" i="43" s="1"/>
  <c r="AQ31" i="43"/>
  <c r="AQ39" i="43" s="1"/>
  <c r="AP31" i="43"/>
  <c r="AP39" i="43" s="1"/>
  <c r="AO31" i="43"/>
  <c r="AO39" i="43" s="1"/>
  <c r="AN31" i="43"/>
  <c r="AN39" i="43" s="1"/>
  <c r="AM31" i="43"/>
  <c r="AM39" i="43" s="1"/>
  <c r="AL31" i="43"/>
  <c r="AL39" i="43" s="1"/>
  <c r="AK31" i="43"/>
  <c r="AK39" i="43" s="1"/>
  <c r="AJ31" i="43"/>
  <c r="AJ39" i="43" s="1"/>
  <c r="AI31" i="43"/>
  <c r="AI39" i="43" s="1"/>
  <c r="AH31" i="43"/>
  <c r="AH39" i="43" s="1"/>
  <c r="AG31" i="43"/>
  <c r="AG39" i="43" s="1"/>
  <c r="AF31" i="43"/>
  <c r="AF39" i="43" s="1"/>
  <c r="AE31" i="43"/>
  <c r="AE39" i="43" s="1"/>
  <c r="AD31" i="43"/>
  <c r="AD39" i="43" s="1"/>
  <c r="AC31" i="43"/>
  <c r="AC39" i="43" s="1"/>
  <c r="AB31" i="43"/>
  <c r="AT31" i="43" s="1"/>
  <c r="AT39" i="43" s="1"/>
  <c r="Y31" i="43"/>
  <c r="Y39" i="43" s="1"/>
  <c r="X31" i="43"/>
  <c r="X39" i="43" s="1"/>
  <c r="W31" i="43"/>
  <c r="W39" i="43" s="1"/>
  <c r="V31" i="43"/>
  <c r="V39" i="43" s="1"/>
  <c r="U31" i="43"/>
  <c r="U39" i="43" s="1"/>
  <c r="T31" i="43"/>
  <c r="T39" i="43" s="1"/>
  <c r="S31" i="43"/>
  <c r="S39" i="43" s="1"/>
  <c r="R31" i="43"/>
  <c r="R39" i="43" s="1"/>
  <c r="Q31" i="43"/>
  <c r="Q39" i="43" s="1"/>
  <c r="P31" i="43"/>
  <c r="P39" i="43" s="1"/>
  <c r="O31" i="43"/>
  <c r="O39" i="43" s="1"/>
  <c r="N31" i="43"/>
  <c r="N39" i="43" s="1"/>
  <c r="M31" i="43"/>
  <c r="M39" i="43" s="1"/>
  <c r="L31" i="43"/>
  <c r="L39" i="43" s="1"/>
  <c r="K31" i="43"/>
  <c r="K39" i="43" s="1"/>
  <c r="J31" i="43"/>
  <c r="J39" i="43" s="1"/>
  <c r="I31" i="43"/>
  <c r="I39" i="43" s="1"/>
  <c r="H31" i="43"/>
  <c r="H39" i="43" s="1"/>
  <c r="AS25" i="43"/>
  <c r="AP25" i="43"/>
  <c r="AO25" i="43"/>
  <c r="AL25" i="43"/>
  <c r="AK25" i="43"/>
  <c r="AH25" i="43"/>
  <c r="AG25" i="43"/>
  <c r="AD25" i="43"/>
  <c r="AC25" i="43"/>
  <c r="Y25" i="43"/>
  <c r="X25" i="43"/>
  <c r="U25" i="43"/>
  <c r="T25" i="43"/>
  <c r="Q25" i="43"/>
  <c r="P25" i="43"/>
  <c r="M25" i="43"/>
  <c r="L25" i="43"/>
  <c r="I25" i="43"/>
  <c r="H25" i="43"/>
  <c r="AS23" i="43"/>
  <c r="AR23" i="43"/>
  <c r="AQ23" i="43"/>
  <c r="AP23" i="43"/>
  <c r="AO23" i="43"/>
  <c r="AN23" i="43"/>
  <c r="AM23" i="43"/>
  <c r="AL23" i="43"/>
  <c r="AK23" i="43"/>
  <c r="AJ23" i="43"/>
  <c r="AI23" i="43"/>
  <c r="AH23" i="43"/>
  <c r="AG23" i="43"/>
  <c r="AF23" i="43"/>
  <c r="AE23" i="43"/>
  <c r="AD23" i="43"/>
  <c r="AC23" i="43"/>
  <c r="AB23" i="43"/>
  <c r="Y23" i="43"/>
  <c r="X23" i="43"/>
  <c r="W23" i="43"/>
  <c r="V23" i="43"/>
  <c r="U23" i="43"/>
  <c r="T23" i="43"/>
  <c r="S23" i="43"/>
  <c r="R23" i="43"/>
  <c r="Q23" i="43"/>
  <c r="P23" i="43"/>
  <c r="O23" i="43"/>
  <c r="N23" i="43"/>
  <c r="M23" i="43"/>
  <c r="L23" i="43"/>
  <c r="K23" i="43"/>
  <c r="J23" i="43"/>
  <c r="I23" i="43"/>
  <c r="H23" i="43"/>
  <c r="AT22" i="43"/>
  <c r="Z22" i="43"/>
  <c r="AT21" i="43"/>
  <c r="Z21" i="43"/>
  <c r="AT20" i="43"/>
  <c r="AT23" i="43" s="1"/>
  <c r="Z20" i="43"/>
  <c r="Z23" i="43" s="1"/>
  <c r="AS14" i="43"/>
  <c r="AR14" i="43"/>
  <c r="AR25" i="43" s="1"/>
  <c r="AQ14" i="43"/>
  <c r="AQ25" i="43" s="1"/>
  <c r="AP14" i="43"/>
  <c r="AO14" i="43"/>
  <c r="AN14" i="43"/>
  <c r="AN25" i="43" s="1"/>
  <c r="AM14" i="43"/>
  <c r="AM25" i="43" s="1"/>
  <c r="AL14" i="43"/>
  <c r="AK14" i="43"/>
  <c r="AJ14" i="43"/>
  <c r="AJ25" i="43" s="1"/>
  <c r="AI14" i="43"/>
  <c r="AI25" i="43" s="1"/>
  <c r="AH14" i="43"/>
  <c r="AG14" i="43"/>
  <c r="AF14" i="43"/>
  <c r="AF25" i="43" s="1"/>
  <c r="AE14" i="43"/>
  <c r="AE25" i="43" s="1"/>
  <c r="AD14" i="43"/>
  <c r="AC14" i="43"/>
  <c r="AB14" i="43"/>
  <c r="AB25" i="43" s="1"/>
  <c r="Y14" i="43"/>
  <c r="X14" i="43"/>
  <c r="W14" i="43"/>
  <c r="W25" i="43" s="1"/>
  <c r="V14" i="43"/>
  <c r="V25" i="43" s="1"/>
  <c r="U14" i="43"/>
  <c r="T14" i="43"/>
  <c r="S14" i="43"/>
  <c r="S25" i="43" s="1"/>
  <c r="R14" i="43"/>
  <c r="R25" i="43" s="1"/>
  <c r="Q14" i="43"/>
  <c r="P14" i="43"/>
  <c r="O14" i="43"/>
  <c r="O25" i="43" s="1"/>
  <c r="N14" i="43"/>
  <c r="N25" i="43" s="1"/>
  <c r="M14" i="43"/>
  <c r="L14" i="43"/>
  <c r="K14" i="43"/>
  <c r="K25" i="43" s="1"/>
  <c r="J14" i="43"/>
  <c r="J25" i="43" s="1"/>
  <c r="I14" i="43"/>
  <c r="H14" i="43"/>
  <c r="AT13" i="43"/>
  <c r="Z13" i="43"/>
  <c r="AT12" i="43"/>
  <c r="Z12" i="43"/>
  <c r="AT11" i="43"/>
  <c r="Z11" i="43"/>
  <c r="AT10" i="43"/>
  <c r="Z10" i="43"/>
  <c r="AT9" i="43"/>
  <c r="Z9" i="43"/>
  <c r="AT8" i="43"/>
  <c r="Z8" i="43"/>
  <c r="AT7" i="43"/>
  <c r="Z7" i="43"/>
  <c r="Z14" i="43" s="1"/>
  <c r="Z25" i="43" s="1"/>
  <c r="AT6" i="43"/>
  <c r="AT14" i="43" s="1"/>
  <c r="AT25" i="43" s="1"/>
  <c r="Z6" i="43"/>
  <c r="CB14" i="43" l="1"/>
  <c r="Z31" i="43"/>
  <c r="Z39" i="43" s="1"/>
  <c r="AB39" i="43"/>
  <c r="AO92" i="66" l="1"/>
  <c r="BE88" i="66"/>
  <c r="BE95" i="66" s="1"/>
  <c r="BD88" i="66"/>
  <c r="BD95" i="66" s="1"/>
  <c r="BB88" i="66"/>
  <c r="BB95" i="66" s="1"/>
  <c r="AZ88" i="66"/>
  <c r="AZ95" i="66" s="1"/>
  <c r="AW88" i="66"/>
  <c r="AW95" i="66" s="1"/>
  <c r="AR88" i="66"/>
  <c r="AR95" i="66" s="1"/>
  <c r="AQ88" i="66"/>
  <c r="AQ95" i="66" s="1"/>
  <c r="AN88" i="66"/>
  <c r="AN95" i="66" s="1"/>
  <c r="AK88" i="66"/>
  <c r="AK95" i="66" s="1"/>
  <c r="AJ88" i="66"/>
  <c r="AJ95" i="66" s="1"/>
  <c r="W88" i="66"/>
  <c r="W95" i="66" s="1"/>
  <c r="J88" i="66"/>
  <c r="J95" i="66" s="1"/>
  <c r="I88" i="66"/>
  <c r="I95" i="66" s="1"/>
  <c r="AV83" i="66"/>
  <c r="AY83" i="66" s="1"/>
  <c r="BL83" i="66"/>
  <c r="BL82" i="66"/>
  <c r="BK82" i="66"/>
  <c r="BL78" i="66"/>
  <c r="BC78" i="66"/>
  <c r="BL77" i="66"/>
  <c r="BK77" i="66"/>
  <c r="BL74" i="66"/>
  <c r="BL71" i="66"/>
  <c r="AO70" i="66"/>
  <c r="BK69" i="66"/>
  <c r="BG68" i="66"/>
  <c r="BK66" i="66"/>
  <c r="BL63" i="66"/>
  <c r="BK62" i="66"/>
  <c r="AO61" i="66"/>
  <c r="H59" i="66"/>
  <c r="BL58" i="66"/>
  <c r="BK58" i="66"/>
  <c r="AP58" i="66"/>
  <c r="BC56" i="66"/>
  <c r="BL54" i="66"/>
  <c r="AO54" i="66"/>
  <c r="AO53" i="66"/>
  <c r="BL51" i="66"/>
  <c r="AD50" i="66"/>
  <c r="AP50" i="66"/>
  <c r="AP45" i="66"/>
  <c r="BL44" i="66"/>
  <c r="BL43" i="66"/>
  <c r="BK43" i="66"/>
  <c r="BK42" i="66"/>
  <c r="AO42" i="66"/>
  <c r="BL41" i="66"/>
  <c r="BK41" i="66"/>
  <c r="AC41" i="66"/>
  <c r="AD41" i="66"/>
  <c r="BK40" i="66"/>
  <c r="BK39" i="66"/>
  <c r="BL37" i="66"/>
  <c r="AP37" i="66"/>
  <c r="BC37" i="66"/>
  <c r="BL36" i="66"/>
  <c r="BK35" i="66"/>
  <c r="AH35" i="66"/>
  <c r="G34" i="66"/>
  <c r="AP33" i="66"/>
  <c r="BL31" i="66"/>
  <c r="BK31" i="66"/>
  <c r="AO31" i="66"/>
  <c r="AB30" i="66"/>
  <c r="AV27" i="66"/>
  <c r="AY27" i="66" s="1"/>
  <c r="BL27" i="66"/>
  <c r="BC27" i="66"/>
  <c r="BL26" i="66"/>
  <c r="BK26" i="66"/>
  <c r="BK25" i="66"/>
  <c r="BL24" i="66"/>
  <c r="AI24" i="66"/>
  <c r="AE24" i="66"/>
  <c r="AA24" i="66"/>
  <c r="AP24" i="66"/>
  <c r="AI22" i="66"/>
  <c r="AE22" i="66"/>
  <c r="AA22" i="66"/>
  <c r="AO22" i="66"/>
  <c r="AI20" i="66"/>
  <c r="AE20" i="66"/>
  <c r="AA20" i="66"/>
  <c r="H20" i="66"/>
  <c r="BL19" i="66"/>
  <c r="AP19" i="66"/>
  <c r="BK18" i="66"/>
  <c r="AI18" i="66"/>
  <c r="AE18" i="66"/>
  <c r="AA18" i="66"/>
  <c r="AO18" i="66"/>
  <c r="AD17" i="66"/>
  <c r="Z17" i="66"/>
  <c r="AI16" i="66"/>
  <c r="AE16" i="66"/>
  <c r="AA16" i="66"/>
  <c r="H16" i="66"/>
  <c r="BL15" i="66"/>
  <c r="AP15" i="66"/>
  <c r="BL14" i="66"/>
  <c r="BK14" i="66"/>
  <c r="AO14" i="66"/>
  <c r="BK13" i="66"/>
  <c r="AD13" i="66"/>
  <c r="Z13" i="66"/>
  <c r="AI12" i="66"/>
  <c r="AE12" i="66"/>
  <c r="AA12" i="66"/>
  <c r="H12" i="66"/>
  <c r="H11" i="66"/>
  <c r="AV10" i="66"/>
  <c r="AY10" i="66" s="1"/>
  <c r="BL10" i="66"/>
  <c r="BK10" i="66"/>
  <c r="AO10" i="66"/>
  <c r="BK9" i="66"/>
  <c r="BL7" i="66"/>
  <c r="BL6" i="66"/>
  <c r="BK6" i="66"/>
  <c r="AH6" i="66"/>
  <c r="AD6" i="66"/>
  <c r="Z6" i="66"/>
  <c r="BK5" i="66"/>
  <c r="AH4" i="66"/>
  <c r="AD4" i="66"/>
  <c r="Z4" i="66"/>
  <c r="G4" i="66"/>
  <c r="BL3" i="66"/>
  <c r="BK3" i="66"/>
  <c r="K133" i="68"/>
  <c r="I133" i="68"/>
  <c r="I129" i="68" s="1"/>
  <c r="H133" i="68"/>
  <c r="H129" i="68" s="1"/>
  <c r="G133" i="68"/>
  <c r="G129" i="68" s="1"/>
  <c r="F133" i="68"/>
  <c r="E133" i="68"/>
  <c r="D133" i="68"/>
  <c r="D129" i="68" s="1"/>
  <c r="C133" i="68"/>
  <c r="C129" i="68" s="1"/>
  <c r="K132" i="68"/>
  <c r="I132" i="68"/>
  <c r="I128" i="68" s="1"/>
  <c r="H132" i="68"/>
  <c r="H128" i="68" s="1"/>
  <c r="G132" i="68"/>
  <c r="G128" i="68" s="1"/>
  <c r="F132" i="68"/>
  <c r="E132" i="68"/>
  <c r="E128" i="68" s="1"/>
  <c r="D132" i="68"/>
  <c r="D128" i="68" s="1"/>
  <c r="C132" i="68"/>
  <c r="C128" i="68" s="1"/>
  <c r="F129" i="68"/>
  <c r="E129" i="68"/>
  <c r="F128" i="68"/>
  <c r="D113" i="68"/>
  <c r="C113" i="68"/>
  <c r="D112" i="68"/>
  <c r="C112" i="68"/>
  <c r="D111" i="68"/>
  <c r="C111" i="68"/>
  <c r="D110" i="68"/>
  <c r="C110" i="68"/>
  <c r="D109" i="68"/>
  <c r="C109" i="68"/>
  <c r="D108" i="68"/>
  <c r="C108" i="68"/>
  <c r="H101" i="68"/>
  <c r="D101" i="68"/>
  <c r="L100" i="68"/>
  <c r="M97" i="68"/>
  <c r="K97" i="68"/>
  <c r="L95" i="68"/>
  <c r="L94" i="68"/>
  <c r="L93" i="68"/>
  <c r="L92" i="68"/>
  <c r="L91" i="68"/>
  <c r="L90" i="68"/>
  <c r="L89" i="68"/>
  <c r="L88" i="68"/>
  <c r="L86" i="68"/>
  <c r="L85" i="68"/>
  <c r="L84" i="68"/>
  <c r="L83" i="68"/>
  <c r="L82" i="68"/>
  <c r="N79" i="68"/>
  <c r="L79" i="68"/>
  <c r="K77" i="68"/>
  <c r="K76" i="68"/>
  <c r="K74" i="68"/>
  <c r="K73" i="68"/>
  <c r="K72" i="68"/>
  <c r="K70" i="68"/>
  <c r="K69" i="68"/>
  <c r="K68" i="68"/>
  <c r="K66" i="68"/>
  <c r="K65" i="68"/>
  <c r="K64" i="68"/>
  <c r="K62" i="68"/>
  <c r="K61" i="68"/>
  <c r="K60" i="68"/>
  <c r="K58" i="68"/>
  <c r="K57" i="68"/>
  <c r="K56" i="68"/>
  <c r="K54" i="68"/>
  <c r="K53" i="68"/>
  <c r="K52" i="68"/>
  <c r="K50" i="68"/>
  <c r="K49" i="68"/>
  <c r="K48" i="68"/>
  <c r="K46" i="68"/>
  <c r="K45" i="68"/>
  <c r="K44" i="68"/>
  <c r="K42" i="68"/>
  <c r="K41" i="68"/>
  <c r="K40" i="68"/>
  <c r="K39" i="68"/>
  <c r="J38" i="68"/>
  <c r="K38" i="68"/>
  <c r="K37" i="68"/>
  <c r="J36" i="68"/>
  <c r="K36" i="68"/>
  <c r="K35" i="68"/>
  <c r="K34" i="68"/>
  <c r="K32" i="68"/>
  <c r="J31" i="68"/>
  <c r="K31" i="68"/>
  <c r="J30" i="68"/>
  <c r="K30" i="68"/>
  <c r="M29" i="68"/>
  <c r="K29" i="68"/>
  <c r="J27" i="68"/>
  <c r="K27" i="68"/>
  <c r="J26" i="68"/>
  <c r="K26" i="68"/>
  <c r="K25" i="68"/>
  <c r="K23" i="68"/>
  <c r="K22" i="68"/>
  <c r="K21" i="68"/>
  <c r="K19" i="68"/>
  <c r="K18" i="68"/>
  <c r="M17" i="68"/>
  <c r="K17" i="68"/>
  <c r="K15" i="68"/>
  <c r="K13" i="68"/>
  <c r="K11" i="68"/>
  <c r="K10" i="68"/>
  <c r="K8" i="68"/>
  <c r="K7" i="68"/>
  <c r="AV7" i="66" l="1"/>
  <c r="AY7" i="66" s="1"/>
  <c r="F101" i="68"/>
  <c r="G59" i="66"/>
  <c r="AU62" i="66"/>
  <c r="AC60" i="66"/>
  <c r="H80" i="66"/>
  <c r="G84" i="66"/>
  <c r="N89" i="68"/>
  <c r="O89" i="68" s="1"/>
  <c r="N94" i="68"/>
  <c r="H4" i="66"/>
  <c r="AA4" i="66"/>
  <c r="AE4" i="66"/>
  <c r="AI4" i="66"/>
  <c r="Z10" i="66"/>
  <c r="AD10" i="66"/>
  <c r="G64" i="66"/>
  <c r="Z64" i="66"/>
  <c r="AD64" i="66"/>
  <c r="AH64" i="66"/>
  <c r="BC67" i="66"/>
  <c r="AV77" i="66"/>
  <c r="AY77" i="66" s="1"/>
  <c r="BC65" i="66"/>
  <c r="BC79" i="66"/>
  <c r="M25" i="68"/>
  <c r="O25" i="68" s="1"/>
  <c r="E101" i="68"/>
  <c r="I101" i="68"/>
  <c r="AH10" i="66"/>
  <c r="AH13" i="66"/>
  <c r="AH17" i="66"/>
  <c r="BC24" i="66"/>
  <c r="H54" i="66"/>
  <c r="H56" i="66"/>
  <c r="AA56" i="66"/>
  <c r="AE56" i="66"/>
  <c r="AI56" i="66"/>
  <c r="AA58" i="66"/>
  <c r="AE58" i="66"/>
  <c r="AI58" i="66"/>
  <c r="H66" i="66"/>
  <c r="AA66" i="66"/>
  <c r="AE66" i="66"/>
  <c r="AI66" i="66"/>
  <c r="Z68" i="66"/>
  <c r="AD68" i="66"/>
  <c r="AH68" i="66"/>
  <c r="AV71" i="66"/>
  <c r="AY71" i="66" s="1"/>
  <c r="AA77" i="66"/>
  <c r="AE77" i="66"/>
  <c r="AI77" i="66"/>
  <c r="AA80" i="66"/>
  <c r="Z84" i="66"/>
  <c r="AD84" i="66"/>
  <c r="AH84" i="66"/>
  <c r="M19" i="68"/>
  <c r="M21" i="68"/>
  <c r="H25" i="66"/>
  <c r="AA25" i="66"/>
  <c r="AE25" i="66"/>
  <c r="AI25" i="66"/>
  <c r="AU26" i="66"/>
  <c r="AX26" i="66" s="1"/>
  <c r="H31" i="66"/>
  <c r="AA31" i="66"/>
  <c r="AE31" i="66"/>
  <c r="AI31" i="66"/>
  <c r="AA33" i="66"/>
  <c r="AE33" i="66"/>
  <c r="AI33" i="66"/>
  <c r="AA40" i="66"/>
  <c r="Z45" i="66"/>
  <c r="AD45" i="66"/>
  <c r="AH45" i="66"/>
  <c r="AH53" i="66"/>
  <c r="G65" i="66"/>
  <c r="Z65" i="66"/>
  <c r="AD65" i="66"/>
  <c r="AH65" i="66"/>
  <c r="AA70" i="66"/>
  <c r="AI70" i="66"/>
  <c r="G79" i="66"/>
  <c r="Z79" i="66"/>
  <c r="AD79" i="66"/>
  <c r="AH79" i="66"/>
  <c r="D79" i="68"/>
  <c r="H79" i="68"/>
  <c r="J8" i="68"/>
  <c r="J9" i="68"/>
  <c r="J10" i="68"/>
  <c r="J42" i="68"/>
  <c r="J43" i="68"/>
  <c r="J46" i="68"/>
  <c r="J47" i="68"/>
  <c r="J50" i="68"/>
  <c r="J51" i="68"/>
  <c r="J54" i="68"/>
  <c r="J55" i="68"/>
  <c r="J58" i="68"/>
  <c r="J59" i="68"/>
  <c r="J62" i="68"/>
  <c r="J63" i="68"/>
  <c r="J66" i="68"/>
  <c r="J67" i="68"/>
  <c r="J69" i="68"/>
  <c r="J70" i="68"/>
  <c r="J71" i="68"/>
  <c r="J73" i="68"/>
  <c r="J74" i="68"/>
  <c r="J75" i="68"/>
  <c r="J77" i="68"/>
  <c r="N81" i="68"/>
  <c r="N86" i="68"/>
  <c r="Z22" i="66"/>
  <c r="AD22" i="66"/>
  <c r="AH22" i="66"/>
  <c r="G24" i="66"/>
  <c r="Z24" i="66"/>
  <c r="AD24" i="66"/>
  <c r="AH24" i="66"/>
  <c r="AU25" i="66"/>
  <c r="AX25" i="66" s="1"/>
  <c r="AV26" i="66"/>
  <c r="AY26" i="66" s="1"/>
  <c r="Z34" i="66"/>
  <c r="AD34" i="66"/>
  <c r="AH34" i="66"/>
  <c r="AU43" i="66"/>
  <c r="AX43" i="66" s="1"/>
  <c r="BC58" i="66"/>
  <c r="BC60" i="66"/>
  <c r="AV63" i="66"/>
  <c r="AY63" i="66" s="1"/>
  <c r="BG64" i="66"/>
  <c r="BC68" i="66"/>
  <c r="AP77" i="66"/>
  <c r="H79" i="66"/>
  <c r="AA79" i="66"/>
  <c r="AE79" i="66"/>
  <c r="AI79" i="66"/>
  <c r="Y91" i="66"/>
  <c r="J12" i="68"/>
  <c r="M16" i="68"/>
  <c r="AG76" i="66"/>
  <c r="M9" i="68"/>
  <c r="O21" i="68"/>
  <c r="M23" i="68"/>
  <c r="O23" i="68" s="1"/>
  <c r="BC46" i="66"/>
  <c r="AO55" i="66"/>
  <c r="M8" i="68"/>
  <c r="O8" i="68" s="1"/>
  <c r="J18" i="68"/>
  <c r="J19" i="68"/>
  <c r="M20" i="68"/>
  <c r="M27" i="68"/>
  <c r="O27" i="68" s="1"/>
  <c r="M36" i="68"/>
  <c r="O36" i="68" s="1"/>
  <c r="M38" i="68"/>
  <c r="O38" i="68" s="1"/>
  <c r="J40" i="68"/>
  <c r="M42" i="68"/>
  <c r="O42" i="68" s="1"/>
  <c r="M46" i="68"/>
  <c r="O46" i="68" s="1"/>
  <c r="M50" i="68"/>
  <c r="M54" i="68"/>
  <c r="M58" i="68"/>
  <c r="O58" i="68" s="1"/>
  <c r="M62" i="68"/>
  <c r="O62" i="68" s="1"/>
  <c r="M66" i="68"/>
  <c r="O66" i="68" s="1"/>
  <c r="M70" i="68"/>
  <c r="O70" i="68" s="1"/>
  <c r="M74" i="68"/>
  <c r="O74" i="68" s="1"/>
  <c r="F97" i="68"/>
  <c r="N83" i="68"/>
  <c r="H97" i="68"/>
  <c r="J85" i="68"/>
  <c r="J86" i="68"/>
  <c r="J87" i="68"/>
  <c r="L87" i="68"/>
  <c r="N88" i="68"/>
  <c r="O88" i="68" s="1"/>
  <c r="J89" i="68"/>
  <c r="J90" i="68"/>
  <c r="J91" i="68"/>
  <c r="N93" i="68"/>
  <c r="O93" i="68" s="1"/>
  <c r="BC5" i="66"/>
  <c r="AO43" i="66"/>
  <c r="BL45" i="66"/>
  <c r="AV45" i="66"/>
  <c r="AY45" i="66" s="1"/>
  <c r="X54" i="66"/>
  <c r="AV54" i="66"/>
  <c r="AY54" i="66" s="1"/>
  <c r="AC57" i="66"/>
  <c r="AP57" i="66"/>
  <c r="AV74" i="66"/>
  <c r="AY74" i="66" s="1"/>
  <c r="AV82" i="66"/>
  <c r="AY82" i="66" s="1"/>
  <c r="BC83" i="66"/>
  <c r="BC85" i="66"/>
  <c r="O17" i="68"/>
  <c r="J28" i="68"/>
  <c r="K28" i="68"/>
  <c r="M40" i="68"/>
  <c r="J57" i="68"/>
  <c r="J61" i="68"/>
  <c r="J65" i="68"/>
  <c r="AO27" i="66"/>
  <c r="BL50" i="66"/>
  <c r="AV50" i="66"/>
  <c r="AY50" i="66" s="1"/>
  <c r="Y64" i="66"/>
  <c r="AP64" i="66"/>
  <c r="BK72" i="66"/>
  <c r="AU72" i="66"/>
  <c r="AX72" i="66" s="1"/>
  <c r="M12" i="68"/>
  <c r="M28" i="68"/>
  <c r="M32" i="68"/>
  <c r="O32" i="68" s="1"/>
  <c r="AO25" i="66"/>
  <c r="BK36" i="66"/>
  <c r="AU36" i="66"/>
  <c r="AX36" i="66" s="1"/>
  <c r="AP40" i="66"/>
  <c r="AB46" i="66"/>
  <c r="AO46" i="66"/>
  <c r="BK47" i="66"/>
  <c r="AU47" i="66"/>
  <c r="AX47" i="66" s="1"/>
  <c r="BC75" i="66"/>
  <c r="M13" i="68"/>
  <c r="O13" i="68" s="1"/>
  <c r="J20" i="68"/>
  <c r="J21" i="68"/>
  <c r="M7" i="68"/>
  <c r="O7" i="68" s="1"/>
  <c r="M11" i="68"/>
  <c r="O11" i="68" s="1"/>
  <c r="J14" i="68"/>
  <c r="M15" i="68"/>
  <c r="O15" i="68" s="1"/>
  <c r="M30" i="68"/>
  <c r="O30" i="68" s="1"/>
  <c r="J33" i="68"/>
  <c r="K33" i="68"/>
  <c r="M33" i="68"/>
  <c r="J39" i="68"/>
  <c r="M41" i="68"/>
  <c r="O41" i="68" s="1"/>
  <c r="M45" i="68"/>
  <c r="O45" i="68" s="1"/>
  <c r="M49" i="68"/>
  <c r="O49" i="68" s="1"/>
  <c r="M53" i="68"/>
  <c r="O53" i="68" s="1"/>
  <c r="M57" i="68"/>
  <c r="O57" i="68" s="1"/>
  <c r="M61" i="68"/>
  <c r="O61" i="68" s="1"/>
  <c r="M65" i="68"/>
  <c r="O65" i="68" s="1"/>
  <c r="M69" i="68"/>
  <c r="O69" i="68" s="1"/>
  <c r="M73" i="68"/>
  <c r="O73" i="68" s="1"/>
  <c r="M77" i="68"/>
  <c r="O77" i="68" s="1"/>
  <c r="C97" i="68"/>
  <c r="G97" i="68"/>
  <c r="N82" i="68"/>
  <c r="N87" i="68"/>
  <c r="N91" i="68"/>
  <c r="O91" i="68" s="1"/>
  <c r="Y5" i="66"/>
  <c r="Y7" i="66"/>
  <c r="AC7" i="66"/>
  <c r="AG7" i="66"/>
  <c r="AP7" i="66"/>
  <c r="AO40" i="66"/>
  <c r="AP43" i="66"/>
  <c r="AO49" i="66"/>
  <c r="AV51" i="66"/>
  <c r="AY51" i="66" s="1"/>
  <c r="BC71" i="66"/>
  <c r="BL73" i="66"/>
  <c r="AV73" i="66"/>
  <c r="AY73" i="66" s="1"/>
  <c r="BC74" i="66"/>
  <c r="AO76" i="66"/>
  <c r="BC76" i="66"/>
  <c r="J93" i="68"/>
  <c r="J94" i="68"/>
  <c r="J95" i="68"/>
  <c r="H3" i="66"/>
  <c r="BC6" i="66"/>
  <c r="G7" i="66"/>
  <c r="AA10" i="66"/>
  <c r="AE10" i="66"/>
  <c r="AI10" i="66"/>
  <c r="AG25" i="66"/>
  <c r="AP25" i="66"/>
  <c r="AD26" i="66"/>
  <c r="AC29" i="66"/>
  <c r="AP31" i="66"/>
  <c r="AP35" i="66"/>
  <c r="AA36" i="66"/>
  <c r="AE36" i="66"/>
  <c r="AI36" i="66"/>
  <c r="AB37" i="66"/>
  <c r="G38" i="66"/>
  <c r="Z38" i="66"/>
  <c r="AD38" i="66"/>
  <c r="AH38" i="66"/>
  <c r="AD39" i="66"/>
  <c r="Z43" i="66"/>
  <c r="AD43" i="66"/>
  <c r="AH43" i="66"/>
  <c r="AD49" i="66"/>
  <c r="H51" i="66"/>
  <c r="Z55" i="66"/>
  <c r="AD55" i="66"/>
  <c r="AH55" i="66"/>
  <c r="Z57" i="66"/>
  <c r="AD57" i="66"/>
  <c r="AH57" i="66"/>
  <c r="AA62" i="66"/>
  <c r="AP62" i="66"/>
  <c r="H64" i="66"/>
  <c r="AA64" i="66"/>
  <c r="AE64" i="66"/>
  <c r="AI64" i="66"/>
  <c r="H72" i="66"/>
  <c r="AA72" i="66"/>
  <c r="AE72" i="66"/>
  <c r="AI72" i="66"/>
  <c r="Z76" i="66"/>
  <c r="AD76" i="66"/>
  <c r="AH76" i="66"/>
  <c r="H78" i="66"/>
  <c r="BC82" i="66"/>
  <c r="G86" i="66"/>
  <c r="Z86" i="66"/>
  <c r="AD86" i="66"/>
  <c r="AH86" i="66"/>
  <c r="AC92" i="66"/>
  <c r="BG92" i="66"/>
  <c r="O19" i="68"/>
  <c r="J22" i="68"/>
  <c r="J23" i="68"/>
  <c r="J24" i="68"/>
  <c r="M24" i="68"/>
  <c r="J35" i="68"/>
  <c r="M37" i="68"/>
  <c r="O37" i="68" s="1"/>
  <c r="M43" i="68"/>
  <c r="M47" i="68"/>
  <c r="M51" i="68"/>
  <c r="M55" i="68"/>
  <c r="M59" i="68"/>
  <c r="M63" i="68"/>
  <c r="M67" i="68"/>
  <c r="M71" i="68"/>
  <c r="M75" i="68"/>
  <c r="I97" i="68"/>
  <c r="J82" i="68"/>
  <c r="J83" i="68"/>
  <c r="N85" i="68"/>
  <c r="O85" i="68" s="1"/>
  <c r="N90" i="68"/>
  <c r="O90" i="68" s="1"/>
  <c r="N95" i="68"/>
  <c r="O95" i="68" s="1"/>
  <c r="AV3" i="66"/>
  <c r="AY3" i="66" s="1"/>
  <c r="H6" i="66"/>
  <c r="H7" i="66"/>
  <c r="BC13" i="66"/>
  <c r="Z14" i="66"/>
  <c r="AD14" i="66"/>
  <c r="AV19" i="66"/>
  <c r="AY19" i="66" s="1"/>
  <c r="G25" i="66"/>
  <c r="Z25" i="66"/>
  <c r="AD25" i="66"/>
  <c r="AH25" i="66"/>
  <c r="BC28" i="66"/>
  <c r="Y37" i="66"/>
  <c r="H38" i="66"/>
  <c r="AA38" i="66"/>
  <c r="AE38" i="66"/>
  <c r="AI38" i="66"/>
  <c r="Y39" i="66"/>
  <c r="AG39" i="66"/>
  <c r="AA43" i="66"/>
  <c r="AE43" i="66"/>
  <c r="AI43" i="66"/>
  <c r="AV44" i="66"/>
  <c r="H52" i="66"/>
  <c r="AA52" i="66"/>
  <c r="AE52" i="66"/>
  <c r="AI52" i="66"/>
  <c r="H55" i="66"/>
  <c r="AI55" i="66"/>
  <c r="AV58" i="66"/>
  <c r="AY58" i="66" s="1"/>
  <c r="AC68" i="66"/>
  <c r="H73" i="66"/>
  <c r="G74" i="66"/>
  <c r="Z74" i="66"/>
  <c r="AD74" i="66"/>
  <c r="AH74" i="66"/>
  <c r="G75" i="66"/>
  <c r="Z75" i="66"/>
  <c r="AD75" i="66"/>
  <c r="AH75" i="66"/>
  <c r="H76" i="66"/>
  <c r="AA76" i="66"/>
  <c r="AE76" i="66"/>
  <c r="AI76" i="66"/>
  <c r="AB78" i="66"/>
  <c r="AG79" i="66"/>
  <c r="AD80" i="66"/>
  <c r="AO81" i="66"/>
  <c r="AH82" i="66"/>
  <c r="AA83" i="66"/>
  <c r="AI83" i="66"/>
  <c r="BC18" i="66"/>
  <c r="AG13" i="66"/>
  <c r="Y17" i="66"/>
  <c r="AP26" i="66"/>
  <c r="AF27" i="66"/>
  <c r="AE27" i="66"/>
  <c r="BG27" i="66"/>
  <c r="AP30" i="66"/>
  <c r="BC42" i="66"/>
  <c r="AO48" i="66"/>
  <c r="BC48" i="66"/>
  <c r="Z53" i="66"/>
  <c r="BK92" i="66"/>
  <c r="AU92" i="66"/>
  <c r="AX92" i="66" s="1"/>
  <c r="AG5" i="66"/>
  <c r="AG29" i="66"/>
  <c r="AC37" i="66"/>
  <c r="AI37" i="66"/>
  <c r="X44" i="66"/>
  <c r="AF44" i="66"/>
  <c r="AB54" i="66"/>
  <c r="AO71" i="66"/>
  <c r="AB3" i="66"/>
  <c r="R88" i="66"/>
  <c r="R95" i="66" s="1"/>
  <c r="R98" i="66" s="1"/>
  <c r="V88" i="66"/>
  <c r="V95" i="66" s="1"/>
  <c r="V98" i="66" s="1"/>
  <c r="AB4" i="66"/>
  <c r="BC4" i="66"/>
  <c r="Z5" i="66"/>
  <c r="AD5" i="66"/>
  <c r="AH5" i="66"/>
  <c r="AP5" i="66"/>
  <c r="BC7" i="66"/>
  <c r="AA7" i="66"/>
  <c r="AE7" i="66"/>
  <c r="AI7" i="66"/>
  <c r="AB8" i="66"/>
  <c r="Z9" i="66"/>
  <c r="AD9" i="66"/>
  <c r="AH9" i="66"/>
  <c r="AU14" i="66"/>
  <c r="AX14" i="66" s="1"/>
  <c r="AV15" i="66"/>
  <c r="AY15" i="66" s="1"/>
  <c r="AA19" i="66"/>
  <c r="AE19" i="66"/>
  <c r="AI19" i="66"/>
  <c r="Z21" i="66"/>
  <c r="AD21" i="66"/>
  <c r="AH21" i="66"/>
  <c r="BC22" i="66"/>
  <c r="G23" i="66"/>
  <c r="Z23" i="66"/>
  <c r="AD23" i="66"/>
  <c r="AH23" i="66"/>
  <c r="AV24" i="66"/>
  <c r="AY24" i="66" s="1"/>
  <c r="AI28" i="66"/>
  <c r="Z29" i="66"/>
  <c r="AD29" i="66"/>
  <c r="AP29" i="66"/>
  <c r="BG29" i="66"/>
  <c r="H30" i="66"/>
  <c r="AA30" i="66"/>
  <c r="AE30" i="66"/>
  <c r="AI30" i="66"/>
  <c r="AU31" i="66"/>
  <c r="AX31" i="66" s="1"/>
  <c r="AA32" i="66"/>
  <c r="AE32" i="66"/>
  <c r="AI32" i="66"/>
  <c r="H34" i="66"/>
  <c r="AA34" i="66"/>
  <c r="AE34" i="66"/>
  <c r="AI34" i="66"/>
  <c r="AO35" i="66"/>
  <c r="AU35" i="66"/>
  <c r="AX35" i="66" s="1"/>
  <c r="G37" i="66"/>
  <c r="Z37" i="66"/>
  <c r="AD37" i="66"/>
  <c r="AH37" i="66"/>
  <c r="AO37" i="66"/>
  <c r="AV37" i="66"/>
  <c r="AY37" i="66" s="1"/>
  <c r="AB38" i="66"/>
  <c r="AU39" i="66"/>
  <c r="AX39" i="66" s="1"/>
  <c r="BL40" i="66"/>
  <c r="AV40" i="66"/>
  <c r="AY40" i="66" s="1"/>
  <c r="BK50" i="66"/>
  <c r="AU50" i="66"/>
  <c r="AX50" i="66" s="1"/>
  <c r="AO66" i="66"/>
  <c r="BC66" i="66"/>
  <c r="BL70" i="66"/>
  <c r="AV70" i="66"/>
  <c r="AY70" i="66" s="1"/>
  <c r="AU91" i="66"/>
  <c r="AX91" i="66" s="1"/>
  <c r="BK91" i="66"/>
  <c r="AD31" i="66"/>
  <c r="BC33" i="66"/>
  <c r="AG37" i="66"/>
  <c r="AC39" i="66"/>
  <c r="AB44" i="66"/>
  <c r="AO44" i="66"/>
  <c r="AF54" i="66"/>
  <c r="AH54" i="66"/>
  <c r="AB60" i="66"/>
  <c r="AP4" i="66"/>
  <c r="H5" i="66"/>
  <c r="AA5" i="66"/>
  <c r="AE5" i="66"/>
  <c r="AI5" i="66"/>
  <c r="AO6" i="66"/>
  <c r="AU6" i="66"/>
  <c r="AX6" i="66" s="1"/>
  <c r="AP8" i="66"/>
  <c r="AU10" i="66"/>
  <c r="AX10" i="66" s="1"/>
  <c r="BC11" i="66"/>
  <c r="AU13" i="66"/>
  <c r="AX13" i="66" s="1"/>
  <c r="H14" i="66"/>
  <c r="AV14" i="66"/>
  <c r="AY14" i="66" s="1"/>
  <c r="BC17" i="66"/>
  <c r="Z18" i="66"/>
  <c r="AD18" i="66"/>
  <c r="AH18" i="66"/>
  <c r="BC19" i="66"/>
  <c r="AB19" i="66"/>
  <c r="AF19" i="66"/>
  <c r="AA23" i="66"/>
  <c r="AE23" i="66"/>
  <c r="AI23" i="66"/>
  <c r="AO26" i="66"/>
  <c r="H27" i="66"/>
  <c r="AA27" i="66"/>
  <c r="AI27" i="66"/>
  <c r="G28" i="66"/>
  <c r="Z28" i="66"/>
  <c r="AD28" i="66"/>
  <c r="AH28" i="66"/>
  <c r="H29" i="66"/>
  <c r="AA29" i="66"/>
  <c r="AE29" i="66"/>
  <c r="AI29" i="66"/>
  <c r="X30" i="66"/>
  <c r="AF30" i="66"/>
  <c r="Z31" i="66"/>
  <c r="AH31" i="66"/>
  <c r="AV31" i="66"/>
  <c r="AY31" i="66" s="1"/>
  <c r="G32" i="66"/>
  <c r="AO34" i="66"/>
  <c r="BC34" i="66"/>
  <c r="Z35" i="66"/>
  <c r="AD35" i="66"/>
  <c r="BC35" i="66"/>
  <c r="H37" i="66"/>
  <c r="AA37" i="66"/>
  <c r="AE37" i="66"/>
  <c r="AP38" i="66"/>
  <c r="Z41" i="66"/>
  <c r="AH41" i="66"/>
  <c r="AG49" i="66"/>
  <c r="AB56" i="66"/>
  <c r="BC54" i="66"/>
  <c r="AG68" i="66"/>
  <c r="BC77" i="66"/>
  <c r="AB81" i="66"/>
  <c r="AC86" i="66"/>
  <c r="AP86" i="66"/>
  <c r="BG93" i="66"/>
  <c r="AU93" i="66"/>
  <c r="AX93" i="66" s="1"/>
  <c r="BK93" i="66"/>
  <c r="H39" i="66"/>
  <c r="AA39" i="66"/>
  <c r="AE39" i="66"/>
  <c r="AI39" i="66"/>
  <c r="AP39" i="66"/>
  <c r="Z40" i="66"/>
  <c r="AD40" i="66"/>
  <c r="AH40" i="66"/>
  <c r="AO41" i="66"/>
  <c r="Z42" i="66"/>
  <c r="AD42" i="66"/>
  <c r="AH42" i="66"/>
  <c r="Z44" i="66"/>
  <c r="AD44" i="66"/>
  <c r="AH44" i="66"/>
  <c r="BG44" i="66"/>
  <c r="BG47" i="66"/>
  <c r="X52" i="66"/>
  <c r="AF52" i="66"/>
  <c r="AD53" i="66"/>
  <c r="X55" i="66"/>
  <c r="AB55" i="66"/>
  <c r="AF55" i="66"/>
  <c r="H57" i="66"/>
  <c r="AA57" i="66"/>
  <c r="AE57" i="66"/>
  <c r="AI57" i="66"/>
  <c r="AO58" i="66"/>
  <c r="AA59" i="66"/>
  <c r="AE59" i="66"/>
  <c r="AI59" i="66"/>
  <c r="AG61" i="66"/>
  <c r="AE62" i="66"/>
  <c r="AI62" i="66"/>
  <c r="AO65" i="66"/>
  <c r="AP66" i="66"/>
  <c r="G67" i="66"/>
  <c r="Z67" i="66"/>
  <c r="AD67" i="66"/>
  <c r="AH67" i="66"/>
  <c r="H68" i="66"/>
  <c r="AA68" i="66"/>
  <c r="AE68" i="66"/>
  <c r="AI68" i="66"/>
  <c r="AP68" i="66"/>
  <c r="AP72" i="66"/>
  <c r="H75" i="66"/>
  <c r="AA75" i="66"/>
  <c r="AE75" i="66"/>
  <c r="AI75" i="66"/>
  <c r="AO77" i="66"/>
  <c r="AA78" i="66"/>
  <c r="AE78" i="66"/>
  <c r="AI78" i="66"/>
  <c r="AB79" i="66"/>
  <c r="G80" i="66"/>
  <c r="AO84" i="66"/>
  <c r="H86" i="66"/>
  <c r="AA86" i="66"/>
  <c r="AE86" i="66"/>
  <c r="AI86" i="66"/>
  <c r="AV91" i="66"/>
  <c r="AY91" i="66" s="1"/>
  <c r="BL91" i="66"/>
  <c r="AV92" i="66"/>
  <c r="AY92" i="66" s="1"/>
  <c r="BL92" i="66"/>
  <c r="H93" i="66"/>
  <c r="AA93" i="66"/>
  <c r="AE93" i="66"/>
  <c r="AI93" i="66"/>
  <c r="AV93" i="66"/>
  <c r="AY93" i="66" s="1"/>
  <c r="BL93" i="66"/>
  <c r="H44" i="66"/>
  <c r="X45" i="66"/>
  <c r="AB45" i="66"/>
  <c r="AF45" i="66"/>
  <c r="AO45" i="66"/>
  <c r="Y46" i="66"/>
  <c r="H48" i="66"/>
  <c r="AA48" i="66"/>
  <c r="AE48" i="66"/>
  <c r="AI48" i="66"/>
  <c r="BC51" i="66"/>
  <c r="AG52" i="66"/>
  <c r="AP52" i="66"/>
  <c r="BC53" i="66"/>
  <c r="Z54" i="66"/>
  <c r="AD54" i="66"/>
  <c r="AO57" i="66"/>
  <c r="Z61" i="66"/>
  <c r="AD61" i="66"/>
  <c r="AH61" i="66"/>
  <c r="AO62" i="66"/>
  <c r="BC63" i="66"/>
  <c r="Z66" i="66"/>
  <c r="AD66" i="66"/>
  <c r="AH66" i="66"/>
  <c r="AA67" i="66"/>
  <c r="AE67" i="66"/>
  <c r="G71" i="66"/>
  <c r="Z71" i="66"/>
  <c r="AD71" i="66"/>
  <c r="AH71" i="66"/>
  <c r="G72" i="66"/>
  <c r="Z72" i="66"/>
  <c r="AD72" i="66"/>
  <c r="AB74" i="66"/>
  <c r="AO74" i="66"/>
  <c r="Y76" i="66"/>
  <c r="AC76" i="66"/>
  <c r="Z77" i="66"/>
  <c r="AD77" i="66"/>
  <c r="AH77" i="66"/>
  <c r="AP78" i="66"/>
  <c r="AC79" i="66"/>
  <c r="AO79" i="66"/>
  <c r="BG80" i="66"/>
  <c r="AI84" i="66"/>
  <c r="AO86" i="66"/>
  <c r="BC86" i="66"/>
  <c r="BG91" i="66"/>
  <c r="AC91" i="66"/>
  <c r="AG91" i="66"/>
  <c r="G93" i="66"/>
  <c r="AO93" i="66"/>
  <c r="N88" i="66"/>
  <c r="N95" i="66" s="1"/>
  <c r="N98" i="66" s="1"/>
  <c r="AA3" i="66"/>
  <c r="Y6" i="66"/>
  <c r="AC6" i="66"/>
  <c r="AG6" i="66"/>
  <c r="X8" i="66"/>
  <c r="AF8" i="66"/>
  <c r="AV8" i="66"/>
  <c r="AY8" i="66" s="1"/>
  <c r="BL8" i="66"/>
  <c r="AV12" i="66"/>
  <c r="AY12" i="66" s="1"/>
  <c r="BL12" i="66"/>
  <c r="Y13" i="66"/>
  <c r="AC13" i="66"/>
  <c r="X19" i="66"/>
  <c r="AO19" i="66"/>
  <c r="AU28" i="66"/>
  <c r="AX28" i="66" s="1"/>
  <c r="BK28" i="66"/>
  <c r="BK29" i="66"/>
  <c r="AU29" i="66"/>
  <c r="AX29" i="66" s="1"/>
  <c r="X36" i="66"/>
  <c r="BC3" i="66"/>
  <c r="BC8" i="66"/>
  <c r="AG17" i="66"/>
  <c r="AI3" i="66"/>
  <c r="BF88" i="66"/>
  <c r="AU4" i="66"/>
  <c r="AX4" i="66" s="1"/>
  <c r="BK4" i="66"/>
  <c r="G5" i="66"/>
  <c r="X5" i="66"/>
  <c r="AB5" i="66"/>
  <c r="AF5" i="66"/>
  <c r="AU7" i="66"/>
  <c r="AX7" i="66" s="1"/>
  <c r="BK7" i="66"/>
  <c r="G8" i="66"/>
  <c r="Z8" i="66"/>
  <c r="AD8" i="66"/>
  <c r="AH8" i="66"/>
  <c r="AE11" i="66"/>
  <c r="BL11" i="66"/>
  <c r="AV11" i="66"/>
  <c r="AY11" i="66" s="1"/>
  <c r="Y12" i="66"/>
  <c r="AC12" i="66"/>
  <c r="AG12" i="66"/>
  <c r="AP12" i="66"/>
  <c r="H13" i="66"/>
  <c r="AA13" i="66"/>
  <c r="AE13" i="66"/>
  <c r="AI13" i="66"/>
  <c r="BL22" i="66"/>
  <c r="AV22" i="66"/>
  <c r="AY22" i="66" s="1"/>
  <c r="AU27" i="66"/>
  <c r="AX27" i="66" s="1"/>
  <c r="BK27" i="66"/>
  <c r="AV35" i="66"/>
  <c r="AY35" i="66" s="1"/>
  <c r="BL35" i="66"/>
  <c r="G36" i="66"/>
  <c r="BC36" i="66"/>
  <c r="Z36" i="66"/>
  <c r="AB36" i="66"/>
  <c r="AF36" i="66"/>
  <c r="AO36" i="66"/>
  <c r="AP13" i="66"/>
  <c r="AV16" i="66"/>
  <c r="AY16" i="66" s="1"/>
  <c r="BL16" i="66"/>
  <c r="AC17" i="66"/>
  <c r="AP17" i="66"/>
  <c r="BL18" i="66"/>
  <c r="AV18" i="66"/>
  <c r="AY18" i="66" s="1"/>
  <c r="AU24" i="66"/>
  <c r="AX24" i="66" s="1"/>
  <c r="BK24" i="66"/>
  <c r="AV30" i="66"/>
  <c r="AY30" i="66" s="1"/>
  <c r="BL30" i="66"/>
  <c r="X4" i="66"/>
  <c r="AF4" i="66"/>
  <c r="AV4" i="66"/>
  <c r="AY4" i="66" s="1"/>
  <c r="BL4" i="66"/>
  <c r="AU5" i="66"/>
  <c r="AX5" i="66" s="1"/>
  <c r="G6" i="66"/>
  <c r="X6" i="66"/>
  <c r="AB6" i="66"/>
  <c r="AF6" i="66"/>
  <c r="G9" i="66"/>
  <c r="X9" i="66"/>
  <c r="AB9" i="66"/>
  <c r="AF9" i="66"/>
  <c r="AU9" i="66"/>
  <c r="AX9" i="66" s="1"/>
  <c r="H10" i="66"/>
  <c r="Y10" i="66"/>
  <c r="AC10" i="66"/>
  <c r="AG10" i="66"/>
  <c r="AV13" i="66"/>
  <c r="AY13" i="66" s="1"/>
  <c r="BL13" i="66"/>
  <c r="X14" i="66"/>
  <c r="AB14" i="66"/>
  <c r="AF14" i="66"/>
  <c r="X15" i="66"/>
  <c r="AB15" i="66"/>
  <c r="X20" i="66"/>
  <c r="AB20" i="66"/>
  <c r="AF20" i="66"/>
  <c r="AO20" i="66"/>
  <c r="BC20" i="66"/>
  <c r="BK21" i="66"/>
  <c r="AU21" i="66"/>
  <c r="AX21" i="66" s="1"/>
  <c r="BL33" i="66"/>
  <c r="AV33" i="66"/>
  <c r="AY33" i="66" s="1"/>
  <c r="AU37" i="66"/>
  <c r="AX37" i="66" s="1"/>
  <c r="BK37" i="66"/>
  <c r="AC46" i="66"/>
  <c r="AB52" i="66"/>
  <c r="AC53" i="66"/>
  <c r="BK53" i="66"/>
  <c r="AU53" i="66"/>
  <c r="AX53" i="66" s="1"/>
  <c r="AG46" i="66"/>
  <c r="Y53" i="66"/>
  <c r="AG53" i="66"/>
  <c r="Y69" i="66"/>
  <c r="AC69" i="66"/>
  <c r="AG69" i="66"/>
  <c r="Y4" i="66"/>
  <c r="AC4" i="66"/>
  <c r="AG4" i="66"/>
  <c r="AO4" i="66"/>
  <c r="AC5" i="66"/>
  <c r="AV5" i="66"/>
  <c r="AY5" i="66" s="1"/>
  <c r="BL5" i="66"/>
  <c r="AA6" i="66"/>
  <c r="AE6" i="66"/>
  <c r="AI6" i="66"/>
  <c r="AV6" i="66"/>
  <c r="AY6" i="66" s="1"/>
  <c r="X7" i="66"/>
  <c r="AB7" i="66"/>
  <c r="AF7" i="66"/>
  <c r="AO7" i="66"/>
  <c r="H8" i="66"/>
  <c r="AA8" i="66"/>
  <c r="AE8" i="66"/>
  <c r="AI8" i="66"/>
  <c r="AU8" i="66"/>
  <c r="AX8" i="66" s="1"/>
  <c r="BK8" i="66"/>
  <c r="H9" i="66"/>
  <c r="AA9" i="66"/>
  <c r="AE9" i="66"/>
  <c r="AI9" i="66"/>
  <c r="AV9" i="66"/>
  <c r="AY9" i="66" s="1"/>
  <c r="BL9" i="66"/>
  <c r="G10" i="66"/>
  <c r="G11" i="66"/>
  <c r="Z11" i="66"/>
  <c r="AD11" i="66"/>
  <c r="AH11" i="66"/>
  <c r="AU11" i="66"/>
  <c r="AX11" i="66" s="1"/>
  <c r="BK11" i="66"/>
  <c r="G12" i="66"/>
  <c r="Z12" i="66"/>
  <c r="AD12" i="66"/>
  <c r="AH12" i="66"/>
  <c r="AU12" i="66"/>
  <c r="AX12" i="66" s="1"/>
  <c r="BK12" i="66"/>
  <c r="G13" i="66"/>
  <c r="X13" i="66"/>
  <c r="AB13" i="66"/>
  <c r="AF13" i="66"/>
  <c r="AA14" i="66"/>
  <c r="AE14" i="66"/>
  <c r="AI14" i="66"/>
  <c r="AA15" i="66"/>
  <c r="AE15" i="66"/>
  <c r="AI15" i="66"/>
  <c r="X16" i="66"/>
  <c r="AB16" i="66"/>
  <c r="AF16" i="66"/>
  <c r="AO16" i="66"/>
  <c r="BC16" i="66"/>
  <c r="BK17" i="66"/>
  <c r="AU17" i="66"/>
  <c r="AX17" i="66" s="1"/>
  <c r="X18" i="66"/>
  <c r="AB18" i="66"/>
  <c r="AF18" i="66"/>
  <c r="AU18" i="66"/>
  <c r="AX18" i="66" s="1"/>
  <c r="BC23" i="66"/>
  <c r="Y23" i="66"/>
  <c r="AC23" i="66"/>
  <c r="AG23" i="66"/>
  <c r="BG23" i="66"/>
  <c r="AH26" i="66"/>
  <c r="BC26" i="66"/>
  <c r="G27" i="66"/>
  <c r="Z27" i="66"/>
  <c r="AD27" i="66"/>
  <c r="AH27" i="66"/>
  <c r="AA28" i="66"/>
  <c r="AE28" i="66"/>
  <c r="AV28" i="66"/>
  <c r="AY28" i="66" s="1"/>
  <c r="BL28" i="66"/>
  <c r="AO29" i="66"/>
  <c r="X29" i="66"/>
  <c r="BC30" i="66"/>
  <c r="X32" i="66"/>
  <c r="AU32" i="66"/>
  <c r="AX32" i="66" s="1"/>
  <c r="BK32" i="66"/>
  <c r="X33" i="66"/>
  <c r="AB33" i="66"/>
  <c r="AF33" i="66"/>
  <c r="AO33" i="66"/>
  <c r="Y35" i="66"/>
  <c r="AC35" i="66"/>
  <c r="AG35" i="66"/>
  <c r="AU38" i="66"/>
  <c r="AX38" i="66" s="1"/>
  <c r="BK38" i="66"/>
  <c r="AV41" i="66"/>
  <c r="AY41" i="66" s="1"/>
  <c r="Y42" i="66"/>
  <c r="AC42" i="66"/>
  <c r="AG42" i="66"/>
  <c r="AP42" i="66"/>
  <c r="AP46" i="66"/>
  <c r="G48" i="66"/>
  <c r="AH48" i="66"/>
  <c r="X48" i="66"/>
  <c r="AB48" i="66"/>
  <c r="AF48" i="66"/>
  <c r="Z48" i="66"/>
  <c r="X51" i="66"/>
  <c r="AB51" i="66"/>
  <c r="AF51" i="66"/>
  <c r="AO51" i="66"/>
  <c r="BK54" i="66"/>
  <c r="AU54" i="66"/>
  <c r="AX54" i="66" s="1"/>
  <c r="X56" i="66"/>
  <c r="AF56" i="66"/>
  <c r="AV56" i="66"/>
  <c r="AY56" i="66" s="1"/>
  <c r="BL56" i="66"/>
  <c r="BK61" i="66"/>
  <c r="AU61" i="66"/>
  <c r="AX61" i="66" s="1"/>
  <c r="BL62" i="66"/>
  <c r="AV62" i="66"/>
  <c r="AY62" i="66" s="1"/>
  <c r="X63" i="66"/>
  <c r="AB63" i="66"/>
  <c r="AF63" i="66"/>
  <c r="AO63" i="66"/>
  <c r="AE71" i="66"/>
  <c r="AI71" i="66"/>
  <c r="AC71" i="66"/>
  <c r="AF15" i="66"/>
  <c r="AO15" i="66"/>
  <c r="Y16" i="66"/>
  <c r="AC16" i="66"/>
  <c r="AG16" i="66"/>
  <c r="AP16" i="66"/>
  <c r="H17" i="66"/>
  <c r="AA17" i="66"/>
  <c r="AE17" i="66"/>
  <c r="AI17" i="66"/>
  <c r="AV17" i="66"/>
  <c r="AY17" i="66" s="1"/>
  <c r="BL17" i="66"/>
  <c r="G19" i="66"/>
  <c r="Z19" i="66"/>
  <c r="AD19" i="66"/>
  <c r="AH19" i="66"/>
  <c r="AU19" i="66"/>
  <c r="AX19" i="66" s="1"/>
  <c r="BK19" i="66"/>
  <c r="G20" i="66"/>
  <c r="Z20" i="66"/>
  <c r="AD20" i="66"/>
  <c r="AH20" i="66"/>
  <c r="AU20" i="66"/>
  <c r="AX20" i="66" s="1"/>
  <c r="BK20" i="66"/>
  <c r="G21" i="66"/>
  <c r="X21" i="66"/>
  <c r="AB21" i="66"/>
  <c r="AF21" i="66"/>
  <c r="H22" i="66"/>
  <c r="Y22" i="66"/>
  <c r="AC22" i="66"/>
  <c r="AG22" i="66"/>
  <c r="AU23" i="66"/>
  <c r="AX23" i="66" s="1"/>
  <c r="BK23" i="66"/>
  <c r="X24" i="66"/>
  <c r="AB24" i="66"/>
  <c r="AF24" i="66"/>
  <c r="AO24" i="66"/>
  <c r="X25" i="66"/>
  <c r="AB25" i="66"/>
  <c r="AF25" i="66"/>
  <c r="AA26" i="66"/>
  <c r="AE26" i="66"/>
  <c r="AI26" i="66"/>
  <c r="G30" i="66"/>
  <c r="Z30" i="66"/>
  <c r="AD30" i="66"/>
  <c r="AH30" i="66"/>
  <c r="AP32" i="66"/>
  <c r="Y32" i="66"/>
  <c r="AC32" i="66"/>
  <c r="AG32" i="66"/>
  <c r="BL32" i="66"/>
  <c r="AV32" i="66"/>
  <c r="AY32" i="66" s="1"/>
  <c r="Y34" i="66"/>
  <c r="AC34" i="66"/>
  <c r="AG34" i="66"/>
  <c r="AP34" i="66"/>
  <c r="AD36" i="66"/>
  <c r="AH36" i="66"/>
  <c r="X38" i="66"/>
  <c r="AF38" i="66"/>
  <c r="AV38" i="66"/>
  <c r="AY38" i="66" s="1"/>
  <c r="BL38" i="66"/>
  <c r="AV39" i="66"/>
  <c r="AY39" i="66" s="1"/>
  <c r="BL39" i="66"/>
  <c r="AI41" i="66"/>
  <c r="H45" i="66"/>
  <c r="AI45" i="66"/>
  <c r="H46" i="66"/>
  <c r="AA46" i="66"/>
  <c r="AE46" i="66"/>
  <c r="AI46" i="66"/>
  <c r="H53" i="66"/>
  <c r="AA53" i="66"/>
  <c r="AE53" i="66"/>
  <c r="AI53" i="66"/>
  <c r="AP54" i="66"/>
  <c r="AE54" i="66"/>
  <c r="BL55" i="66"/>
  <c r="AV55" i="66"/>
  <c r="AY55" i="66" s="1"/>
  <c r="AU58" i="66"/>
  <c r="AX58" i="66" s="1"/>
  <c r="AV60" i="66"/>
  <c r="AY60" i="66" s="1"/>
  <c r="BL60" i="66"/>
  <c r="H69" i="66"/>
  <c r="AA69" i="66"/>
  <c r="AE69" i="66"/>
  <c r="AI69" i="66"/>
  <c r="X83" i="66"/>
  <c r="AB83" i="66"/>
  <c r="AF83" i="66"/>
  <c r="Z7" i="66"/>
  <c r="AD7" i="66"/>
  <c r="AH7" i="66"/>
  <c r="Y8" i="66"/>
  <c r="AC8" i="66"/>
  <c r="AG8" i="66"/>
  <c r="AO8" i="66"/>
  <c r="Y9" i="66"/>
  <c r="AC9" i="66"/>
  <c r="AG9" i="66"/>
  <c r="AP9" i="66"/>
  <c r="BC9" i="66"/>
  <c r="X11" i="66"/>
  <c r="AB11" i="66"/>
  <c r="AF11" i="66"/>
  <c r="AO11" i="66"/>
  <c r="X12" i="66"/>
  <c r="AB12" i="66"/>
  <c r="AF12" i="66"/>
  <c r="AO12" i="66"/>
  <c r="BC12" i="66"/>
  <c r="Y14" i="66"/>
  <c r="AC14" i="66"/>
  <c r="AG14" i="66"/>
  <c r="Y15" i="66"/>
  <c r="AC15" i="66"/>
  <c r="AG15" i="66"/>
  <c r="BC15" i="66"/>
  <c r="AV20" i="66"/>
  <c r="AY20" i="66" s="1"/>
  <c r="BL20" i="66"/>
  <c r="Y21" i="66"/>
  <c r="AC21" i="66"/>
  <c r="AG21" i="66"/>
  <c r="AP21" i="66"/>
  <c r="BC21" i="66"/>
  <c r="BK22" i="66"/>
  <c r="AU22" i="66"/>
  <c r="AX22" i="66" s="1"/>
  <c r="BL23" i="66"/>
  <c r="AV23" i="66"/>
  <c r="AY23" i="66" s="1"/>
  <c r="AV25" i="66"/>
  <c r="AY25" i="66" s="1"/>
  <c r="BL25" i="66"/>
  <c r="X26" i="66"/>
  <c r="AB26" i="66"/>
  <c r="AF26" i="66"/>
  <c r="Z26" i="66"/>
  <c r="X27" i="66"/>
  <c r="AB27" i="66"/>
  <c r="Y28" i="66"/>
  <c r="AH29" i="66"/>
  <c r="BK30" i="66"/>
  <c r="AU30" i="66"/>
  <c r="AX30" i="66" s="1"/>
  <c r="X31" i="66"/>
  <c r="AB31" i="66"/>
  <c r="AF31" i="66"/>
  <c r="BC32" i="66"/>
  <c r="G33" i="66"/>
  <c r="Z33" i="66"/>
  <c r="AD33" i="66"/>
  <c r="AH33" i="66"/>
  <c r="AU33" i="66"/>
  <c r="AX33" i="66" s="1"/>
  <c r="BK33" i="66"/>
  <c r="AU34" i="66"/>
  <c r="AX34" i="66" s="1"/>
  <c r="BK34" i="66"/>
  <c r="H35" i="66"/>
  <c r="AA35" i="66"/>
  <c r="AE35" i="66"/>
  <c r="AI35" i="66"/>
  <c r="AV36" i="66"/>
  <c r="AY36" i="66" s="1"/>
  <c r="BC38" i="66"/>
  <c r="Z39" i="66"/>
  <c r="AH39" i="66"/>
  <c r="AV43" i="66"/>
  <c r="AY43" i="66" s="1"/>
  <c r="AP44" i="66"/>
  <c r="AA45" i="66"/>
  <c r="Y47" i="66"/>
  <c r="AC47" i="66"/>
  <c r="AG47" i="66"/>
  <c r="AP55" i="66"/>
  <c r="AA55" i="66"/>
  <c r="BK57" i="66"/>
  <c r="AU57" i="66"/>
  <c r="AX57" i="66" s="1"/>
  <c r="G58" i="66"/>
  <c r="AH58" i="66"/>
  <c r="X58" i="66"/>
  <c r="AB58" i="66"/>
  <c r="AF58" i="66"/>
  <c r="Z58" i="66"/>
  <c r="Y60" i="66"/>
  <c r="AG60" i="66"/>
  <c r="Z62" i="66"/>
  <c r="AD62" i="66"/>
  <c r="AH62" i="66"/>
  <c r="BK70" i="66"/>
  <c r="AU70" i="66"/>
  <c r="AX70" i="66" s="1"/>
  <c r="G73" i="66"/>
  <c r="AD73" i="66"/>
  <c r="AO73" i="66"/>
  <c r="X73" i="66"/>
  <c r="AB73" i="66"/>
  <c r="AF73" i="66"/>
  <c r="Z73" i="66"/>
  <c r="AH14" i="66"/>
  <c r="G15" i="66"/>
  <c r="Z15" i="66"/>
  <c r="AD15" i="66"/>
  <c r="AH15" i="66"/>
  <c r="AU15" i="66"/>
  <c r="AX15" i="66" s="1"/>
  <c r="BK15" i="66"/>
  <c r="G16" i="66"/>
  <c r="Z16" i="66"/>
  <c r="AD16" i="66"/>
  <c r="AH16" i="66"/>
  <c r="AU16" i="66"/>
  <c r="AX16" i="66" s="1"/>
  <c r="BK16" i="66"/>
  <c r="G17" i="66"/>
  <c r="X17" i="66"/>
  <c r="AB17" i="66"/>
  <c r="AF17" i="66"/>
  <c r="H18" i="66"/>
  <c r="Y18" i="66"/>
  <c r="AC18" i="66"/>
  <c r="AG18" i="66"/>
  <c r="Y19" i="66"/>
  <c r="AC19" i="66"/>
  <c r="AG19" i="66"/>
  <c r="Y20" i="66"/>
  <c r="AC20" i="66"/>
  <c r="AG20" i="66"/>
  <c r="AP20" i="66"/>
  <c r="H21" i="66"/>
  <c r="AA21" i="66"/>
  <c r="AE21" i="66"/>
  <c r="AI21" i="66"/>
  <c r="AV21" i="66"/>
  <c r="AY21" i="66" s="1"/>
  <c r="BL21" i="66"/>
  <c r="X22" i="66"/>
  <c r="AB22" i="66"/>
  <c r="AF22" i="66"/>
  <c r="X23" i="66"/>
  <c r="AB23" i="66"/>
  <c r="AF23" i="66"/>
  <c r="AO23" i="66"/>
  <c r="Y24" i="66"/>
  <c r="AC24" i="66"/>
  <c r="AG24" i="66"/>
  <c r="Y25" i="66"/>
  <c r="AC25" i="66"/>
  <c r="BC25" i="66"/>
  <c r="G26" i="66"/>
  <c r="Y27" i="66"/>
  <c r="AC27" i="66"/>
  <c r="AG27" i="66"/>
  <c r="AP27" i="66"/>
  <c r="X28" i="66"/>
  <c r="AB28" i="66"/>
  <c r="AF28" i="66"/>
  <c r="AO28" i="66"/>
  <c r="Y29" i="66"/>
  <c r="AV29" i="66"/>
  <c r="AY29" i="66" s="1"/>
  <c r="BL29" i="66"/>
  <c r="BC29" i="66"/>
  <c r="Y30" i="66"/>
  <c r="AC30" i="66"/>
  <c r="AG30" i="66"/>
  <c r="AO30" i="66"/>
  <c r="Y31" i="66"/>
  <c r="AC31" i="66"/>
  <c r="AG31" i="66"/>
  <c r="BC31" i="66"/>
  <c r="Z32" i="66"/>
  <c r="AD32" i="66"/>
  <c r="AH32" i="66"/>
  <c r="AO32" i="66"/>
  <c r="X34" i="66"/>
  <c r="AB34" i="66"/>
  <c r="AF34" i="66"/>
  <c r="AV34" i="66"/>
  <c r="AY34" i="66" s="1"/>
  <c r="BL34" i="66"/>
  <c r="G35" i="66"/>
  <c r="X35" i="66"/>
  <c r="AB35" i="66"/>
  <c r="AF35" i="66"/>
  <c r="AP36" i="66"/>
  <c r="X37" i="66"/>
  <c r="AF37" i="66"/>
  <c r="Y38" i="66"/>
  <c r="AC38" i="66"/>
  <c r="AG38" i="66"/>
  <c r="AO38" i="66"/>
  <c r="AE40" i="66"/>
  <c r="AU40" i="66"/>
  <c r="AX40" i="66" s="1"/>
  <c r="G41" i="66"/>
  <c r="X41" i="66"/>
  <c r="AB41" i="66"/>
  <c r="AF41" i="66"/>
  <c r="AU41" i="66"/>
  <c r="AX41" i="66" s="1"/>
  <c r="AU42" i="66"/>
  <c r="AX42" i="66" s="1"/>
  <c r="H43" i="66"/>
  <c r="Y43" i="66"/>
  <c r="AC43" i="66"/>
  <c r="AG43" i="66"/>
  <c r="AA44" i="66"/>
  <c r="AE44" i="66"/>
  <c r="AI44" i="66"/>
  <c r="AU44" i="66"/>
  <c r="AX44" i="66" s="1"/>
  <c r="BK44" i="66"/>
  <c r="BC44" i="66"/>
  <c r="X46" i="66"/>
  <c r="AF46" i="66"/>
  <c r="AU46" i="66"/>
  <c r="AX46" i="66" s="1"/>
  <c r="BK46" i="66"/>
  <c r="AD47" i="66"/>
  <c r="AH47" i="66"/>
  <c r="AP47" i="66"/>
  <c r="BC47" i="66"/>
  <c r="Y48" i="66"/>
  <c r="AC48" i="66"/>
  <c r="AG48" i="66"/>
  <c r="BK48" i="66"/>
  <c r="AU48" i="66"/>
  <c r="AX48" i="66" s="1"/>
  <c r="BG48" i="66"/>
  <c r="AO52" i="66"/>
  <c r="BC52" i="66"/>
  <c r="Y56" i="66"/>
  <c r="AC56" i="66"/>
  <c r="AG56" i="66"/>
  <c r="AO56" i="66"/>
  <c r="AV57" i="66"/>
  <c r="AY57" i="66" s="1"/>
  <c r="BL57" i="66"/>
  <c r="AB59" i="66"/>
  <c r="BL59" i="66"/>
  <c r="AV59" i="66"/>
  <c r="AY59" i="66" s="1"/>
  <c r="X60" i="66"/>
  <c r="AF60" i="66"/>
  <c r="AU60" i="66"/>
  <c r="AX60" i="66" s="1"/>
  <c r="BK60" i="66"/>
  <c r="H61" i="66"/>
  <c r="AA61" i="66"/>
  <c r="AE61" i="66"/>
  <c r="AI61" i="66"/>
  <c r="AU64" i="66"/>
  <c r="AX64" i="66" s="1"/>
  <c r="BK64" i="66"/>
  <c r="H65" i="66"/>
  <c r="AA65" i="66"/>
  <c r="AE65" i="66"/>
  <c r="AI65" i="66"/>
  <c r="AV66" i="66"/>
  <c r="AY66" i="66" s="1"/>
  <c r="BL66" i="66"/>
  <c r="AV68" i="66"/>
  <c r="AY68" i="66" s="1"/>
  <c r="BL68" i="66"/>
  <c r="AU69" i="66"/>
  <c r="AU75" i="66"/>
  <c r="AX75" i="66" s="1"/>
  <c r="BK75" i="66"/>
  <c r="BK76" i="66"/>
  <c r="AU76" i="66"/>
  <c r="AX76" i="66" s="1"/>
  <c r="AU78" i="66"/>
  <c r="AX78" i="66" s="1"/>
  <c r="BK78" i="66"/>
  <c r="Y81" i="66"/>
  <c r="AC81" i="66"/>
  <c r="AG81" i="66"/>
  <c r="BG40" i="66"/>
  <c r="Y40" i="66"/>
  <c r="AC40" i="66"/>
  <c r="AG40" i="66"/>
  <c r="AI40" i="66"/>
  <c r="AY44" i="66"/>
  <c r="AE45" i="66"/>
  <c r="BC45" i="66"/>
  <c r="AO47" i="66"/>
  <c r="Z47" i="66"/>
  <c r="AV47" i="66"/>
  <c r="AY47" i="66" s="1"/>
  <c r="BL47" i="66"/>
  <c r="Y49" i="66"/>
  <c r="AC49" i="66"/>
  <c r="BK49" i="66"/>
  <c r="AU49" i="66"/>
  <c r="AX49" i="66" s="1"/>
  <c r="AU52" i="66"/>
  <c r="AX52" i="66" s="1"/>
  <c r="BK52" i="66"/>
  <c r="AU56" i="66"/>
  <c r="AX56" i="66" s="1"/>
  <c r="BK56" i="66"/>
  <c r="BC59" i="66"/>
  <c r="Y61" i="66"/>
  <c r="AC61" i="66"/>
  <c r="AV61" i="66"/>
  <c r="AY61" i="66" s="1"/>
  <c r="BL61" i="66"/>
  <c r="Y65" i="66"/>
  <c r="AC65" i="66"/>
  <c r="AG65" i="66"/>
  <c r="AP65" i="66"/>
  <c r="AU67" i="66"/>
  <c r="AX67" i="66" s="1"/>
  <c r="BK67" i="66"/>
  <c r="H42" i="66"/>
  <c r="AA42" i="66"/>
  <c r="AE42" i="66"/>
  <c r="AI42" i="66"/>
  <c r="AV42" i="66"/>
  <c r="AY42" i="66" s="1"/>
  <c r="BL42" i="66"/>
  <c r="G43" i="66"/>
  <c r="X43" i="66"/>
  <c r="AB43" i="66"/>
  <c r="AF43" i="66"/>
  <c r="BC43" i="66"/>
  <c r="G44" i="66"/>
  <c r="G45" i="66"/>
  <c r="Y45" i="66"/>
  <c r="AC45" i="66"/>
  <c r="AG45" i="66"/>
  <c r="AU45" i="66"/>
  <c r="AX45" i="66" s="1"/>
  <c r="BK45" i="66"/>
  <c r="G46" i="66"/>
  <c r="Z46" i="66"/>
  <c r="AD46" i="66"/>
  <c r="AH46" i="66"/>
  <c r="AV46" i="66"/>
  <c r="AY46" i="66" s="1"/>
  <c r="BL46" i="66"/>
  <c r="H47" i="66"/>
  <c r="AA47" i="66"/>
  <c r="AE47" i="66"/>
  <c r="AI47" i="66"/>
  <c r="AD48" i="66"/>
  <c r="AV48" i="66"/>
  <c r="AY48" i="66" s="1"/>
  <c r="BL48" i="66"/>
  <c r="AP49" i="66"/>
  <c r="AO50" i="66"/>
  <c r="G52" i="66"/>
  <c r="Z52" i="66"/>
  <c r="AD52" i="66"/>
  <c r="AH52" i="66"/>
  <c r="AV53" i="66"/>
  <c r="AY53" i="66" s="1"/>
  <c r="BL53" i="66"/>
  <c r="AE55" i="66"/>
  <c r="BC55" i="66"/>
  <c r="BC57" i="66"/>
  <c r="AD58" i="66"/>
  <c r="AP59" i="66"/>
  <c r="X59" i="66"/>
  <c r="AF59" i="66"/>
  <c r="AU59" i="66"/>
  <c r="AX59" i="66" s="1"/>
  <c r="BK59" i="66"/>
  <c r="G60" i="66"/>
  <c r="Z60" i="66"/>
  <c r="AD60" i="66"/>
  <c r="AH60" i="66"/>
  <c r="AO60" i="66"/>
  <c r="AP61" i="66"/>
  <c r="X64" i="66"/>
  <c r="AB64" i="66"/>
  <c r="AF64" i="66"/>
  <c r="AV64" i="66"/>
  <c r="AY64" i="66" s="1"/>
  <c r="BL64" i="66"/>
  <c r="Y66" i="66"/>
  <c r="AC66" i="66"/>
  <c r="AG66" i="66"/>
  <c r="AU66" i="66"/>
  <c r="AX66" i="66" s="1"/>
  <c r="X67" i="66"/>
  <c r="AB67" i="66"/>
  <c r="AF67" i="66"/>
  <c r="AV67" i="66"/>
  <c r="AY67" i="66" s="1"/>
  <c r="BL67" i="66"/>
  <c r="AO68" i="66"/>
  <c r="X68" i="66"/>
  <c r="AB68" i="66"/>
  <c r="AF68" i="66"/>
  <c r="BK73" i="66"/>
  <c r="AU73" i="66"/>
  <c r="AX73" i="66" s="1"/>
  <c r="AV75" i="66"/>
  <c r="AY75" i="66" s="1"/>
  <c r="BL75" i="66"/>
  <c r="AV79" i="66"/>
  <c r="AY79" i="66" s="1"/>
  <c r="BL79" i="66"/>
  <c r="BL84" i="66"/>
  <c r="AV84" i="66"/>
  <c r="AY84" i="66" s="1"/>
  <c r="AU65" i="66"/>
  <c r="AX65" i="66" s="1"/>
  <c r="BK65" i="66"/>
  <c r="AV69" i="66"/>
  <c r="AY69" i="66" s="1"/>
  <c r="BL69" i="66"/>
  <c r="AP74" i="66"/>
  <c r="AP84" i="66"/>
  <c r="BL85" i="66"/>
  <c r="AV85" i="66"/>
  <c r="AY85" i="66" s="1"/>
  <c r="AD70" i="66"/>
  <c r="X71" i="66"/>
  <c r="AB71" i="66"/>
  <c r="AF71" i="66"/>
  <c r="AU71" i="66"/>
  <c r="AX71" i="66" s="1"/>
  <c r="BK71" i="66"/>
  <c r="Y72" i="66"/>
  <c r="AC72" i="66"/>
  <c r="AG72" i="66"/>
  <c r="AV72" i="66"/>
  <c r="AY72" i="66" s="1"/>
  <c r="BL72" i="66"/>
  <c r="AA73" i="66"/>
  <c r="AE73" i="66"/>
  <c r="AI73" i="66"/>
  <c r="X74" i="66"/>
  <c r="AF74" i="66"/>
  <c r="AU74" i="66"/>
  <c r="AX74" i="66" s="1"/>
  <c r="BK74" i="66"/>
  <c r="Y75" i="66"/>
  <c r="AC75" i="66"/>
  <c r="AG75" i="66"/>
  <c r="AP75" i="66"/>
  <c r="H77" i="66"/>
  <c r="AU77" i="66"/>
  <c r="AX77" i="66" s="1"/>
  <c r="Z78" i="66"/>
  <c r="AD78" i="66"/>
  <c r="AH78" i="66"/>
  <c r="Y79" i="66"/>
  <c r="AU79" i="66"/>
  <c r="AX79" i="66" s="1"/>
  <c r="BK79" i="66"/>
  <c r="AH80" i="66"/>
  <c r="AO80" i="66"/>
  <c r="AH81" i="66"/>
  <c r="X81" i="66"/>
  <c r="AP81" i="66"/>
  <c r="H82" i="66"/>
  <c r="Y82" i="66"/>
  <c r="AU82" i="66"/>
  <c r="AX82" i="66" s="1"/>
  <c r="AE83" i="66"/>
  <c r="AO83" i="66"/>
  <c r="X84" i="66"/>
  <c r="AB84" i="66"/>
  <c r="AF84" i="66"/>
  <c r="AU84" i="66"/>
  <c r="AX84" i="66" s="1"/>
  <c r="BK84" i="66"/>
  <c r="G85" i="66"/>
  <c r="Z85" i="66"/>
  <c r="AD85" i="66"/>
  <c r="AH85" i="66"/>
  <c r="AU85" i="66"/>
  <c r="AX85" i="66" s="1"/>
  <c r="BK85" i="66"/>
  <c r="Y86" i="66"/>
  <c r="AG86" i="66"/>
  <c r="H91" i="66"/>
  <c r="AA91" i="66"/>
  <c r="AE91" i="66"/>
  <c r="AI91" i="66"/>
  <c r="H92" i="66"/>
  <c r="AA92" i="66"/>
  <c r="AE92" i="66"/>
  <c r="AI92" i="66"/>
  <c r="AV76" i="66"/>
  <c r="AY76" i="66" s="1"/>
  <c r="BL76" i="66"/>
  <c r="X78" i="66"/>
  <c r="AF78" i="66"/>
  <c r="Z80" i="66"/>
  <c r="AU80" i="66"/>
  <c r="AX80" i="66" s="1"/>
  <c r="BK80" i="66"/>
  <c r="AU81" i="66"/>
  <c r="AX81" i="66" s="1"/>
  <c r="BK81" i="66"/>
  <c r="AP83" i="66"/>
  <c r="Y83" i="66"/>
  <c r="AC83" i="66"/>
  <c r="AG83" i="66"/>
  <c r="AU83" i="66"/>
  <c r="AX83" i="66" s="1"/>
  <c r="BK83" i="66"/>
  <c r="X85" i="66"/>
  <c r="AB85" i="66"/>
  <c r="AF85" i="66"/>
  <c r="AO85" i="66"/>
  <c r="AU86" i="66"/>
  <c r="AX86" i="66" s="1"/>
  <c r="BK86" i="66"/>
  <c r="Y92" i="66"/>
  <c r="AG92" i="66"/>
  <c r="X93" i="66"/>
  <c r="AB93" i="66"/>
  <c r="AF93" i="66"/>
  <c r="AP48" i="66"/>
  <c r="H49" i="66"/>
  <c r="AA49" i="66"/>
  <c r="AE49" i="66"/>
  <c r="AI49" i="66"/>
  <c r="AV49" i="66"/>
  <c r="AY49" i="66" s="1"/>
  <c r="BL49" i="66"/>
  <c r="AE50" i="66"/>
  <c r="BC50" i="66"/>
  <c r="G51" i="66"/>
  <c r="Z51" i="66"/>
  <c r="AD51" i="66"/>
  <c r="AH51" i="66"/>
  <c r="AU51" i="66"/>
  <c r="AX51" i="66" s="1"/>
  <c r="BK51" i="66"/>
  <c r="Y52" i="66"/>
  <c r="AC52" i="66"/>
  <c r="AV52" i="66"/>
  <c r="AY52" i="66" s="1"/>
  <c r="BL52" i="66"/>
  <c r="G53" i="66"/>
  <c r="X53" i="66"/>
  <c r="AB53" i="66"/>
  <c r="AF53" i="66"/>
  <c r="AP53" i="66"/>
  <c r="G54" i="66"/>
  <c r="AA54" i="66"/>
  <c r="AI54" i="66"/>
  <c r="G55" i="66"/>
  <c r="Y55" i="66"/>
  <c r="AC55" i="66"/>
  <c r="AG55" i="66"/>
  <c r="AU55" i="66"/>
  <c r="AX55" i="66" s="1"/>
  <c r="BK55" i="66"/>
  <c r="G56" i="66"/>
  <c r="Z56" i="66"/>
  <c r="AD56" i="66"/>
  <c r="AH56" i="66"/>
  <c r="AP56" i="66"/>
  <c r="Y57" i="66"/>
  <c r="AG57" i="66"/>
  <c r="H58" i="66"/>
  <c r="Y58" i="66"/>
  <c r="AC58" i="66"/>
  <c r="AG58" i="66"/>
  <c r="Z59" i="66"/>
  <c r="AD59" i="66"/>
  <c r="AH59" i="66"/>
  <c r="AO59" i="66"/>
  <c r="H60" i="66"/>
  <c r="AA60" i="66"/>
  <c r="AE60" i="66"/>
  <c r="AI60" i="66"/>
  <c r="AP60" i="66"/>
  <c r="H62" i="66"/>
  <c r="Y62" i="66"/>
  <c r="AC62" i="66"/>
  <c r="AG62" i="66"/>
  <c r="BC62" i="66"/>
  <c r="G63" i="66"/>
  <c r="Z63" i="66"/>
  <c r="AD63" i="66"/>
  <c r="AH63" i="66"/>
  <c r="AU63" i="66"/>
  <c r="AX63" i="66" s="1"/>
  <c r="BK63" i="66"/>
  <c r="BC64" i="66"/>
  <c r="AC64" i="66"/>
  <c r="AG64" i="66"/>
  <c r="AO64" i="66"/>
  <c r="X65" i="66"/>
  <c r="AB65" i="66"/>
  <c r="AF65" i="66"/>
  <c r="AV65" i="66"/>
  <c r="AY65" i="66" s="1"/>
  <c r="BL65" i="66"/>
  <c r="G66" i="66"/>
  <c r="X66" i="66"/>
  <c r="AB66" i="66"/>
  <c r="AF66" i="66"/>
  <c r="AP67" i="66"/>
  <c r="Y67" i="66"/>
  <c r="AC67" i="66"/>
  <c r="AG67" i="66"/>
  <c r="AO67" i="66"/>
  <c r="Y68" i="66"/>
  <c r="AU68" i="66"/>
  <c r="AX68" i="66" s="1"/>
  <c r="BK68" i="66"/>
  <c r="AP69" i="66"/>
  <c r="AP70" i="66"/>
  <c r="H71" i="66"/>
  <c r="AP71" i="66"/>
  <c r="AO72" i="66"/>
  <c r="BC72" i="66"/>
  <c r="AH73" i="66"/>
  <c r="X75" i="66"/>
  <c r="AB75" i="66"/>
  <c r="AF75" i="66"/>
  <c r="AO75" i="66"/>
  <c r="G76" i="66"/>
  <c r="X76" i="66"/>
  <c r="AB76" i="66"/>
  <c r="AF76" i="66"/>
  <c r="AP76" i="66"/>
  <c r="G77" i="66"/>
  <c r="X77" i="66"/>
  <c r="AB77" i="66"/>
  <c r="AF77" i="66"/>
  <c r="G78" i="66"/>
  <c r="Y78" i="66"/>
  <c r="AC78" i="66"/>
  <c r="AG78" i="66"/>
  <c r="AO78" i="66"/>
  <c r="AV78" i="66"/>
  <c r="AY78" i="66" s="1"/>
  <c r="X79" i="66"/>
  <c r="AF79" i="66"/>
  <c r="AP79" i="66"/>
  <c r="Y80" i="66"/>
  <c r="AC80" i="66"/>
  <c r="AG80" i="66"/>
  <c r="AV80" i="66"/>
  <c r="AY80" i="66" s="1"/>
  <c r="BL80" i="66"/>
  <c r="H81" i="66"/>
  <c r="AA81" i="66"/>
  <c r="AE81" i="66"/>
  <c r="AI81" i="66"/>
  <c r="AV81" i="66"/>
  <c r="AY81" i="66" s="1"/>
  <c r="BL81" i="66"/>
  <c r="AO82" i="66"/>
  <c r="G83" i="66"/>
  <c r="Z83" i="66"/>
  <c r="AD83" i="66"/>
  <c r="AH83" i="66"/>
  <c r="AE84" i="66"/>
  <c r="X86" i="66"/>
  <c r="AB86" i="66"/>
  <c r="AF86" i="66"/>
  <c r="AV86" i="66"/>
  <c r="AY86" i="66" s="1"/>
  <c r="BL86" i="66"/>
  <c r="Z92" i="66"/>
  <c r="AD92" i="66"/>
  <c r="AH92" i="66"/>
  <c r="AP92" i="66"/>
  <c r="BC92" i="66"/>
  <c r="AP93" i="66"/>
  <c r="AS88" i="66"/>
  <c r="BK88" i="66" s="1"/>
  <c r="AU3" i="66"/>
  <c r="AA11" i="66"/>
  <c r="AL88" i="66"/>
  <c r="AL95" i="66" s="1"/>
  <c r="AL98" i="66" s="1"/>
  <c r="AO3" i="66"/>
  <c r="BC10" i="66"/>
  <c r="Y11" i="66"/>
  <c r="AC11" i="66"/>
  <c r="AG11" i="66"/>
  <c r="AP11" i="66"/>
  <c r="G14" i="66"/>
  <c r="BC14" i="66"/>
  <c r="E88" i="66"/>
  <c r="E95" i="66" s="1"/>
  <c r="E98" i="66" s="1"/>
  <c r="G3" i="66"/>
  <c r="AE3" i="66"/>
  <c r="AI11" i="66"/>
  <c r="D88" i="66"/>
  <c r="D95" i="66" s="1"/>
  <c r="K88" i="66"/>
  <c r="K95" i="66" s="1"/>
  <c r="K98" i="66" s="1"/>
  <c r="O88" i="66"/>
  <c r="O95" i="66" s="1"/>
  <c r="O98" i="66" s="1"/>
  <c r="S88" i="66"/>
  <c r="S95" i="66" s="1"/>
  <c r="S98" i="66" s="1"/>
  <c r="X3" i="66"/>
  <c r="AF3" i="66"/>
  <c r="AP3" i="66"/>
  <c r="X10" i="66"/>
  <c r="AB10" i="66"/>
  <c r="AF10" i="66"/>
  <c r="H15" i="66"/>
  <c r="G18" i="66"/>
  <c r="H19" i="66"/>
  <c r="G22" i="66"/>
  <c r="H23" i="66"/>
  <c r="AP23" i="66"/>
  <c r="H24" i="66"/>
  <c r="H26" i="66"/>
  <c r="H28" i="66"/>
  <c r="AG28" i="66"/>
  <c r="AP28" i="66"/>
  <c r="AF29" i="66"/>
  <c r="H33" i="66"/>
  <c r="H36" i="66"/>
  <c r="H41" i="66"/>
  <c r="AA41" i="66"/>
  <c r="AE41" i="66"/>
  <c r="H50" i="66"/>
  <c r="AA50" i="66"/>
  <c r="AI50" i="66"/>
  <c r="AP63" i="66"/>
  <c r="H63" i="66"/>
  <c r="AO5" i="66"/>
  <c r="AP6" i="66"/>
  <c r="AO9" i="66"/>
  <c r="AP10" i="66"/>
  <c r="AO13" i="66"/>
  <c r="AP14" i="66"/>
  <c r="AO17" i="66"/>
  <c r="AP18" i="66"/>
  <c r="AO21" i="66"/>
  <c r="AP22" i="66"/>
  <c r="AC28" i="66"/>
  <c r="AF32" i="66"/>
  <c r="G40" i="66"/>
  <c r="Y41" i="66"/>
  <c r="BG41" i="66"/>
  <c r="BC69" i="66"/>
  <c r="AF69" i="66"/>
  <c r="AO69" i="66"/>
  <c r="AB69" i="66"/>
  <c r="G69" i="66"/>
  <c r="F88" i="66"/>
  <c r="F95" i="66" s="1"/>
  <c r="F98" i="66" s="1"/>
  <c r="P88" i="66"/>
  <c r="P95" i="66" s="1"/>
  <c r="P98" i="66" s="1"/>
  <c r="AM88" i="66"/>
  <c r="AM95" i="66" s="1"/>
  <c r="AM98" i="66" s="1"/>
  <c r="Y26" i="66"/>
  <c r="AC26" i="66"/>
  <c r="AG26" i="66"/>
  <c r="G31" i="66"/>
  <c r="H32" i="66"/>
  <c r="AB32" i="66"/>
  <c r="Y33" i="66"/>
  <c r="AC33" i="66"/>
  <c r="AG33" i="66"/>
  <c r="Y36" i="66"/>
  <c r="AC36" i="66"/>
  <c r="AG36" i="66"/>
  <c r="X39" i="66"/>
  <c r="AB39" i="66"/>
  <c r="AF39" i="66"/>
  <c r="AO39" i="66"/>
  <c r="H40" i="66"/>
  <c r="BC40" i="66"/>
  <c r="AG41" i="66"/>
  <c r="AP41" i="66"/>
  <c r="AH49" i="66"/>
  <c r="Z49" i="66"/>
  <c r="G49" i="66"/>
  <c r="AP51" i="66"/>
  <c r="G61" i="66"/>
  <c r="G62" i="66"/>
  <c r="AO91" i="66"/>
  <c r="AD91" i="66"/>
  <c r="G91" i="66"/>
  <c r="Z93" i="66"/>
  <c r="AD93" i="66"/>
  <c r="AH93" i="66"/>
  <c r="G29" i="66"/>
  <c r="AB29" i="66"/>
  <c r="G39" i="66"/>
  <c r="Y51" i="66"/>
  <c r="AC51" i="66"/>
  <c r="AG51" i="66"/>
  <c r="AA51" i="66"/>
  <c r="L88" i="66"/>
  <c r="L95" i="66" s="1"/>
  <c r="L98" i="66" s="1"/>
  <c r="T88" i="66"/>
  <c r="Y3" i="66"/>
  <c r="AC3" i="66"/>
  <c r="AG3" i="66"/>
  <c r="AT88" i="66"/>
  <c r="C88" i="66"/>
  <c r="C95" i="66" s="1"/>
  <c r="M88" i="66"/>
  <c r="M95" i="66" s="1"/>
  <c r="M98" i="66" s="1"/>
  <c r="Q88" i="66"/>
  <c r="Q95" i="66" s="1"/>
  <c r="Q98" i="66" s="1"/>
  <c r="U88" i="66"/>
  <c r="U95" i="66" s="1"/>
  <c r="U98" i="66" s="1"/>
  <c r="Z3" i="66"/>
  <c r="AD3" i="66"/>
  <c r="AH3" i="66"/>
  <c r="BA88" i="66"/>
  <c r="BA95" i="66" s="1"/>
  <c r="BA98" i="66" s="1"/>
  <c r="BC39" i="66"/>
  <c r="X40" i="66"/>
  <c r="AB40" i="66"/>
  <c r="AF40" i="66"/>
  <c r="X49" i="66"/>
  <c r="AB49" i="66"/>
  <c r="AF49" i="66"/>
  <c r="G50" i="66"/>
  <c r="Z50" i="66"/>
  <c r="AH50" i="66"/>
  <c r="AE51" i="66"/>
  <c r="AI51" i="66"/>
  <c r="G70" i="66"/>
  <c r="AA63" i="66"/>
  <c r="AE63" i="66"/>
  <c r="AI63" i="66"/>
  <c r="Z69" i="66"/>
  <c r="AD69" i="66"/>
  <c r="AH69" i="66"/>
  <c r="Z70" i="66"/>
  <c r="AH70" i="66"/>
  <c r="G42" i="66"/>
  <c r="G47" i="66"/>
  <c r="BC49" i="66"/>
  <c r="X50" i="66"/>
  <c r="AB50" i="66"/>
  <c r="AF50" i="66"/>
  <c r="Y54" i="66"/>
  <c r="AC54" i="66"/>
  <c r="AG54" i="66"/>
  <c r="G57" i="66"/>
  <c r="X61" i="66"/>
  <c r="AB61" i="66"/>
  <c r="AF61" i="66"/>
  <c r="Y63" i="66"/>
  <c r="AC63" i="66"/>
  <c r="AG63" i="66"/>
  <c r="X69" i="66"/>
  <c r="X70" i="66"/>
  <c r="AF70" i="66"/>
  <c r="BC41" i="66"/>
  <c r="X42" i="66"/>
  <c r="AB42" i="66"/>
  <c r="AF42" i="66"/>
  <c r="Y44" i="66"/>
  <c r="AC44" i="66"/>
  <c r="AG44" i="66"/>
  <c r="X47" i="66"/>
  <c r="AB47" i="66"/>
  <c r="AF47" i="66"/>
  <c r="Y50" i="66"/>
  <c r="AC50" i="66"/>
  <c r="AG50" i="66"/>
  <c r="X57" i="66"/>
  <c r="AB57" i="66"/>
  <c r="AF57" i="66"/>
  <c r="Y59" i="66"/>
  <c r="AC59" i="66"/>
  <c r="AG59" i="66"/>
  <c r="BC61" i="66"/>
  <c r="X62" i="66"/>
  <c r="AB62" i="66"/>
  <c r="AF62" i="66"/>
  <c r="AX62" i="66"/>
  <c r="AI74" i="66"/>
  <c r="AA74" i="66"/>
  <c r="H74" i="66"/>
  <c r="AI67" i="66"/>
  <c r="G68" i="66"/>
  <c r="AX69" i="66"/>
  <c r="H70" i="66"/>
  <c r="AE70" i="66"/>
  <c r="Y71" i="66"/>
  <c r="AG71" i="66"/>
  <c r="AA71" i="66"/>
  <c r="AH72" i="66"/>
  <c r="BC73" i="66"/>
  <c r="Y77" i="66"/>
  <c r="AC77" i="66"/>
  <c r="AG77" i="66"/>
  <c r="G81" i="66"/>
  <c r="AA82" i="66"/>
  <c r="AE82" i="66"/>
  <c r="AI82" i="66"/>
  <c r="AP85" i="66"/>
  <c r="AE85" i="66"/>
  <c r="H85" i="66"/>
  <c r="AP91" i="66"/>
  <c r="H67" i="66"/>
  <c r="AB70" i="66"/>
  <c r="BC70" i="66"/>
  <c r="AE74" i="66"/>
  <c r="AP82" i="66"/>
  <c r="AG82" i="66"/>
  <c r="AC82" i="66"/>
  <c r="BF95" i="66"/>
  <c r="BF98" i="66" s="1"/>
  <c r="Y70" i="66"/>
  <c r="AC70" i="66"/>
  <c r="AG70" i="66"/>
  <c r="Y73" i="66"/>
  <c r="AC73" i="66"/>
  <c r="AG73" i="66"/>
  <c r="AP73" i="66"/>
  <c r="X80" i="66"/>
  <c r="AB80" i="66"/>
  <c r="AF80" i="66"/>
  <c r="Z81" i="66"/>
  <c r="AD81" i="66"/>
  <c r="G82" i="66"/>
  <c r="Z82" i="66"/>
  <c r="AD82" i="66"/>
  <c r="H84" i="66"/>
  <c r="BC84" i="66"/>
  <c r="Y84" i="66"/>
  <c r="AC84" i="66"/>
  <c r="AG84" i="66"/>
  <c r="AA84" i="66"/>
  <c r="AA85" i="66"/>
  <c r="AI85" i="66"/>
  <c r="X91" i="66"/>
  <c r="AB91" i="66"/>
  <c r="AF91" i="66"/>
  <c r="X72" i="66"/>
  <c r="AB72" i="66"/>
  <c r="AF72" i="66"/>
  <c r="Y74" i="66"/>
  <c r="AC74" i="66"/>
  <c r="AG74" i="66"/>
  <c r="BC80" i="66"/>
  <c r="AF81" i="66"/>
  <c r="Z91" i="66"/>
  <c r="AH91" i="66"/>
  <c r="G92" i="66"/>
  <c r="Y93" i="66"/>
  <c r="T95" i="66"/>
  <c r="T98" i="66" s="1"/>
  <c r="AG93" i="66"/>
  <c r="AC93" i="66"/>
  <c r="BC93" i="66"/>
  <c r="AE80" i="66"/>
  <c r="AI80" i="66"/>
  <c r="AP80" i="66"/>
  <c r="BC81" i="66"/>
  <c r="X82" i="66"/>
  <c r="AB82" i="66"/>
  <c r="AF82" i="66"/>
  <c r="H83" i="66"/>
  <c r="BG83" i="66"/>
  <c r="Y85" i="66"/>
  <c r="AC85" i="66"/>
  <c r="AG85" i="66"/>
  <c r="BC91" i="66"/>
  <c r="X92" i="66"/>
  <c r="AB92" i="66"/>
  <c r="AF92" i="66"/>
  <c r="BG84" i="66"/>
  <c r="M34" i="68"/>
  <c r="O34" i="68" s="1"/>
  <c r="J34" i="68"/>
  <c r="E79" i="68"/>
  <c r="I79" i="68"/>
  <c r="J7" i="68"/>
  <c r="J11" i="68"/>
  <c r="J13" i="68"/>
  <c r="M14" i="68"/>
  <c r="J15" i="68"/>
  <c r="J84" i="68"/>
  <c r="D97" i="68"/>
  <c r="N84" i="68"/>
  <c r="O84" i="68" s="1"/>
  <c r="L101" i="68"/>
  <c r="G101" i="68"/>
  <c r="M6" i="68"/>
  <c r="M10" i="68"/>
  <c r="O10" i="68" s="1"/>
  <c r="K14" i="68"/>
  <c r="J48" i="68"/>
  <c r="M48" i="68"/>
  <c r="O48" i="68" s="1"/>
  <c r="J52" i="68"/>
  <c r="M52" i="68"/>
  <c r="O52" i="68" s="1"/>
  <c r="J56" i="68"/>
  <c r="M56" i="68"/>
  <c r="O56" i="68" s="1"/>
  <c r="J60" i="68"/>
  <c r="M60" i="68"/>
  <c r="O60" i="68" s="1"/>
  <c r="J64" i="68"/>
  <c r="M64" i="68"/>
  <c r="O64" i="68" s="1"/>
  <c r="J68" i="68"/>
  <c r="M68" i="68"/>
  <c r="O68" i="68" s="1"/>
  <c r="J72" i="68"/>
  <c r="M72" i="68"/>
  <c r="O72" i="68" s="1"/>
  <c r="J76" i="68"/>
  <c r="M76" i="68"/>
  <c r="O76" i="68" s="1"/>
  <c r="J99" i="68"/>
  <c r="K99" i="68"/>
  <c r="K9" i="68"/>
  <c r="J16" i="68"/>
  <c r="F79" i="68"/>
  <c r="J6" i="68"/>
  <c r="J17" i="68"/>
  <c r="J44" i="68"/>
  <c r="M44" i="68"/>
  <c r="O44" i="68" s="1"/>
  <c r="C79" i="68"/>
  <c r="G79" i="68"/>
  <c r="K6" i="68"/>
  <c r="K12" i="68"/>
  <c r="O12" i="68" s="1"/>
  <c r="K16" i="68"/>
  <c r="M18" i="68"/>
  <c r="O18" i="68" s="1"/>
  <c r="K20" i="68"/>
  <c r="M22" i="68"/>
  <c r="O22" i="68" s="1"/>
  <c r="K24" i="68"/>
  <c r="M26" i="68"/>
  <c r="O26" i="68" s="1"/>
  <c r="O29" i="68"/>
  <c r="J92" i="68"/>
  <c r="N92" i="68"/>
  <c r="O92" i="68" s="1"/>
  <c r="E97" i="68"/>
  <c r="J81" i="68"/>
  <c r="M99" i="68"/>
  <c r="M101" i="68" s="1"/>
  <c r="J25" i="68"/>
  <c r="J29" i="68"/>
  <c r="M31" i="68"/>
  <c r="O31" i="68" s="1"/>
  <c r="J32" i="68"/>
  <c r="M35" i="68"/>
  <c r="O35" i="68" s="1"/>
  <c r="M39" i="68"/>
  <c r="O39" i="68" s="1"/>
  <c r="O40" i="68"/>
  <c r="K43" i="68"/>
  <c r="K47" i="68"/>
  <c r="K51" i="68"/>
  <c r="K55" i="68"/>
  <c r="K59" i="68"/>
  <c r="K63" i="68"/>
  <c r="K67" i="68"/>
  <c r="K71" i="68"/>
  <c r="K75" i="68"/>
  <c r="J37" i="68"/>
  <c r="O50" i="68"/>
  <c r="O54" i="68"/>
  <c r="O82" i="68"/>
  <c r="O86" i="68"/>
  <c r="O94" i="68"/>
  <c r="N100" i="68"/>
  <c r="N101" i="68" s="1"/>
  <c r="J41" i="68"/>
  <c r="J45" i="68"/>
  <c r="J49" i="68"/>
  <c r="J53" i="68"/>
  <c r="L81" i="68"/>
  <c r="J88" i="68"/>
  <c r="J100" i="68"/>
  <c r="C101" i="68"/>
  <c r="I103" i="68" l="1"/>
  <c r="J101" i="68"/>
  <c r="D103" i="68"/>
  <c r="D116" i="68" s="1"/>
  <c r="O75" i="68"/>
  <c r="O59" i="68"/>
  <c r="O43" i="68"/>
  <c r="H103" i="68"/>
  <c r="O16" i="68"/>
  <c r="O28" i="68"/>
  <c r="O87" i="68"/>
  <c r="O20" i="68"/>
  <c r="O71" i="68"/>
  <c r="O55" i="68"/>
  <c r="O9" i="68"/>
  <c r="N97" i="68"/>
  <c r="N103" i="68" s="1"/>
  <c r="N116" i="68" s="1"/>
  <c r="F103" i="68"/>
  <c r="F106" i="68" s="1"/>
  <c r="O67" i="68"/>
  <c r="O47" i="68"/>
  <c r="G103" i="68"/>
  <c r="G116" i="68" s="1"/>
  <c r="O33" i="68"/>
  <c r="O83" i="68"/>
  <c r="O51" i="68"/>
  <c r="BK95" i="66"/>
  <c r="O63" i="68"/>
  <c r="C103" i="68"/>
  <c r="C104" i="68" s="1"/>
  <c r="E103" i="68"/>
  <c r="E116" i="68" s="1"/>
  <c r="O24" i="68"/>
  <c r="AS95" i="66"/>
  <c r="AS98" i="66" s="1"/>
  <c r="AY88" i="66"/>
  <c r="AY95" i="66" s="1"/>
  <c r="AT95" i="66"/>
  <c r="AT98" i="66" s="1"/>
  <c r="BL88" i="66"/>
  <c r="BL95" i="66" s="1"/>
  <c r="AA88" i="66"/>
  <c r="AA95" i="66" s="1"/>
  <c r="BG88" i="66"/>
  <c r="BG95" i="66" s="1"/>
  <c r="AB88" i="66"/>
  <c r="AB95" i="66" s="1"/>
  <c r="H88" i="66"/>
  <c r="H95" i="66" s="1"/>
  <c r="BC88" i="66"/>
  <c r="AI88" i="66"/>
  <c r="AI95" i="66" s="1"/>
  <c r="AF88" i="66"/>
  <c r="AF95" i="66" s="1"/>
  <c r="AE88" i="66"/>
  <c r="AE95" i="66" s="1"/>
  <c r="BC95" i="66"/>
  <c r="AG88" i="66"/>
  <c r="AG95" i="66" s="1"/>
  <c r="AD88" i="66"/>
  <c r="AD95" i="66" s="1"/>
  <c r="AC88" i="66"/>
  <c r="AC95" i="66" s="1"/>
  <c r="AO88" i="66"/>
  <c r="AO95" i="66" s="1"/>
  <c r="AU88" i="66"/>
  <c r="AX3" i="66"/>
  <c r="AX88" i="66" s="1"/>
  <c r="AX95" i="66" s="1"/>
  <c r="G88" i="66"/>
  <c r="G95" i="66" s="1"/>
  <c r="AH88" i="66"/>
  <c r="AH95" i="66" s="1"/>
  <c r="X88" i="66"/>
  <c r="X95" i="66" s="1"/>
  <c r="Z88" i="66"/>
  <c r="Z95" i="66" s="1"/>
  <c r="Y88" i="66"/>
  <c r="Y95" i="66" s="1"/>
  <c r="AP88" i="66"/>
  <c r="AP95" i="66" s="1"/>
  <c r="G104" i="68"/>
  <c r="F104" i="68"/>
  <c r="F116" i="68"/>
  <c r="I116" i="68"/>
  <c r="I104" i="68"/>
  <c r="I106" i="68"/>
  <c r="D106" i="68"/>
  <c r="O14" i="68"/>
  <c r="O100" i="68"/>
  <c r="J79" i="68"/>
  <c r="K101" i="68"/>
  <c r="O99" i="68"/>
  <c r="L97" i="68"/>
  <c r="L103" i="68" s="1"/>
  <c r="L116" i="68" s="1"/>
  <c r="O81" i="68"/>
  <c r="J97" i="68"/>
  <c r="K79" i="68"/>
  <c r="O6" i="68"/>
  <c r="M79" i="68"/>
  <c r="M103" i="68" s="1"/>
  <c r="AI224" i="64"/>
  <c r="AH224" i="64"/>
  <c r="AF224" i="64"/>
  <c r="AE224" i="64"/>
  <c r="AD224" i="64"/>
  <c r="AC224" i="64"/>
  <c r="AB224" i="64"/>
  <c r="AA224" i="64"/>
  <c r="K212" i="64"/>
  <c r="Z203" i="64"/>
  <c r="Y203" i="64"/>
  <c r="X203" i="64"/>
  <c r="W203" i="64"/>
  <c r="V203" i="64"/>
  <c r="U203" i="64"/>
  <c r="T203" i="64"/>
  <c r="S203" i="64"/>
  <c r="O197" i="64"/>
  <c r="Z183" i="64"/>
  <c r="Y183" i="64"/>
  <c r="X183" i="64"/>
  <c r="W183" i="64"/>
  <c r="V183" i="64"/>
  <c r="U183" i="64"/>
  <c r="T183" i="64"/>
  <c r="S183" i="64"/>
  <c r="R183" i="64"/>
  <c r="Q183" i="64"/>
  <c r="P183" i="64"/>
  <c r="O183" i="64"/>
  <c r="N183" i="64"/>
  <c r="M183" i="64"/>
  <c r="L183" i="64"/>
  <c r="K183" i="64"/>
  <c r="J183" i="64"/>
  <c r="I183" i="64"/>
  <c r="H183" i="64"/>
  <c r="G183" i="64"/>
  <c r="F183" i="64"/>
  <c r="E183" i="64"/>
  <c r="D183" i="64"/>
  <c r="C183" i="64"/>
  <c r="Z163" i="64"/>
  <c r="Z166" i="64" s="1"/>
  <c r="X150" i="64"/>
  <c r="U150" i="64"/>
  <c r="X152" i="64" s="1"/>
  <c r="T150" i="64"/>
  <c r="K150" i="64"/>
  <c r="P149" i="64"/>
  <c r="R149" i="64" s="1"/>
  <c r="Z149" i="64" s="1"/>
  <c r="M149" i="64"/>
  <c r="P148" i="64"/>
  <c r="R148" i="64" s="1"/>
  <c r="Z148" i="64" s="1"/>
  <c r="M148" i="64"/>
  <c r="P147" i="64"/>
  <c r="R147" i="64" s="1"/>
  <c r="Z147" i="64" s="1"/>
  <c r="M147" i="64"/>
  <c r="M146" i="64"/>
  <c r="P146" i="64" s="1"/>
  <c r="R146" i="64" s="1"/>
  <c r="Z146" i="64" s="1"/>
  <c r="P145" i="64"/>
  <c r="R145" i="64" s="1"/>
  <c r="Z145" i="64" s="1"/>
  <c r="M145" i="64"/>
  <c r="M144" i="64"/>
  <c r="M143" i="64"/>
  <c r="N142" i="64"/>
  <c r="M142" i="64"/>
  <c r="P142" i="64" s="1"/>
  <c r="R142" i="64" s="1"/>
  <c r="Q122" i="64"/>
  <c r="P122" i="64"/>
  <c r="N122" i="64"/>
  <c r="M122" i="64"/>
  <c r="L122" i="64"/>
  <c r="K122" i="64"/>
  <c r="J122" i="64"/>
  <c r="I122" i="64"/>
  <c r="H122" i="64"/>
  <c r="G122" i="64"/>
  <c r="F122" i="64"/>
  <c r="E122" i="64"/>
  <c r="D122" i="64"/>
  <c r="C122" i="64"/>
  <c r="J123" i="64"/>
  <c r="G123" i="64"/>
  <c r="P109" i="64"/>
  <c r="P108" i="64"/>
  <c r="P107" i="64"/>
  <c r="P106" i="64"/>
  <c r="P105" i="64"/>
  <c r="O105" i="64"/>
  <c r="N105" i="64"/>
  <c r="M105" i="64"/>
  <c r="L105" i="64"/>
  <c r="K105" i="64"/>
  <c r="J105" i="64"/>
  <c r="I105" i="64"/>
  <c r="H105" i="64"/>
  <c r="G105" i="64"/>
  <c r="F105" i="64"/>
  <c r="E105" i="64"/>
  <c r="D105" i="64"/>
  <c r="C105" i="64"/>
  <c r="AG97" i="64"/>
  <c r="Y97" i="64"/>
  <c r="Y189" i="64" s="1"/>
  <c r="Y194" i="64" s="1"/>
  <c r="X97" i="64"/>
  <c r="X189" i="64" s="1"/>
  <c r="X194" i="64" s="1"/>
  <c r="W97" i="64"/>
  <c r="W189" i="64" s="1"/>
  <c r="W194" i="64" s="1"/>
  <c r="V97" i="64"/>
  <c r="V189" i="64" s="1"/>
  <c r="V194" i="64" s="1"/>
  <c r="U97" i="64"/>
  <c r="U189" i="64" s="1"/>
  <c r="U194" i="64" s="1"/>
  <c r="T97" i="64"/>
  <c r="T189" i="64" s="1"/>
  <c r="T194" i="64" s="1"/>
  <c r="AN95" i="64"/>
  <c r="S97" i="64"/>
  <c r="S189" i="64" s="1"/>
  <c r="S194" i="64" s="1"/>
  <c r="O97" i="64"/>
  <c r="O189" i="64" s="1"/>
  <c r="O194" i="64" s="1"/>
  <c r="N97" i="64"/>
  <c r="N189" i="64" s="1"/>
  <c r="N194" i="64" s="1"/>
  <c r="L97" i="64"/>
  <c r="L189" i="64" s="1"/>
  <c r="L194" i="64" s="1"/>
  <c r="K97" i="64"/>
  <c r="K189" i="64" s="1"/>
  <c r="K194" i="64" s="1"/>
  <c r="J97" i="64"/>
  <c r="J189" i="64" s="1"/>
  <c r="J194" i="64" s="1"/>
  <c r="I97" i="64"/>
  <c r="I189" i="64" s="1"/>
  <c r="I194" i="64" s="1"/>
  <c r="H97" i="64"/>
  <c r="H189" i="64" s="1"/>
  <c r="H194" i="64" s="1"/>
  <c r="G97" i="64"/>
  <c r="G189" i="64" s="1"/>
  <c r="G194" i="64" s="1"/>
  <c r="F97" i="64"/>
  <c r="F189" i="64" s="1"/>
  <c r="F194" i="64" s="1"/>
  <c r="E97" i="64"/>
  <c r="E189" i="64" s="1"/>
  <c r="E194" i="64" s="1"/>
  <c r="D97" i="64"/>
  <c r="D189" i="64" s="1"/>
  <c r="D194" i="64" s="1"/>
  <c r="C97" i="64"/>
  <c r="C189" i="64" s="1"/>
  <c r="C194" i="64" s="1"/>
  <c r="Y93" i="64"/>
  <c r="X93" i="64"/>
  <c r="W93" i="64"/>
  <c r="W188" i="64" s="1"/>
  <c r="W193" i="64" s="1"/>
  <c r="V93" i="64"/>
  <c r="V188" i="64" s="1"/>
  <c r="V193" i="64" s="1"/>
  <c r="U93" i="64"/>
  <c r="U188" i="64" s="1"/>
  <c r="U193" i="64" s="1"/>
  <c r="T93" i="64"/>
  <c r="S93" i="64"/>
  <c r="AN91" i="64"/>
  <c r="L110" i="64"/>
  <c r="K110" i="64"/>
  <c r="J110" i="64"/>
  <c r="I110" i="64"/>
  <c r="H110" i="64"/>
  <c r="G110" i="64"/>
  <c r="F110" i="64"/>
  <c r="E110" i="64"/>
  <c r="D110" i="64"/>
  <c r="P90" i="64"/>
  <c r="M90" i="64"/>
  <c r="AN89" i="64"/>
  <c r="AG89" i="64"/>
  <c r="AN88" i="64"/>
  <c r="AN87" i="64"/>
  <c r="AN86" i="64"/>
  <c r="AN85" i="64"/>
  <c r="AN84" i="64"/>
  <c r="AN83" i="64"/>
  <c r="AN82" i="64"/>
  <c r="AN81" i="64"/>
  <c r="AN80" i="64"/>
  <c r="AN79" i="64"/>
  <c r="AN78" i="64"/>
  <c r="AN77" i="64"/>
  <c r="Y75" i="64"/>
  <c r="Y187" i="64" s="1"/>
  <c r="Y192" i="64" s="1"/>
  <c r="X75" i="64"/>
  <c r="X187" i="64" s="1"/>
  <c r="X192" i="64" s="1"/>
  <c r="W75" i="64"/>
  <c r="W187" i="64" s="1"/>
  <c r="W192" i="64" s="1"/>
  <c r="V75" i="64"/>
  <c r="U75" i="64"/>
  <c r="U187" i="64" s="1"/>
  <c r="U192" i="64" s="1"/>
  <c r="T75" i="64"/>
  <c r="T187" i="64" s="1"/>
  <c r="T192" i="64" s="1"/>
  <c r="L111" i="64"/>
  <c r="K111" i="64"/>
  <c r="J111" i="64"/>
  <c r="I111" i="64"/>
  <c r="H111" i="64"/>
  <c r="G111" i="64"/>
  <c r="F111" i="64"/>
  <c r="E111" i="64"/>
  <c r="D111" i="64"/>
  <c r="C111" i="64"/>
  <c r="J202" i="64"/>
  <c r="J203" i="64" s="1"/>
  <c r="AG2" i="64"/>
  <c r="AG75" i="64" s="1"/>
  <c r="Y118" i="65"/>
  <c r="M118" i="65"/>
  <c r="Y114" i="65"/>
  <c r="Y119" i="65" s="1"/>
  <c r="X114" i="65"/>
  <c r="X119" i="65" s="1"/>
  <c r="W114" i="65"/>
  <c r="W119" i="65" s="1"/>
  <c r="V114" i="65"/>
  <c r="V119" i="65" s="1"/>
  <c r="U114" i="65"/>
  <c r="U119" i="65" s="1"/>
  <c r="T114" i="65"/>
  <c r="T119" i="65" s="1"/>
  <c r="S114" i="65"/>
  <c r="S119" i="65" s="1"/>
  <c r="R114" i="65"/>
  <c r="R119" i="65" s="1"/>
  <c r="Q114" i="65"/>
  <c r="Q119" i="65" s="1"/>
  <c r="P114" i="65"/>
  <c r="P119" i="65" s="1"/>
  <c r="O114" i="65"/>
  <c r="O119" i="65" s="1"/>
  <c r="N114" i="65"/>
  <c r="N119" i="65" s="1"/>
  <c r="M114" i="65"/>
  <c r="M119" i="65" s="1"/>
  <c r="L114" i="65"/>
  <c r="L119" i="65" s="1"/>
  <c r="K114" i="65"/>
  <c r="K119" i="65" s="1"/>
  <c r="J114" i="65"/>
  <c r="J119" i="65" s="1"/>
  <c r="I114" i="65"/>
  <c r="I119" i="65" s="1"/>
  <c r="H114" i="65"/>
  <c r="H119" i="65" s="1"/>
  <c r="G114" i="65"/>
  <c r="G119" i="65" s="1"/>
  <c r="F114" i="65"/>
  <c r="F119" i="65" s="1"/>
  <c r="AG113" i="65"/>
  <c r="AG118" i="65" s="1"/>
  <c r="AC113" i="65"/>
  <c r="AC118" i="65" s="1"/>
  <c r="Y113" i="65"/>
  <c r="X113" i="65"/>
  <c r="X118" i="65" s="1"/>
  <c r="W113" i="65"/>
  <c r="W118" i="65" s="1"/>
  <c r="V113" i="65"/>
  <c r="V118" i="65" s="1"/>
  <c r="U113" i="65"/>
  <c r="U118" i="65" s="1"/>
  <c r="T113" i="65"/>
  <c r="T118" i="65" s="1"/>
  <c r="S113" i="65"/>
  <c r="S118" i="65" s="1"/>
  <c r="R113" i="65"/>
  <c r="R118" i="65" s="1"/>
  <c r="Q113" i="65"/>
  <c r="Q118" i="65" s="1"/>
  <c r="P113" i="65"/>
  <c r="P118" i="65" s="1"/>
  <c r="O113" i="65"/>
  <c r="O118" i="65" s="1"/>
  <c r="N113" i="65"/>
  <c r="N118" i="65" s="1"/>
  <c r="M113" i="65"/>
  <c r="L113" i="65"/>
  <c r="L118" i="65" s="1"/>
  <c r="K113" i="65"/>
  <c r="K118" i="65" s="1"/>
  <c r="J113" i="65"/>
  <c r="J118" i="65" s="1"/>
  <c r="I113" i="65"/>
  <c r="I118" i="65" s="1"/>
  <c r="H113" i="65"/>
  <c r="H118" i="65" s="1"/>
  <c r="G113" i="65"/>
  <c r="G118" i="65" s="1"/>
  <c r="F113" i="65"/>
  <c r="F118" i="65" s="1"/>
  <c r="Y112" i="65"/>
  <c r="X112" i="65"/>
  <c r="W112" i="65"/>
  <c r="V112" i="65"/>
  <c r="U112" i="65"/>
  <c r="T112" i="65"/>
  <c r="S112" i="65"/>
  <c r="R112" i="65"/>
  <c r="Q112" i="65"/>
  <c r="P112" i="65"/>
  <c r="O112" i="65"/>
  <c r="N112" i="65"/>
  <c r="M112" i="65"/>
  <c r="L112" i="65"/>
  <c r="K112" i="65"/>
  <c r="J112" i="65"/>
  <c r="I112" i="65"/>
  <c r="H112" i="65"/>
  <c r="G112" i="65"/>
  <c r="F112" i="65"/>
  <c r="Y111" i="65"/>
  <c r="X111" i="65"/>
  <c r="W111" i="65"/>
  <c r="V111" i="65"/>
  <c r="U111" i="65"/>
  <c r="T111" i="65"/>
  <c r="S111" i="65"/>
  <c r="R111" i="65"/>
  <c r="Q111" i="65"/>
  <c r="P111" i="65"/>
  <c r="O111" i="65"/>
  <c r="N111" i="65"/>
  <c r="M111" i="65"/>
  <c r="L111" i="65"/>
  <c r="K111" i="65"/>
  <c r="J111" i="65"/>
  <c r="I111" i="65"/>
  <c r="H111" i="65"/>
  <c r="G111" i="65"/>
  <c r="F111" i="65"/>
  <c r="AK110" i="65"/>
  <c r="AG110" i="65"/>
  <c r="AA110" i="65"/>
  <c r="Y110" i="65"/>
  <c r="X110" i="65"/>
  <c r="W110" i="65"/>
  <c r="V110" i="65"/>
  <c r="U110" i="65"/>
  <c r="T110" i="65"/>
  <c r="S110" i="65"/>
  <c r="R110" i="65"/>
  <c r="Q110" i="65"/>
  <c r="P110" i="65"/>
  <c r="O110" i="65"/>
  <c r="N110" i="65"/>
  <c r="M110" i="65"/>
  <c r="L110" i="65"/>
  <c r="K110" i="65"/>
  <c r="J110" i="65"/>
  <c r="I110" i="65"/>
  <c r="H110" i="65"/>
  <c r="G110" i="65"/>
  <c r="F110" i="65"/>
  <c r="AC109" i="65"/>
  <c r="AC117" i="65" s="1"/>
  <c r="Y109" i="65"/>
  <c r="X109" i="65"/>
  <c r="X117" i="65" s="1"/>
  <c r="W109" i="65"/>
  <c r="W117" i="65" s="1"/>
  <c r="V109" i="65"/>
  <c r="V117" i="65" s="1"/>
  <c r="U109" i="65"/>
  <c r="U117" i="65" s="1"/>
  <c r="T109" i="65"/>
  <c r="S109" i="65"/>
  <c r="S117" i="65" s="1"/>
  <c r="R109" i="65"/>
  <c r="R117" i="65" s="1"/>
  <c r="Q109" i="65"/>
  <c r="Q117" i="65" s="1"/>
  <c r="P109" i="65"/>
  <c r="O109" i="65"/>
  <c r="O117" i="65" s="1"/>
  <c r="N109" i="65"/>
  <c r="N117" i="65" s="1"/>
  <c r="M109" i="65"/>
  <c r="M117" i="65" s="1"/>
  <c r="L109" i="65"/>
  <c r="L117" i="65" s="1"/>
  <c r="K109" i="65"/>
  <c r="K117" i="65" s="1"/>
  <c r="J109" i="65"/>
  <c r="J117" i="65" s="1"/>
  <c r="I109" i="65"/>
  <c r="H109" i="65"/>
  <c r="H117" i="65" s="1"/>
  <c r="G109" i="65"/>
  <c r="G117" i="65" s="1"/>
  <c r="F109" i="65"/>
  <c r="F117" i="65" s="1"/>
  <c r="AE108" i="65"/>
  <c r="AD108" i="65"/>
  <c r="AC108" i="65"/>
  <c r="AB108" i="65"/>
  <c r="AA108" i="65"/>
  <c r="Z108" i="65"/>
  <c r="Y108" i="65"/>
  <c r="X108" i="65"/>
  <c r="W108" i="65"/>
  <c r="U108" i="65"/>
  <c r="T108" i="65"/>
  <c r="R108" i="65"/>
  <c r="Q108" i="65"/>
  <c r="P108" i="65"/>
  <c r="N108" i="65"/>
  <c r="M108" i="65"/>
  <c r="L108" i="65"/>
  <c r="K108" i="65"/>
  <c r="J108" i="65"/>
  <c r="I108" i="65"/>
  <c r="H108" i="65"/>
  <c r="G108" i="65"/>
  <c r="F108" i="65"/>
  <c r="Y105" i="65"/>
  <c r="X105" i="65"/>
  <c r="W105" i="65"/>
  <c r="V105" i="65"/>
  <c r="U105" i="65"/>
  <c r="T105" i="65"/>
  <c r="S105" i="65"/>
  <c r="R105" i="65"/>
  <c r="Q105" i="65"/>
  <c r="P105" i="65"/>
  <c r="O105" i="65"/>
  <c r="N105" i="65"/>
  <c r="M105" i="65"/>
  <c r="L105" i="65"/>
  <c r="K105" i="65"/>
  <c r="J105" i="65"/>
  <c r="I105" i="65"/>
  <c r="H105" i="65"/>
  <c r="G105" i="65"/>
  <c r="F105" i="65"/>
  <c r="AL104" i="65"/>
  <c r="AK104" i="65"/>
  <c r="AJ104" i="65"/>
  <c r="AI104" i="65"/>
  <c r="AH104" i="65"/>
  <c r="AG104" i="65"/>
  <c r="AE104" i="65"/>
  <c r="AD104" i="65"/>
  <c r="AC104" i="65"/>
  <c r="AB104" i="65"/>
  <c r="AA104" i="65"/>
  <c r="Z104" i="65"/>
  <c r="AL103" i="65"/>
  <c r="AK103" i="65"/>
  <c r="AJ103" i="65"/>
  <c r="AI103" i="65"/>
  <c r="AH103" i="65"/>
  <c r="AM103" i="65" s="1"/>
  <c r="AN103" i="65" s="1"/>
  <c r="AG103" i="65"/>
  <c r="AD103" i="65"/>
  <c r="AC103" i="65"/>
  <c r="AE103" i="65" s="1"/>
  <c r="AB103" i="65"/>
  <c r="AA103" i="65"/>
  <c r="Z103" i="65"/>
  <c r="AL102" i="65"/>
  <c r="AK102" i="65"/>
  <c r="AJ102" i="65"/>
  <c r="AI102" i="65"/>
  <c r="AH102" i="65"/>
  <c r="AG102" i="65"/>
  <c r="AE102" i="65"/>
  <c r="AD102" i="65"/>
  <c r="AC102" i="65"/>
  <c r="AB102" i="65"/>
  <c r="AA102" i="65"/>
  <c r="Z102" i="65"/>
  <c r="AL101" i="65"/>
  <c r="AK101" i="65"/>
  <c r="AJ101" i="65"/>
  <c r="AI101" i="65"/>
  <c r="AH101" i="65"/>
  <c r="AM101" i="65" s="1"/>
  <c r="AN101" i="65" s="1"/>
  <c r="AG101" i="65"/>
  <c r="AD101" i="65"/>
  <c r="AC101" i="65"/>
  <c r="AB101" i="65"/>
  <c r="AA101" i="65"/>
  <c r="Z101" i="65"/>
  <c r="AL100" i="65"/>
  <c r="AK100" i="65"/>
  <c r="AJ100" i="65"/>
  <c r="AI100" i="65"/>
  <c r="AH100" i="65"/>
  <c r="AG100" i="65"/>
  <c r="AE100" i="65"/>
  <c r="AD100" i="65"/>
  <c r="AC100" i="65"/>
  <c r="AB100" i="65"/>
  <c r="AA100" i="65"/>
  <c r="Z100" i="65"/>
  <c r="AL99" i="65"/>
  <c r="AK99" i="65"/>
  <c r="AJ99" i="65"/>
  <c r="AI99" i="65"/>
  <c r="AH99" i="65"/>
  <c r="AM99" i="65" s="1"/>
  <c r="AN99" i="65" s="1"/>
  <c r="AG99" i="65"/>
  <c r="AD99" i="65"/>
  <c r="AC99" i="65"/>
  <c r="AE99" i="65" s="1"/>
  <c r="AB99" i="65"/>
  <c r="AA99" i="65"/>
  <c r="Z99" i="65"/>
  <c r="AL98" i="65"/>
  <c r="AK98" i="65"/>
  <c r="AJ98" i="65"/>
  <c r="AI98" i="65"/>
  <c r="AH98" i="65"/>
  <c r="AG98" i="65"/>
  <c r="AD98" i="65"/>
  <c r="AC98" i="65"/>
  <c r="AE98" i="65" s="1"/>
  <c r="AB98" i="65"/>
  <c r="AA98" i="65"/>
  <c r="Z98" i="65"/>
  <c r="AL97" i="65"/>
  <c r="AK97" i="65"/>
  <c r="AJ97" i="65"/>
  <c r="AI97" i="65"/>
  <c r="AM97" i="65" s="1"/>
  <c r="AN97" i="65" s="1"/>
  <c r="AH97" i="65"/>
  <c r="AG97" i="65"/>
  <c r="AD97" i="65"/>
  <c r="AE97" i="65" s="1"/>
  <c r="AC97" i="65"/>
  <c r="AB97" i="65"/>
  <c r="AA97" i="65"/>
  <c r="Z97" i="65"/>
  <c r="AL96" i="65"/>
  <c r="AK96" i="65"/>
  <c r="AJ96" i="65"/>
  <c r="AI96" i="65"/>
  <c r="AH96" i="65"/>
  <c r="AG96" i="65"/>
  <c r="AE96" i="65"/>
  <c r="AD96" i="65"/>
  <c r="AC96" i="65"/>
  <c r="AB96" i="65"/>
  <c r="AA96" i="65"/>
  <c r="Z96" i="65"/>
  <c r="AL95" i="65"/>
  <c r="AK95" i="65"/>
  <c r="AJ95" i="65"/>
  <c r="AI95" i="65"/>
  <c r="AH95" i="65"/>
  <c r="AM95" i="65" s="1"/>
  <c r="AN95" i="65" s="1"/>
  <c r="AG95" i="65"/>
  <c r="AD95" i="65"/>
  <c r="AC95" i="65"/>
  <c r="AE95" i="65" s="1"/>
  <c r="AB95" i="65"/>
  <c r="AA95" i="65"/>
  <c r="Z95" i="65"/>
  <c r="AL94" i="65"/>
  <c r="AK94" i="65"/>
  <c r="AJ94" i="65"/>
  <c r="AI94" i="65"/>
  <c r="AH94" i="65"/>
  <c r="AG94" i="65"/>
  <c r="AE94" i="65"/>
  <c r="AD94" i="65"/>
  <c r="AC94" i="65"/>
  <c r="AB94" i="65"/>
  <c r="AA94" i="65"/>
  <c r="Z94" i="65"/>
  <c r="AL93" i="65"/>
  <c r="AK93" i="65"/>
  <c r="AJ93" i="65"/>
  <c r="AI93" i="65"/>
  <c r="AM93" i="65" s="1"/>
  <c r="AN93" i="65" s="1"/>
  <c r="AH93" i="65"/>
  <c r="AG93" i="65"/>
  <c r="AD93" i="65"/>
  <c r="AC93" i="65"/>
  <c r="AE93" i="65" s="1"/>
  <c r="AB93" i="65"/>
  <c r="AA93" i="65"/>
  <c r="Z93" i="65"/>
  <c r="AL92" i="65"/>
  <c r="AK92" i="65"/>
  <c r="AJ92" i="65"/>
  <c r="AI92" i="65"/>
  <c r="AH92" i="65"/>
  <c r="AG92" i="65"/>
  <c r="AE92" i="65"/>
  <c r="AD92" i="65"/>
  <c r="AC92" i="65"/>
  <c r="AB92" i="65"/>
  <c r="AA92" i="65"/>
  <c r="Z92" i="65"/>
  <c r="AL91" i="65"/>
  <c r="AK91" i="65"/>
  <c r="AJ91" i="65"/>
  <c r="AI91" i="65"/>
  <c r="AH91" i="65"/>
  <c r="AG91" i="65"/>
  <c r="AE91" i="65"/>
  <c r="AD91" i="65"/>
  <c r="AC91" i="65"/>
  <c r="AB91" i="65"/>
  <c r="AA91" i="65"/>
  <c r="Z91" i="65"/>
  <c r="AL90" i="65"/>
  <c r="AK90" i="65"/>
  <c r="AJ90" i="65"/>
  <c r="AI90" i="65"/>
  <c r="AH90" i="65"/>
  <c r="AG90" i="65"/>
  <c r="AM90" i="65" s="1"/>
  <c r="AN90" i="65" s="1"/>
  <c r="AD90" i="65"/>
  <c r="AC90" i="65"/>
  <c r="AE90" i="65" s="1"/>
  <c r="AB90" i="65"/>
  <c r="AA90" i="65"/>
  <c r="Z90" i="65"/>
  <c r="AL89" i="65"/>
  <c r="AK89" i="65"/>
  <c r="AJ89" i="65"/>
  <c r="AI89" i="65"/>
  <c r="AM89" i="65" s="1"/>
  <c r="AN89" i="65" s="1"/>
  <c r="AH89" i="65"/>
  <c r="AG89" i="65"/>
  <c r="AD89" i="65"/>
  <c r="AE89" i="65" s="1"/>
  <c r="AC89" i="65"/>
  <c r="AB89" i="65"/>
  <c r="AA89" i="65"/>
  <c r="Z89" i="65"/>
  <c r="AL88" i="65"/>
  <c r="AK88" i="65"/>
  <c r="AJ88" i="65"/>
  <c r="AI88" i="65"/>
  <c r="AH88" i="65"/>
  <c r="AG88" i="65"/>
  <c r="AD88" i="65"/>
  <c r="AC88" i="65"/>
  <c r="AE88" i="65" s="1"/>
  <c r="AB88" i="65"/>
  <c r="AA88" i="65"/>
  <c r="Z88" i="65"/>
  <c r="AL87" i="65"/>
  <c r="AK87" i="65"/>
  <c r="AJ87" i="65"/>
  <c r="AI87" i="65"/>
  <c r="AH87" i="65"/>
  <c r="AM87" i="65" s="1"/>
  <c r="AN87" i="65" s="1"/>
  <c r="AG87" i="65"/>
  <c r="AE87" i="65"/>
  <c r="AD87" i="65"/>
  <c r="AC87" i="65"/>
  <c r="AB87" i="65"/>
  <c r="AA87" i="65"/>
  <c r="Z87" i="65"/>
  <c r="AL86" i="65"/>
  <c r="AK86" i="65"/>
  <c r="AJ86" i="65"/>
  <c r="AI86" i="65"/>
  <c r="AH86" i="65"/>
  <c r="AG86" i="65"/>
  <c r="AM86" i="65" s="1"/>
  <c r="AN86" i="65" s="1"/>
  <c r="AE86" i="65"/>
  <c r="AD86" i="65"/>
  <c r="AC86" i="65"/>
  <c r="AB86" i="65"/>
  <c r="AA86" i="65"/>
  <c r="Z86" i="65"/>
  <c r="AL85" i="65"/>
  <c r="AK85" i="65"/>
  <c r="AJ85" i="65"/>
  <c r="AI85" i="65"/>
  <c r="AH85" i="65"/>
  <c r="AM85" i="65" s="1"/>
  <c r="AN85" i="65" s="1"/>
  <c r="AG85" i="65"/>
  <c r="AD85" i="65"/>
  <c r="AC85" i="65"/>
  <c r="AE85" i="65" s="1"/>
  <c r="AB85" i="65"/>
  <c r="AA85" i="65"/>
  <c r="Z85" i="65"/>
  <c r="AL84" i="65"/>
  <c r="AK84" i="65"/>
  <c r="AJ84" i="65"/>
  <c r="AI84" i="65"/>
  <c r="AH84" i="65"/>
  <c r="AG84" i="65"/>
  <c r="AD84" i="65"/>
  <c r="AC84" i="65"/>
  <c r="AE84" i="65" s="1"/>
  <c r="AB84" i="65"/>
  <c r="AA84" i="65"/>
  <c r="Z84" i="65"/>
  <c r="AL83" i="65"/>
  <c r="AK83" i="65"/>
  <c r="AJ83" i="65"/>
  <c r="AI83" i="65"/>
  <c r="AH83" i="65"/>
  <c r="AG83" i="65"/>
  <c r="AE83" i="65"/>
  <c r="AD83" i="65"/>
  <c r="AC83" i="65"/>
  <c r="AB83" i="65"/>
  <c r="AA83" i="65"/>
  <c r="Z83" i="65"/>
  <c r="AL82" i="65"/>
  <c r="AK82" i="65"/>
  <c r="AJ82" i="65"/>
  <c r="AI82" i="65"/>
  <c r="AH82" i="65"/>
  <c r="AG82" i="65"/>
  <c r="AM82" i="65" s="1"/>
  <c r="AN82" i="65" s="1"/>
  <c r="AD82" i="65"/>
  <c r="AC82" i="65"/>
  <c r="AE82" i="65" s="1"/>
  <c r="AB82" i="65"/>
  <c r="AA82" i="65"/>
  <c r="Z82" i="65"/>
  <c r="AL81" i="65"/>
  <c r="AK81" i="65"/>
  <c r="AJ81" i="65"/>
  <c r="AI81" i="65"/>
  <c r="AM81" i="65" s="1"/>
  <c r="AN81" i="65" s="1"/>
  <c r="AH81" i="65"/>
  <c r="AG81" i="65"/>
  <c r="AD81" i="65"/>
  <c r="AE81" i="65" s="1"/>
  <c r="AC81" i="65"/>
  <c r="AB81" i="65"/>
  <c r="AA81" i="65"/>
  <c r="Z81" i="65"/>
  <c r="AL80" i="65"/>
  <c r="AK80" i="65"/>
  <c r="AJ80" i="65"/>
  <c r="AI80" i="65"/>
  <c r="AH80" i="65"/>
  <c r="AG80" i="65"/>
  <c r="AM80" i="65" s="1"/>
  <c r="AN80" i="65" s="1"/>
  <c r="AD80" i="65"/>
  <c r="AC80" i="65"/>
  <c r="AE80" i="65" s="1"/>
  <c r="AB80" i="65"/>
  <c r="AA80" i="65"/>
  <c r="Z80" i="65"/>
  <c r="AL79" i="65"/>
  <c r="AK79" i="65"/>
  <c r="AJ79" i="65"/>
  <c r="AI79" i="65"/>
  <c r="AM79" i="65" s="1"/>
  <c r="AN79" i="65" s="1"/>
  <c r="AH79" i="65"/>
  <c r="AG79" i="65"/>
  <c r="AD79" i="65"/>
  <c r="AE79" i="65" s="1"/>
  <c r="AC79" i="65"/>
  <c r="AB79" i="65"/>
  <c r="AA79" i="65"/>
  <c r="Z79" i="65"/>
  <c r="AL78" i="65"/>
  <c r="AK78" i="65"/>
  <c r="AJ78" i="65"/>
  <c r="AI78" i="65"/>
  <c r="AH78" i="65"/>
  <c r="AG78" i="65"/>
  <c r="AE78" i="65"/>
  <c r="AD78" i="65"/>
  <c r="AC78" i="65"/>
  <c r="AB78" i="65"/>
  <c r="AA78" i="65"/>
  <c r="Z78" i="65"/>
  <c r="AL77" i="65"/>
  <c r="AK77" i="65"/>
  <c r="AJ77" i="65"/>
  <c r="AI77" i="65"/>
  <c r="AH77" i="65"/>
  <c r="AM77" i="65" s="1"/>
  <c r="AN77" i="65" s="1"/>
  <c r="AG77" i="65"/>
  <c r="AD77" i="65"/>
  <c r="AC77" i="65"/>
  <c r="AE77" i="65" s="1"/>
  <c r="AB77" i="65"/>
  <c r="AA77" i="65"/>
  <c r="Z77" i="65"/>
  <c r="AL76" i="65"/>
  <c r="AK76" i="65"/>
  <c r="AJ76" i="65"/>
  <c r="AI76" i="65"/>
  <c r="AH76" i="65"/>
  <c r="AG76" i="65"/>
  <c r="AD76" i="65"/>
  <c r="AC76" i="65"/>
  <c r="AE76" i="65" s="1"/>
  <c r="AB76" i="65"/>
  <c r="AA76" i="65"/>
  <c r="Z76" i="65"/>
  <c r="AL75" i="65"/>
  <c r="AK75" i="65"/>
  <c r="AJ75" i="65"/>
  <c r="AI75" i="65"/>
  <c r="AH75" i="65"/>
  <c r="AM75" i="65" s="1"/>
  <c r="AN75" i="65" s="1"/>
  <c r="AG75" i="65"/>
  <c r="AD75" i="65"/>
  <c r="AC75" i="65"/>
  <c r="AE75" i="65" s="1"/>
  <c r="AB75" i="65"/>
  <c r="AA75" i="65"/>
  <c r="Z75" i="65"/>
  <c r="AN74" i="65"/>
  <c r="AL74" i="65"/>
  <c r="AK74" i="65"/>
  <c r="AJ74" i="65"/>
  <c r="AI74" i="65"/>
  <c r="AH74" i="65"/>
  <c r="AG74" i="65"/>
  <c r="AM74" i="65" s="1"/>
  <c r="AD74" i="65"/>
  <c r="AC74" i="65"/>
  <c r="AE74" i="65" s="1"/>
  <c r="AB74" i="65"/>
  <c r="AA74" i="65"/>
  <c r="Z74" i="65"/>
  <c r="AL73" i="65"/>
  <c r="AK73" i="65"/>
  <c r="AJ73" i="65"/>
  <c r="AI73" i="65"/>
  <c r="AM73" i="65" s="1"/>
  <c r="AN73" i="65" s="1"/>
  <c r="AH73" i="65"/>
  <c r="AG73" i="65"/>
  <c r="AE73" i="65"/>
  <c r="AD73" i="65"/>
  <c r="AC73" i="65"/>
  <c r="AB73" i="65"/>
  <c r="AA73" i="65"/>
  <c r="Z73" i="65"/>
  <c r="AL72" i="65"/>
  <c r="AK72" i="65"/>
  <c r="AJ72" i="65"/>
  <c r="AI72" i="65"/>
  <c r="AH72" i="65"/>
  <c r="AG72" i="65"/>
  <c r="AE72" i="65"/>
  <c r="AD72" i="65"/>
  <c r="AC72" i="65"/>
  <c r="AB72" i="65"/>
  <c r="AA72" i="65"/>
  <c r="AA105" i="65" s="1"/>
  <c r="Z72" i="65"/>
  <c r="AL71" i="65"/>
  <c r="AK71" i="65"/>
  <c r="AJ71" i="65"/>
  <c r="AI71" i="65"/>
  <c r="AH71" i="65"/>
  <c r="AM71" i="65" s="1"/>
  <c r="AN71" i="65" s="1"/>
  <c r="AG71" i="65"/>
  <c r="AD71" i="65"/>
  <c r="AC71" i="65"/>
  <c r="AE71" i="65" s="1"/>
  <c r="AB71" i="65"/>
  <c r="AA71" i="65"/>
  <c r="Z71" i="65"/>
  <c r="AL70" i="65"/>
  <c r="AK70" i="65"/>
  <c r="AJ70" i="65"/>
  <c r="AI70" i="65"/>
  <c r="AH70" i="65"/>
  <c r="AG70" i="65"/>
  <c r="AD70" i="65"/>
  <c r="AE70" i="65" s="1"/>
  <c r="AC70" i="65"/>
  <c r="AB70" i="65"/>
  <c r="AA70" i="65"/>
  <c r="Z70" i="65"/>
  <c r="AL69" i="65"/>
  <c r="AK69" i="65"/>
  <c r="AJ69" i="65"/>
  <c r="AI69" i="65"/>
  <c r="AH69" i="65"/>
  <c r="AG69" i="65"/>
  <c r="AM69" i="65" s="1"/>
  <c r="AN69" i="65" s="1"/>
  <c r="AD69" i="65"/>
  <c r="AC69" i="65"/>
  <c r="AB69" i="65"/>
  <c r="AA69" i="65"/>
  <c r="Z69" i="65"/>
  <c r="AL68" i="65"/>
  <c r="AK68" i="65"/>
  <c r="AJ68" i="65"/>
  <c r="AI68" i="65"/>
  <c r="AH68" i="65"/>
  <c r="AG68" i="65"/>
  <c r="AM68" i="65" s="1"/>
  <c r="AN68" i="65" s="1"/>
  <c r="AD68" i="65"/>
  <c r="AE68" i="65" s="1"/>
  <c r="AC68" i="65"/>
  <c r="AB68" i="65"/>
  <c r="AA68" i="65"/>
  <c r="Z68" i="65"/>
  <c r="AL67" i="65"/>
  <c r="AK67" i="65"/>
  <c r="AJ67" i="65"/>
  <c r="AI67" i="65"/>
  <c r="AH67" i="65"/>
  <c r="AM67" i="65" s="1"/>
  <c r="AN67" i="65" s="1"/>
  <c r="AG67" i="65"/>
  <c r="AD67" i="65"/>
  <c r="AC67" i="65"/>
  <c r="AE67" i="65" s="1"/>
  <c r="AB67" i="65"/>
  <c r="AA67" i="65"/>
  <c r="Z67" i="65"/>
  <c r="AL66" i="65"/>
  <c r="AK66" i="65"/>
  <c r="AJ66" i="65"/>
  <c r="AI66" i="65"/>
  <c r="AM66" i="65" s="1"/>
  <c r="AN66" i="65" s="1"/>
  <c r="AH66" i="65"/>
  <c r="AG66" i="65"/>
  <c r="AD66" i="65"/>
  <c r="AE66" i="65" s="1"/>
  <c r="AC66" i="65"/>
  <c r="AB66" i="65"/>
  <c r="AA66" i="65"/>
  <c r="Z66" i="65"/>
  <c r="AL65" i="65"/>
  <c r="AK65" i="65"/>
  <c r="AJ65" i="65"/>
  <c r="AI65" i="65"/>
  <c r="AH65" i="65"/>
  <c r="AG65" i="65"/>
  <c r="AM65" i="65" s="1"/>
  <c r="AN65" i="65" s="1"/>
  <c r="AD65" i="65"/>
  <c r="AC65" i="65"/>
  <c r="AB65" i="65"/>
  <c r="AA65" i="65"/>
  <c r="Z65" i="65"/>
  <c r="AL64" i="65"/>
  <c r="AK64" i="65"/>
  <c r="AJ64" i="65"/>
  <c r="AI64" i="65"/>
  <c r="AH64" i="65"/>
  <c r="AG64" i="65"/>
  <c r="AM64" i="65" s="1"/>
  <c r="AN64" i="65" s="1"/>
  <c r="AD64" i="65"/>
  <c r="AE64" i="65" s="1"/>
  <c r="AC64" i="65"/>
  <c r="AB64" i="65"/>
  <c r="AA64" i="65"/>
  <c r="Z64" i="65"/>
  <c r="AL63" i="65"/>
  <c r="AK63" i="65"/>
  <c r="AJ63" i="65"/>
  <c r="AI63" i="65"/>
  <c r="AH63" i="65"/>
  <c r="AM63" i="65" s="1"/>
  <c r="AN63" i="65" s="1"/>
  <c r="AG63" i="65"/>
  <c r="AD63" i="65"/>
  <c r="AC63" i="65"/>
  <c r="AE63" i="65" s="1"/>
  <c r="AB63" i="65"/>
  <c r="AA63" i="65"/>
  <c r="Z63" i="65"/>
  <c r="AL62" i="65"/>
  <c r="AK62" i="65"/>
  <c r="AJ62" i="65"/>
  <c r="AI62" i="65"/>
  <c r="AM62" i="65" s="1"/>
  <c r="AN62" i="65" s="1"/>
  <c r="AH62" i="65"/>
  <c r="AG62" i="65"/>
  <c r="AD62" i="65"/>
  <c r="AE62" i="65" s="1"/>
  <c r="AC62" i="65"/>
  <c r="AB62" i="65"/>
  <c r="AA62" i="65"/>
  <c r="Z62" i="65"/>
  <c r="AL61" i="65"/>
  <c r="AK61" i="65"/>
  <c r="AJ61" i="65"/>
  <c r="AI61" i="65"/>
  <c r="AH61" i="65"/>
  <c r="AG61" i="65"/>
  <c r="AM61" i="65" s="1"/>
  <c r="AN61" i="65" s="1"/>
  <c r="AD61" i="65"/>
  <c r="AC61" i="65"/>
  <c r="AB61" i="65"/>
  <c r="AA61" i="65"/>
  <c r="Z61" i="65"/>
  <c r="AL60" i="65"/>
  <c r="AK60" i="65"/>
  <c r="AK114" i="65" s="1"/>
  <c r="AK119" i="65" s="1"/>
  <c r="AJ60" i="65"/>
  <c r="AJ114" i="65" s="1"/>
  <c r="AJ119" i="65" s="1"/>
  <c r="AI60" i="65"/>
  <c r="AI114" i="65" s="1"/>
  <c r="AI119" i="65" s="1"/>
  <c r="AH60" i="65"/>
  <c r="AG60" i="65"/>
  <c r="AM60" i="65" s="1"/>
  <c r="AN60" i="65" s="1"/>
  <c r="AD60" i="65"/>
  <c r="AE60" i="65" s="1"/>
  <c r="AC60" i="65"/>
  <c r="AB60" i="65"/>
  <c r="AA60" i="65"/>
  <c r="Z60" i="65"/>
  <c r="AL59" i="65"/>
  <c r="AK59" i="65"/>
  <c r="AJ59" i="65"/>
  <c r="AI59" i="65"/>
  <c r="AH59" i="65"/>
  <c r="AM59" i="65" s="1"/>
  <c r="AN59" i="65" s="1"/>
  <c r="AG59" i="65"/>
  <c r="AD59" i="65"/>
  <c r="AC59" i="65"/>
  <c r="AE59" i="65" s="1"/>
  <c r="AB59" i="65"/>
  <c r="AA59" i="65"/>
  <c r="Z59" i="65"/>
  <c r="AL58" i="65"/>
  <c r="AK58" i="65"/>
  <c r="AJ58" i="65"/>
  <c r="AI58" i="65"/>
  <c r="AM58" i="65" s="1"/>
  <c r="AN58" i="65" s="1"/>
  <c r="AH58" i="65"/>
  <c r="AG58" i="65"/>
  <c r="AD58" i="65"/>
  <c r="AE58" i="65" s="1"/>
  <c r="AC58" i="65"/>
  <c r="AB58" i="65"/>
  <c r="AA58" i="65"/>
  <c r="Z58" i="65"/>
  <c r="AL57" i="65"/>
  <c r="AK57" i="65"/>
  <c r="AJ57" i="65"/>
  <c r="AI57" i="65"/>
  <c r="AH57" i="65"/>
  <c r="AG57" i="65"/>
  <c r="AM57" i="65" s="1"/>
  <c r="AN57" i="65" s="1"/>
  <c r="AD57" i="65"/>
  <c r="AC57" i="65"/>
  <c r="AB57" i="65"/>
  <c r="AA57" i="65"/>
  <c r="Z57" i="65"/>
  <c r="AL56" i="65"/>
  <c r="AK56" i="65"/>
  <c r="AJ56" i="65"/>
  <c r="AI56" i="65"/>
  <c r="AH56" i="65"/>
  <c r="AG56" i="65"/>
  <c r="AM56" i="65" s="1"/>
  <c r="AN56" i="65" s="1"/>
  <c r="AD56" i="65"/>
  <c r="AE56" i="65" s="1"/>
  <c r="AC56" i="65"/>
  <c r="AB56" i="65"/>
  <c r="AA56" i="65"/>
  <c r="Z56" i="65"/>
  <c r="AL55" i="65"/>
  <c r="AK55" i="65"/>
  <c r="AJ55" i="65"/>
  <c r="AI55" i="65"/>
  <c r="AH55" i="65"/>
  <c r="AM55" i="65" s="1"/>
  <c r="AN55" i="65" s="1"/>
  <c r="AG55" i="65"/>
  <c r="AD55" i="65"/>
  <c r="AC55" i="65"/>
  <c r="AE55" i="65" s="1"/>
  <c r="AB55" i="65"/>
  <c r="AA55" i="65"/>
  <c r="Z55" i="65"/>
  <c r="AL54" i="65"/>
  <c r="AK54" i="65"/>
  <c r="AJ54" i="65"/>
  <c r="AI54" i="65"/>
  <c r="AM54" i="65" s="1"/>
  <c r="AN54" i="65" s="1"/>
  <c r="AH54" i="65"/>
  <c r="AG54" i="65"/>
  <c r="AD54" i="65"/>
  <c r="AE54" i="65" s="1"/>
  <c r="AC54" i="65"/>
  <c r="AB54" i="65"/>
  <c r="AA54" i="65"/>
  <c r="Z54" i="65"/>
  <c r="AL53" i="65"/>
  <c r="AK53" i="65"/>
  <c r="AJ53" i="65"/>
  <c r="AI53" i="65"/>
  <c r="AH53" i="65"/>
  <c r="AG53" i="65"/>
  <c r="AM53" i="65" s="1"/>
  <c r="AN53" i="65" s="1"/>
  <c r="AD53" i="65"/>
  <c r="AC53" i="65"/>
  <c r="AB53" i="65"/>
  <c r="AA53" i="65"/>
  <c r="Z53" i="65"/>
  <c r="AL52" i="65"/>
  <c r="AK52" i="65"/>
  <c r="AJ52" i="65"/>
  <c r="AI52" i="65"/>
  <c r="AH52" i="65"/>
  <c r="AG52" i="65"/>
  <c r="AM52" i="65" s="1"/>
  <c r="AN52" i="65" s="1"/>
  <c r="AD52" i="65"/>
  <c r="AE52" i="65" s="1"/>
  <c r="AC52" i="65"/>
  <c r="AB52" i="65"/>
  <c r="AA52" i="65"/>
  <c r="Z52" i="65"/>
  <c r="AL51" i="65"/>
  <c r="AK51" i="65"/>
  <c r="AJ51" i="65"/>
  <c r="AI51" i="65"/>
  <c r="AH51" i="65"/>
  <c r="AM51" i="65" s="1"/>
  <c r="AN51" i="65" s="1"/>
  <c r="AG51" i="65"/>
  <c r="AD51" i="65"/>
  <c r="AC51" i="65"/>
  <c r="AE51" i="65" s="1"/>
  <c r="AB51" i="65"/>
  <c r="AA51" i="65"/>
  <c r="Z51" i="65"/>
  <c r="AL50" i="65"/>
  <c r="AK50" i="65"/>
  <c r="AJ50" i="65"/>
  <c r="AI50" i="65"/>
  <c r="AM50" i="65" s="1"/>
  <c r="AN50" i="65" s="1"/>
  <c r="AH50" i="65"/>
  <c r="AG50" i="65"/>
  <c r="AD50" i="65"/>
  <c r="AE50" i="65" s="1"/>
  <c r="AC50" i="65"/>
  <c r="AB50" i="65"/>
  <c r="AA50" i="65"/>
  <c r="Z50" i="65"/>
  <c r="AL49" i="65"/>
  <c r="AK49" i="65"/>
  <c r="AJ49" i="65"/>
  <c r="AI49" i="65"/>
  <c r="AH49" i="65"/>
  <c r="AG49" i="65"/>
  <c r="AM49" i="65" s="1"/>
  <c r="AN49" i="65" s="1"/>
  <c r="AD49" i="65"/>
  <c r="AC49" i="65"/>
  <c r="AB49" i="65"/>
  <c r="AA49" i="65"/>
  <c r="Z49" i="65"/>
  <c r="AL48" i="65"/>
  <c r="AK48" i="65"/>
  <c r="AJ48" i="65"/>
  <c r="AI48" i="65"/>
  <c r="AH48" i="65"/>
  <c r="AG48" i="65"/>
  <c r="AM48" i="65" s="1"/>
  <c r="AN48" i="65" s="1"/>
  <c r="AD48" i="65"/>
  <c r="AE48" i="65" s="1"/>
  <c r="AC48" i="65"/>
  <c r="AB48" i="65"/>
  <c r="AA48" i="65"/>
  <c r="Z48" i="65"/>
  <c r="AL47" i="65"/>
  <c r="AL113" i="65" s="1"/>
  <c r="AL118" i="65" s="1"/>
  <c r="AK47" i="65"/>
  <c r="AJ47" i="65"/>
  <c r="AI47" i="65"/>
  <c r="AH47" i="65"/>
  <c r="AH113" i="65" s="1"/>
  <c r="AH118" i="65" s="1"/>
  <c r="AG47" i="65"/>
  <c r="AD47" i="65"/>
  <c r="AC47" i="65"/>
  <c r="AE47" i="65" s="1"/>
  <c r="AB47" i="65"/>
  <c r="AA47" i="65"/>
  <c r="Z47" i="65"/>
  <c r="AL46" i="65"/>
  <c r="AK46" i="65"/>
  <c r="AK113" i="65" s="1"/>
  <c r="AK118" i="65" s="1"/>
  <c r="AJ46" i="65"/>
  <c r="AI46" i="65"/>
  <c r="AI113" i="65" s="1"/>
  <c r="AI118" i="65" s="1"/>
  <c r="AH46" i="65"/>
  <c r="AG46" i="65"/>
  <c r="AD46" i="65"/>
  <c r="AD113" i="65" s="1"/>
  <c r="AD118" i="65" s="1"/>
  <c r="AC46" i="65"/>
  <c r="AB46" i="65"/>
  <c r="AB113" i="65" s="1"/>
  <c r="AB118" i="65" s="1"/>
  <c r="AA46" i="65"/>
  <c r="Z46" i="65"/>
  <c r="Z113" i="65" s="1"/>
  <c r="Z118" i="65" s="1"/>
  <c r="AL45" i="65"/>
  <c r="AK45" i="65"/>
  <c r="AJ45" i="65"/>
  <c r="AI45" i="65"/>
  <c r="AH45" i="65"/>
  <c r="AG45" i="65"/>
  <c r="AM45" i="65" s="1"/>
  <c r="AN45" i="65" s="1"/>
  <c r="AD45" i="65"/>
  <c r="AC45" i="65"/>
  <c r="AB45" i="65"/>
  <c r="AA45" i="65"/>
  <c r="Z45" i="65"/>
  <c r="AL44" i="65"/>
  <c r="AK44" i="65"/>
  <c r="AK109" i="65" s="1"/>
  <c r="AJ44" i="65"/>
  <c r="AI44" i="65"/>
  <c r="AH44" i="65"/>
  <c r="AG44" i="65"/>
  <c r="AM44" i="65" s="1"/>
  <c r="AN44" i="65" s="1"/>
  <c r="AD44" i="65"/>
  <c r="AE44" i="65" s="1"/>
  <c r="AC44" i="65"/>
  <c r="AB44" i="65"/>
  <c r="AA44" i="65"/>
  <c r="Z44" i="65"/>
  <c r="AL43" i="65"/>
  <c r="AK43" i="65"/>
  <c r="AJ43" i="65"/>
  <c r="AI43" i="65"/>
  <c r="AH43" i="65"/>
  <c r="AM43" i="65" s="1"/>
  <c r="AN43" i="65" s="1"/>
  <c r="AG43" i="65"/>
  <c r="AD43" i="65"/>
  <c r="AC43" i="65"/>
  <c r="AE43" i="65" s="1"/>
  <c r="AB43" i="65"/>
  <c r="AA43" i="65"/>
  <c r="Z43" i="65"/>
  <c r="AL42" i="65"/>
  <c r="AK42" i="65"/>
  <c r="AJ42" i="65"/>
  <c r="AI42" i="65"/>
  <c r="AM42" i="65" s="1"/>
  <c r="AN42" i="65" s="1"/>
  <c r="AH42" i="65"/>
  <c r="AG42" i="65"/>
  <c r="AD42" i="65"/>
  <c r="AE42" i="65" s="1"/>
  <c r="AC42" i="65"/>
  <c r="AB42" i="65"/>
  <c r="AA42" i="65"/>
  <c r="Z42" i="65"/>
  <c r="AL41" i="65"/>
  <c r="AK41" i="65"/>
  <c r="AJ41" i="65"/>
  <c r="AI41" i="65"/>
  <c r="AH41" i="65"/>
  <c r="AG41" i="65"/>
  <c r="AM41" i="65" s="1"/>
  <c r="AN41" i="65" s="1"/>
  <c r="AD41" i="65"/>
  <c r="AC41" i="65"/>
  <c r="AB41" i="65"/>
  <c r="AA41" i="65"/>
  <c r="Z41" i="65"/>
  <c r="AL40" i="65"/>
  <c r="AK40" i="65"/>
  <c r="AJ40" i="65"/>
  <c r="AI40" i="65"/>
  <c r="AH40" i="65"/>
  <c r="AG40" i="65"/>
  <c r="AM40" i="65" s="1"/>
  <c r="AN40" i="65" s="1"/>
  <c r="AD40" i="65"/>
  <c r="AE40" i="65" s="1"/>
  <c r="AC40" i="65"/>
  <c r="AB40" i="65"/>
  <c r="AA40" i="65"/>
  <c r="Z40" i="65"/>
  <c r="AL39" i="65"/>
  <c r="AK39" i="65"/>
  <c r="AJ39" i="65"/>
  <c r="AI39" i="65"/>
  <c r="AH39" i="65"/>
  <c r="AM39" i="65" s="1"/>
  <c r="AN39" i="65" s="1"/>
  <c r="AG39" i="65"/>
  <c r="AD39" i="65"/>
  <c r="AC39" i="65"/>
  <c r="AE39" i="65" s="1"/>
  <c r="AB39" i="65"/>
  <c r="AA39" i="65"/>
  <c r="Z39" i="65"/>
  <c r="AL38" i="65"/>
  <c r="AK38" i="65"/>
  <c r="AJ38" i="65"/>
  <c r="AI38" i="65"/>
  <c r="AM38" i="65" s="1"/>
  <c r="AN38" i="65" s="1"/>
  <c r="AH38" i="65"/>
  <c r="AG38" i="65"/>
  <c r="AD38" i="65"/>
  <c r="AE38" i="65" s="1"/>
  <c r="AC38" i="65"/>
  <c r="AB38" i="65"/>
  <c r="AA38" i="65"/>
  <c r="Z38" i="65"/>
  <c r="AL37" i="65"/>
  <c r="AL114" i="65" s="1"/>
  <c r="AL119" i="65" s="1"/>
  <c r="AK37" i="65"/>
  <c r="AJ37" i="65"/>
  <c r="AI37" i="65"/>
  <c r="AH37" i="65"/>
  <c r="AH114" i="65" s="1"/>
  <c r="AH119" i="65" s="1"/>
  <c r="AG37" i="65"/>
  <c r="AD37" i="65"/>
  <c r="AD114" i="65" s="1"/>
  <c r="AD119" i="65" s="1"/>
  <c r="AC37" i="65"/>
  <c r="AB37" i="65"/>
  <c r="AB114" i="65" s="1"/>
  <c r="AB119" i="65" s="1"/>
  <c r="AA37" i="65"/>
  <c r="AA114" i="65" s="1"/>
  <c r="AA119" i="65" s="1"/>
  <c r="Z37" i="65"/>
  <c r="Z114" i="65" s="1"/>
  <c r="Z119" i="65" s="1"/>
  <c r="AL36" i="65"/>
  <c r="AK36" i="65"/>
  <c r="AJ36" i="65"/>
  <c r="AI36" i="65"/>
  <c r="AH36" i="65"/>
  <c r="AG36" i="65"/>
  <c r="AM36" i="65" s="1"/>
  <c r="AN36" i="65" s="1"/>
  <c r="AD36" i="65"/>
  <c r="AE36" i="65" s="1"/>
  <c r="AC36" i="65"/>
  <c r="AB36" i="65"/>
  <c r="AA36" i="65"/>
  <c r="Z36" i="65"/>
  <c r="AL35" i="65"/>
  <c r="AK35" i="65"/>
  <c r="AJ35" i="65"/>
  <c r="AI35" i="65"/>
  <c r="AH35" i="65"/>
  <c r="AM35" i="65" s="1"/>
  <c r="AN35" i="65" s="1"/>
  <c r="AG35" i="65"/>
  <c r="AD35" i="65"/>
  <c r="AC35" i="65"/>
  <c r="AE35" i="65" s="1"/>
  <c r="AB35" i="65"/>
  <c r="AA35" i="65"/>
  <c r="Z35" i="65"/>
  <c r="AL34" i="65"/>
  <c r="AK34" i="65"/>
  <c r="AJ34" i="65"/>
  <c r="AI34" i="65"/>
  <c r="AM34" i="65" s="1"/>
  <c r="AN34" i="65" s="1"/>
  <c r="AH34" i="65"/>
  <c r="AG34" i="65"/>
  <c r="AD34" i="65"/>
  <c r="AE34" i="65" s="1"/>
  <c r="AC34" i="65"/>
  <c r="AB34" i="65"/>
  <c r="AA34" i="65"/>
  <c r="Z34" i="65"/>
  <c r="AL33" i="65"/>
  <c r="AK33" i="65"/>
  <c r="AJ33" i="65"/>
  <c r="AI33" i="65"/>
  <c r="AH33" i="65"/>
  <c r="AG33" i="65"/>
  <c r="AM33" i="65" s="1"/>
  <c r="AN33" i="65" s="1"/>
  <c r="AD33" i="65"/>
  <c r="AC33" i="65"/>
  <c r="AB33" i="65"/>
  <c r="AA33" i="65"/>
  <c r="Z33" i="65"/>
  <c r="AL32" i="65"/>
  <c r="AK32" i="65"/>
  <c r="AJ32" i="65"/>
  <c r="AI32" i="65"/>
  <c r="AH32" i="65"/>
  <c r="AG32" i="65"/>
  <c r="AM32" i="65" s="1"/>
  <c r="AN32" i="65" s="1"/>
  <c r="AD32" i="65"/>
  <c r="AE32" i="65" s="1"/>
  <c r="AC32" i="65"/>
  <c r="AB32" i="65"/>
  <c r="AA32" i="65"/>
  <c r="Z32" i="65"/>
  <c r="AL31" i="65"/>
  <c r="AK31" i="65"/>
  <c r="AJ31" i="65"/>
  <c r="AI31" i="65"/>
  <c r="AH31" i="65"/>
  <c r="AM31" i="65" s="1"/>
  <c r="AN31" i="65" s="1"/>
  <c r="AG31" i="65"/>
  <c r="AD31" i="65"/>
  <c r="AC31" i="65"/>
  <c r="AE31" i="65" s="1"/>
  <c r="AB31" i="65"/>
  <c r="AA31" i="65"/>
  <c r="Z31" i="65"/>
  <c r="AL30" i="65"/>
  <c r="AK30" i="65"/>
  <c r="AJ30" i="65"/>
  <c r="AI30" i="65"/>
  <c r="AM30" i="65" s="1"/>
  <c r="AN30" i="65" s="1"/>
  <c r="AH30" i="65"/>
  <c r="AG30" i="65"/>
  <c r="AD30" i="65"/>
  <c r="AE30" i="65" s="1"/>
  <c r="AC30" i="65"/>
  <c r="AB30" i="65"/>
  <c r="AA30" i="65"/>
  <c r="Z30" i="65"/>
  <c r="AL29" i="65"/>
  <c r="AK29" i="65"/>
  <c r="AJ29" i="65"/>
  <c r="AI29" i="65"/>
  <c r="AH29" i="65"/>
  <c r="AG29" i="65"/>
  <c r="AM29" i="65" s="1"/>
  <c r="AN29" i="65" s="1"/>
  <c r="AD29" i="65"/>
  <c r="AC29" i="65"/>
  <c r="AB29" i="65"/>
  <c r="AA29" i="65"/>
  <c r="Z29" i="65"/>
  <c r="AL28" i="65"/>
  <c r="AK28" i="65"/>
  <c r="AJ28" i="65"/>
  <c r="AI28" i="65"/>
  <c r="AH28" i="65"/>
  <c r="AG28" i="65"/>
  <c r="AM28" i="65" s="1"/>
  <c r="AN28" i="65" s="1"/>
  <c r="AD28" i="65"/>
  <c r="AE28" i="65" s="1"/>
  <c r="AC28" i="65"/>
  <c r="AB28" i="65"/>
  <c r="AA28" i="65"/>
  <c r="Z28" i="65"/>
  <c r="AL27" i="65"/>
  <c r="AK27" i="65"/>
  <c r="AJ27" i="65"/>
  <c r="AI27" i="65"/>
  <c r="AH27" i="65"/>
  <c r="AM27" i="65" s="1"/>
  <c r="AN27" i="65" s="1"/>
  <c r="AG27" i="65"/>
  <c r="AD27" i="65"/>
  <c r="AC27" i="65"/>
  <c r="AE27" i="65" s="1"/>
  <c r="AB27" i="65"/>
  <c r="AA27" i="65"/>
  <c r="Z27" i="65"/>
  <c r="AL26" i="65"/>
  <c r="AK26" i="65"/>
  <c r="AJ26" i="65"/>
  <c r="AI26" i="65"/>
  <c r="AM26" i="65" s="1"/>
  <c r="AN26" i="65" s="1"/>
  <c r="AH26" i="65"/>
  <c r="AG26" i="65"/>
  <c r="AD26" i="65"/>
  <c r="AE26" i="65" s="1"/>
  <c r="AC26" i="65"/>
  <c r="AB26" i="65"/>
  <c r="AA26" i="65"/>
  <c r="Z26" i="65"/>
  <c r="AL25" i="65"/>
  <c r="AK25" i="65"/>
  <c r="AJ25" i="65"/>
  <c r="AI25" i="65"/>
  <c r="AH25" i="65"/>
  <c r="AG25" i="65"/>
  <c r="AM25" i="65" s="1"/>
  <c r="AN25" i="65" s="1"/>
  <c r="AD25" i="65"/>
  <c r="AC25" i="65"/>
  <c r="AB25" i="65"/>
  <c r="AA25" i="65"/>
  <c r="Z25" i="65"/>
  <c r="AL24" i="65"/>
  <c r="AK24" i="65"/>
  <c r="AJ24" i="65"/>
  <c r="AI24" i="65"/>
  <c r="AH24" i="65"/>
  <c r="AG24" i="65"/>
  <c r="AM24" i="65" s="1"/>
  <c r="AN24" i="65" s="1"/>
  <c r="AD24" i="65"/>
  <c r="AE24" i="65" s="1"/>
  <c r="AC24" i="65"/>
  <c r="AB24" i="65"/>
  <c r="AA24" i="65"/>
  <c r="Z24" i="65"/>
  <c r="AL23" i="65"/>
  <c r="AL109" i="65" s="1"/>
  <c r="AK23" i="65"/>
  <c r="AJ23" i="65"/>
  <c r="AI23" i="65"/>
  <c r="AH23" i="65"/>
  <c r="AM23" i="65" s="1"/>
  <c r="AN23" i="65" s="1"/>
  <c r="AG23" i="65"/>
  <c r="AD23" i="65"/>
  <c r="AC23" i="65"/>
  <c r="AE23" i="65" s="1"/>
  <c r="AB23" i="65"/>
  <c r="AA23" i="65"/>
  <c r="Z23" i="65"/>
  <c r="AL22" i="65"/>
  <c r="AK22" i="65"/>
  <c r="AJ22" i="65"/>
  <c r="AI22" i="65"/>
  <c r="AM22" i="65" s="1"/>
  <c r="AN22" i="65" s="1"/>
  <c r="AH22" i="65"/>
  <c r="AG22" i="65"/>
  <c r="AD22" i="65"/>
  <c r="AE22" i="65" s="1"/>
  <c r="AC22" i="65"/>
  <c r="AB22" i="65"/>
  <c r="AA22" i="65"/>
  <c r="Z22" i="65"/>
  <c r="AL21" i="65"/>
  <c r="AK21" i="65"/>
  <c r="AJ21" i="65"/>
  <c r="AI21" i="65"/>
  <c r="AH21" i="65"/>
  <c r="AG21" i="65"/>
  <c r="AM21" i="65" s="1"/>
  <c r="AN21" i="65" s="1"/>
  <c r="AD21" i="65"/>
  <c r="AC21" i="65"/>
  <c r="AB21" i="65"/>
  <c r="AA21" i="65"/>
  <c r="Z21" i="65"/>
  <c r="AL20" i="65"/>
  <c r="AK20" i="65"/>
  <c r="AJ20" i="65"/>
  <c r="AI20" i="65"/>
  <c r="AH20" i="65"/>
  <c r="AG20" i="65"/>
  <c r="AM20" i="65" s="1"/>
  <c r="AN20" i="65" s="1"/>
  <c r="AD20" i="65"/>
  <c r="AE20" i="65" s="1"/>
  <c r="AC20" i="65"/>
  <c r="AB20" i="65"/>
  <c r="AA20" i="65"/>
  <c r="Z20" i="65"/>
  <c r="AL19" i="65"/>
  <c r="AK19" i="65"/>
  <c r="AJ19" i="65"/>
  <c r="AI19" i="65"/>
  <c r="AH19" i="65"/>
  <c r="AM19" i="65" s="1"/>
  <c r="AN19" i="65" s="1"/>
  <c r="AG19" i="65"/>
  <c r="AD19" i="65"/>
  <c r="AC19" i="65"/>
  <c r="AE19" i="65" s="1"/>
  <c r="AB19" i="65"/>
  <c r="AA19" i="65"/>
  <c r="Z19" i="65"/>
  <c r="AL18" i="65"/>
  <c r="AK18" i="65"/>
  <c r="AJ18" i="65"/>
  <c r="AI18" i="65"/>
  <c r="AM18" i="65" s="1"/>
  <c r="AN18" i="65" s="1"/>
  <c r="AH18" i="65"/>
  <c r="AG18" i="65"/>
  <c r="AD18" i="65"/>
  <c r="AE18" i="65" s="1"/>
  <c r="AC18" i="65"/>
  <c r="AB18" i="65"/>
  <c r="AA18" i="65"/>
  <c r="Z18" i="65"/>
  <c r="AL17" i="65"/>
  <c r="AK17" i="65"/>
  <c r="AJ17" i="65"/>
  <c r="AI17" i="65"/>
  <c r="AH17" i="65"/>
  <c r="AG17" i="65"/>
  <c r="AM17" i="65" s="1"/>
  <c r="AN17" i="65" s="1"/>
  <c r="AD17" i="65"/>
  <c r="AC17" i="65"/>
  <c r="AB17" i="65"/>
  <c r="AA17" i="65"/>
  <c r="Z17" i="65"/>
  <c r="AL16" i="65"/>
  <c r="AK16" i="65"/>
  <c r="AJ16" i="65"/>
  <c r="AI16" i="65"/>
  <c r="AH16" i="65"/>
  <c r="AG16" i="65"/>
  <c r="AM16" i="65" s="1"/>
  <c r="AN16" i="65" s="1"/>
  <c r="AD16" i="65"/>
  <c r="AE16" i="65" s="1"/>
  <c r="AC16" i="65"/>
  <c r="AB16" i="65"/>
  <c r="AA16" i="65"/>
  <c r="Z16" i="65"/>
  <c r="AL15" i="65"/>
  <c r="AL110" i="65" s="1"/>
  <c r="AK15" i="65"/>
  <c r="AJ15" i="65"/>
  <c r="AJ110" i="65" s="1"/>
  <c r="AI15" i="65"/>
  <c r="AI110" i="65" s="1"/>
  <c r="AH15" i="65"/>
  <c r="AH110" i="65" s="1"/>
  <c r="AG15" i="65"/>
  <c r="AD15" i="65"/>
  <c r="AD110" i="65" s="1"/>
  <c r="AC15" i="65"/>
  <c r="AB15" i="65"/>
  <c r="AB110" i="65" s="1"/>
  <c r="AA15" i="65"/>
  <c r="Z15" i="65"/>
  <c r="Z110" i="65" s="1"/>
  <c r="AL14" i="65"/>
  <c r="AK14" i="65"/>
  <c r="AJ14" i="65"/>
  <c r="AI14" i="65"/>
  <c r="AM14" i="65" s="1"/>
  <c r="AN14" i="65" s="1"/>
  <c r="AH14" i="65"/>
  <c r="AG14" i="65"/>
  <c r="AD14" i="65"/>
  <c r="AE14" i="65" s="1"/>
  <c r="AC14" i="65"/>
  <c r="AB14" i="65"/>
  <c r="AA14" i="65"/>
  <c r="Z14" i="65"/>
  <c r="AL13" i="65"/>
  <c r="AK13" i="65"/>
  <c r="AJ13" i="65"/>
  <c r="AI13" i="65"/>
  <c r="AH13" i="65"/>
  <c r="AG13" i="65"/>
  <c r="AM13" i="65" s="1"/>
  <c r="AN13" i="65" s="1"/>
  <c r="AD13" i="65"/>
  <c r="AC13" i="65"/>
  <c r="AB13" i="65"/>
  <c r="AA13" i="65"/>
  <c r="Z13" i="65"/>
  <c r="AL12" i="65"/>
  <c r="AK12" i="65"/>
  <c r="AJ12" i="65"/>
  <c r="AI12" i="65"/>
  <c r="AH12" i="65"/>
  <c r="AG12" i="65"/>
  <c r="AM12" i="65" s="1"/>
  <c r="AN12" i="65" s="1"/>
  <c r="AD12" i="65"/>
  <c r="AE12" i="65" s="1"/>
  <c r="AC12" i="65"/>
  <c r="AB12" i="65"/>
  <c r="AA12" i="65"/>
  <c r="Z12" i="65"/>
  <c r="AL11" i="65"/>
  <c r="AK11" i="65"/>
  <c r="AJ11" i="65"/>
  <c r="AI11" i="65"/>
  <c r="AH11" i="65"/>
  <c r="AM11" i="65" s="1"/>
  <c r="AN11" i="65" s="1"/>
  <c r="AG11" i="65"/>
  <c r="AD11" i="65"/>
  <c r="AC11" i="65"/>
  <c r="AE11" i="65" s="1"/>
  <c r="AB11" i="65"/>
  <c r="AA11" i="65"/>
  <c r="Z11" i="65"/>
  <c r="AL10" i="65"/>
  <c r="AK10" i="65"/>
  <c r="AJ10" i="65"/>
  <c r="AJ109" i="65" s="1"/>
  <c r="AJ117" i="65" s="1"/>
  <c r="AI10" i="65"/>
  <c r="AI109" i="65" s="1"/>
  <c r="AH10" i="65"/>
  <c r="AG10" i="65"/>
  <c r="AG109" i="65" s="1"/>
  <c r="AD10" i="65"/>
  <c r="AD109" i="65" s="1"/>
  <c r="AC10" i="65"/>
  <c r="AB10" i="65"/>
  <c r="AA10" i="65"/>
  <c r="AA109" i="65" s="1"/>
  <c r="Z10" i="65"/>
  <c r="Z109" i="65" s="1"/>
  <c r="AL9" i="65"/>
  <c r="AK9" i="65"/>
  <c r="AJ9" i="65"/>
  <c r="AI9" i="65"/>
  <c r="AH9" i="65"/>
  <c r="AG9" i="65"/>
  <c r="AM9" i="65" s="1"/>
  <c r="AN9" i="65" s="1"/>
  <c r="AD9" i="65"/>
  <c r="AC9" i="65"/>
  <c r="AB9" i="65"/>
  <c r="AA9" i="65"/>
  <c r="Z9" i="65"/>
  <c r="AL8" i="65"/>
  <c r="AK8" i="65"/>
  <c r="AK111" i="65" s="1"/>
  <c r="AJ8" i="65"/>
  <c r="AI8" i="65"/>
  <c r="AH8" i="65"/>
  <c r="AG8" i="65"/>
  <c r="AM8" i="65" s="1"/>
  <c r="AN8" i="65" s="1"/>
  <c r="AD8" i="65"/>
  <c r="AE8" i="65" s="1"/>
  <c r="AC8" i="65"/>
  <c r="AB8" i="65"/>
  <c r="AA8" i="65"/>
  <c r="Z8" i="65"/>
  <c r="AL7" i="65"/>
  <c r="AK7" i="65"/>
  <c r="AJ7" i="65"/>
  <c r="AI7" i="65"/>
  <c r="AH7" i="65"/>
  <c r="AM7" i="65" s="1"/>
  <c r="AN7" i="65" s="1"/>
  <c r="AG7" i="65"/>
  <c r="AD7" i="65"/>
  <c r="AC7" i="65"/>
  <c r="AE7" i="65" s="1"/>
  <c r="AB7" i="65"/>
  <c r="AA7" i="65"/>
  <c r="Z7" i="65"/>
  <c r="AL6" i="65"/>
  <c r="AK6" i="65"/>
  <c r="AJ6" i="65"/>
  <c r="AI6" i="65"/>
  <c r="AI105" i="65" s="1"/>
  <c r="AH6" i="65"/>
  <c r="AG6" i="65"/>
  <c r="AD6" i="65"/>
  <c r="AE6" i="65" s="1"/>
  <c r="AC6" i="65"/>
  <c r="AB6" i="65"/>
  <c r="AA6" i="65"/>
  <c r="Z6" i="65"/>
  <c r="AL5" i="65"/>
  <c r="AK5" i="65"/>
  <c r="AJ5" i="65"/>
  <c r="AI5" i="65"/>
  <c r="AH5" i="65"/>
  <c r="AG5" i="65"/>
  <c r="AM5" i="65" s="1"/>
  <c r="AN5" i="65" s="1"/>
  <c r="AD5" i="65"/>
  <c r="AD111" i="65" s="1"/>
  <c r="AC5" i="65"/>
  <c r="AB5" i="65"/>
  <c r="AA5" i="65"/>
  <c r="Z5" i="65"/>
  <c r="AL4" i="65"/>
  <c r="AK4" i="65"/>
  <c r="AK112" i="65" s="1"/>
  <c r="AJ4" i="65"/>
  <c r="AJ112" i="65" s="1"/>
  <c r="AI4" i="65"/>
  <c r="AH4" i="65"/>
  <c r="AG4" i="65"/>
  <c r="AG112" i="65" s="1"/>
  <c r="AD4" i="65"/>
  <c r="AE4" i="65" s="1"/>
  <c r="AC4" i="65"/>
  <c r="AB4" i="65"/>
  <c r="AB112" i="65" s="1"/>
  <c r="AA4" i="65"/>
  <c r="AA112" i="65" s="1"/>
  <c r="Z4" i="65"/>
  <c r="Z112" i="65" s="1"/>
  <c r="AL3" i="65"/>
  <c r="AL111" i="65" s="1"/>
  <c r="AK3" i="65"/>
  <c r="AJ3" i="65"/>
  <c r="AI3" i="65"/>
  <c r="AI111" i="65" s="1"/>
  <c r="AH3" i="65"/>
  <c r="AH105" i="65" s="1"/>
  <c r="AG3" i="65"/>
  <c r="AD3" i="65"/>
  <c r="AC3" i="65"/>
  <c r="AE3" i="65" s="1"/>
  <c r="AB3" i="65"/>
  <c r="AB105" i="65" s="1"/>
  <c r="AA3" i="65"/>
  <c r="Z3" i="65"/>
  <c r="AD120" i="67"/>
  <c r="AD119" i="67"/>
  <c r="P120" i="67" s="1"/>
  <c r="I113" i="67"/>
  <c r="H113" i="67"/>
  <c r="G113" i="67"/>
  <c r="AD112" i="67"/>
  <c r="I112" i="67"/>
  <c r="H112" i="67"/>
  <c r="G112" i="67"/>
  <c r="AD111" i="67"/>
  <c r="AD110" i="67"/>
  <c r="AD109" i="67"/>
  <c r="AD108" i="67"/>
  <c r="AD107" i="67"/>
  <c r="AD106" i="67"/>
  <c r="AD105" i="67"/>
  <c r="AD103" i="67"/>
  <c r="AC102" i="67"/>
  <c r="U102" i="67"/>
  <c r="T102" i="67"/>
  <c r="S102" i="67"/>
  <c r="I102" i="67"/>
  <c r="H102" i="67"/>
  <c r="G102" i="67"/>
  <c r="AD101" i="67"/>
  <c r="P102" i="67"/>
  <c r="E102" i="67"/>
  <c r="D102" i="67"/>
  <c r="C102" i="67"/>
  <c r="AD99" i="67"/>
  <c r="AC98" i="67"/>
  <c r="U98" i="67"/>
  <c r="T98" i="67"/>
  <c r="S98" i="67"/>
  <c r="I98" i="67"/>
  <c r="H98" i="67"/>
  <c r="G98" i="67"/>
  <c r="C98" i="67"/>
  <c r="AD97" i="67"/>
  <c r="AD96" i="67"/>
  <c r="J96" i="67"/>
  <c r="W96" i="67" s="1"/>
  <c r="E113" i="67"/>
  <c r="AD95" i="67"/>
  <c r="W95" i="67"/>
  <c r="J95" i="67"/>
  <c r="L95" i="67"/>
  <c r="Y95" i="67" s="1"/>
  <c r="K95" i="67"/>
  <c r="M95" i="67" s="1"/>
  <c r="AD94" i="67"/>
  <c r="J94" i="67"/>
  <c r="L94" i="67"/>
  <c r="Y94" i="67" s="1"/>
  <c r="AD93" i="67"/>
  <c r="J93" i="67"/>
  <c r="W93" i="67" s="1"/>
  <c r="L93" i="67"/>
  <c r="Y93" i="67" s="1"/>
  <c r="K93" i="67"/>
  <c r="X93" i="67" s="1"/>
  <c r="AD92" i="67"/>
  <c r="J92" i="67"/>
  <c r="L92" i="67"/>
  <c r="Y92" i="67" s="1"/>
  <c r="AD91" i="67"/>
  <c r="J91" i="67"/>
  <c r="W91" i="67" s="1"/>
  <c r="L91" i="67"/>
  <c r="Y91" i="67" s="1"/>
  <c r="K91" i="67"/>
  <c r="X91" i="67" s="1"/>
  <c r="AD90" i="67"/>
  <c r="J90" i="67"/>
  <c r="L90" i="67"/>
  <c r="Y90" i="67" s="1"/>
  <c r="AD89" i="67"/>
  <c r="J89" i="67"/>
  <c r="W89" i="67" s="1"/>
  <c r="L89" i="67"/>
  <c r="Y89" i="67" s="1"/>
  <c r="K89" i="67"/>
  <c r="X89" i="67" s="1"/>
  <c r="AD88" i="67"/>
  <c r="J88" i="67"/>
  <c r="L88" i="67"/>
  <c r="Y88" i="67" s="1"/>
  <c r="AD87" i="67"/>
  <c r="J87" i="67"/>
  <c r="W87" i="67" s="1"/>
  <c r="L87" i="67"/>
  <c r="Y87" i="67" s="1"/>
  <c r="K87" i="67"/>
  <c r="X87" i="67" s="1"/>
  <c r="AD86" i="67"/>
  <c r="J86" i="67"/>
  <c r="L86" i="67"/>
  <c r="Y86" i="67" s="1"/>
  <c r="AD85" i="67"/>
  <c r="J85" i="67"/>
  <c r="W85" i="67" s="1"/>
  <c r="L85" i="67"/>
  <c r="Y85" i="67" s="1"/>
  <c r="K85" i="67"/>
  <c r="X85" i="67" s="1"/>
  <c r="AD84" i="67"/>
  <c r="J84" i="67"/>
  <c r="L84" i="67"/>
  <c r="Y84" i="67" s="1"/>
  <c r="AD83" i="67"/>
  <c r="J83" i="67"/>
  <c r="W83" i="67" s="1"/>
  <c r="L83" i="67"/>
  <c r="Y83" i="67" s="1"/>
  <c r="K83" i="67"/>
  <c r="X83" i="67" s="1"/>
  <c r="J82" i="67"/>
  <c r="L82" i="67"/>
  <c r="AD81" i="67"/>
  <c r="AC80" i="67"/>
  <c r="U80" i="67"/>
  <c r="U104" i="67" s="1"/>
  <c r="T80" i="67"/>
  <c r="T104" i="67" s="1"/>
  <c r="S80" i="67"/>
  <c r="I80" i="67"/>
  <c r="I104" i="67" s="1"/>
  <c r="I114" i="67" s="1"/>
  <c r="H80" i="67"/>
  <c r="H104" i="67" s="1"/>
  <c r="H114" i="67" s="1"/>
  <c r="G80" i="67"/>
  <c r="G104" i="67" s="1"/>
  <c r="G114" i="67" s="1"/>
  <c r="E80" i="67"/>
  <c r="D80" i="67"/>
  <c r="AD79" i="67"/>
  <c r="X78" i="67"/>
  <c r="AD78" i="67"/>
  <c r="L78" i="67"/>
  <c r="Y78" i="67" s="1"/>
  <c r="K78" i="67"/>
  <c r="C113" i="67"/>
  <c r="Y77" i="67"/>
  <c r="AD77" i="67"/>
  <c r="L77" i="67"/>
  <c r="K77" i="67"/>
  <c r="J77" i="67"/>
  <c r="W77" i="67" s="1"/>
  <c r="X76" i="67"/>
  <c r="AD76" i="67"/>
  <c r="L76" i="67"/>
  <c r="Y76" i="67" s="1"/>
  <c r="K76" i="67"/>
  <c r="Y75" i="67"/>
  <c r="AD75" i="67"/>
  <c r="L75" i="67"/>
  <c r="K75" i="67"/>
  <c r="X75" i="67" s="1"/>
  <c r="J75" i="67"/>
  <c r="X74" i="67"/>
  <c r="AD74" i="67"/>
  <c r="L74" i="67"/>
  <c r="Y74" i="67" s="1"/>
  <c r="K74" i="67"/>
  <c r="Y73" i="67"/>
  <c r="AD73" i="67"/>
  <c r="L73" i="67"/>
  <c r="K73" i="67"/>
  <c r="J73" i="67"/>
  <c r="X72" i="67"/>
  <c r="AD72" i="67"/>
  <c r="L72" i="67"/>
  <c r="Y72" i="67" s="1"/>
  <c r="K72" i="67"/>
  <c r="F72" i="67"/>
  <c r="AD71" i="67"/>
  <c r="L71" i="67"/>
  <c r="Y71" i="67" s="1"/>
  <c r="K71" i="67"/>
  <c r="X71" i="67" s="1"/>
  <c r="J71" i="67"/>
  <c r="W71" i="67" s="1"/>
  <c r="X70" i="67"/>
  <c r="AD70" i="67"/>
  <c r="L70" i="67"/>
  <c r="Y70" i="67" s="1"/>
  <c r="K70" i="67"/>
  <c r="Y69" i="67"/>
  <c r="AD69" i="67"/>
  <c r="L69" i="67"/>
  <c r="K69" i="67"/>
  <c r="X69" i="67" s="1"/>
  <c r="J69" i="67"/>
  <c r="W69" i="67" s="1"/>
  <c r="X68" i="67"/>
  <c r="AD68" i="67"/>
  <c r="L68" i="67"/>
  <c r="Y68" i="67" s="1"/>
  <c r="K68" i="67"/>
  <c r="F68" i="67"/>
  <c r="Y67" i="67"/>
  <c r="AD67" i="67"/>
  <c r="L67" i="67"/>
  <c r="K67" i="67"/>
  <c r="J67" i="67"/>
  <c r="W67" i="67" s="1"/>
  <c r="X66" i="67"/>
  <c r="AD66" i="67"/>
  <c r="L66" i="67"/>
  <c r="Y66" i="67" s="1"/>
  <c r="K66" i="67"/>
  <c r="Y65" i="67"/>
  <c r="AD65" i="67"/>
  <c r="L65" i="67"/>
  <c r="K65" i="67"/>
  <c r="X65" i="67" s="1"/>
  <c r="J65" i="67"/>
  <c r="W65" i="67" s="1"/>
  <c r="X64" i="67"/>
  <c r="AD64" i="67"/>
  <c r="L64" i="67"/>
  <c r="Y64" i="67" s="1"/>
  <c r="K64" i="67"/>
  <c r="F64" i="67"/>
  <c r="Y63" i="67"/>
  <c r="AD63" i="67"/>
  <c r="L63" i="67"/>
  <c r="K63" i="67"/>
  <c r="J63" i="67"/>
  <c r="W63" i="67" s="1"/>
  <c r="X62" i="67"/>
  <c r="AD62" i="67"/>
  <c r="L62" i="67"/>
  <c r="Y62" i="67" s="1"/>
  <c r="K62" i="67"/>
  <c r="Y61" i="67"/>
  <c r="AD61" i="67"/>
  <c r="L61" i="67"/>
  <c r="K61" i="67"/>
  <c r="X61" i="67" s="1"/>
  <c r="J61" i="67"/>
  <c r="X60" i="67"/>
  <c r="AD60" i="67"/>
  <c r="L60" i="67"/>
  <c r="Y60" i="67" s="1"/>
  <c r="K60" i="67"/>
  <c r="F60" i="67"/>
  <c r="Y59" i="67"/>
  <c r="AD59" i="67"/>
  <c r="L59" i="67"/>
  <c r="K59" i="67"/>
  <c r="J59" i="67"/>
  <c r="W59" i="67" s="1"/>
  <c r="X58" i="67"/>
  <c r="AD58" i="67"/>
  <c r="L58" i="67"/>
  <c r="Y58" i="67" s="1"/>
  <c r="K58" i="67"/>
  <c r="Y57" i="67"/>
  <c r="AD57" i="67"/>
  <c r="L57" i="67"/>
  <c r="K57" i="67"/>
  <c r="X57" i="67" s="1"/>
  <c r="J57" i="67"/>
  <c r="W57" i="67" s="1"/>
  <c r="X56" i="67"/>
  <c r="AD56" i="67"/>
  <c r="L56" i="67"/>
  <c r="Y56" i="67" s="1"/>
  <c r="K56" i="67"/>
  <c r="F56" i="67"/>
  <c r="Y55" i="67"/>
  <c r="AD55" i="67"/>
  <c r="L55" i="67"/>
  <c r="K55" i="67"/>
  <c r="X55" i="67" s="1"/>
  <c r="J55" i="67"/>
  <c r="W55" i="67" s="1"/>
  <c r="X54" i="67"/>
  <c r="AD54" i="67"/>
  <c r="L54" i="67"/>
  <c r="Y54" i="67" s="1"/>
  <c r="K54" i="67"/>
  <c r="F54" i="67"/>
  <c r="Y53" i="67"/>
  <c r="AD53" i="67"/>
  <c r="L53" i="67"/>
  <c r="K53" i="67"/>
  <c r="X53" i="67" s="1"/>
  <c r="J53" i="67"/>
  <c r="W53" i="67" s="1"/>
  <c r="X52" i="67"/>
  <c r="AD52" i="67"/>
  <c r="L52" i="67"/>
  <c r="Y52" i="67" s="1"/>
  <c r="K52" i="67"/>
  <c r="J52" i="67"/>
  <c r="W52" i="67" s="1"/>
  <c r="Y51" i="67"/>
  <c r="AD51" i="67"/>
  <c r="L51" i="67"/>
  <c r="K51" i="67"/>
  <c r="X51" i="67" s="1"/>
  <c r="J51" i="67"/>
  <c r="W51" i="67" s="1"/>
  <c r="AD50" i="67"/>
  <c r="L50" i="67"/>
  <c r="Y50" i="67" s="1"/>
  <c r="K50" i="67"/>
  <c r="X50" i="67" s="1"/>
  <c r="F50" i="67"/>
  <c r="Y49" i="67"/>
  <c r="AD49" i="67"/>
  <c r="L49" i="67"/>
  <c r="K49" i="67"/>
  <c r="X49" i="67" s="1"/>
  <c r="X48" i="67"/>
  <c r="AD48" i="67"/>
  <c r="L48" i="67"/>
  <c r="Y48" i="67" s="1"/>
  <c r="K48" i="67"/>
  <c r="Y47" i="67"/>
  <c r="AD47" i="67"/>
  <c r="L47" i="67"/>
  <c r="K47" i="67"/>
  <c r="X47" i="67" s="1"/>
  <c r="F47" i="67"/>
  <c r="Y46" i="67"/>
  <c r="X46" i="67"/>
  <c r="AD46" i="67"/>
  <c r="L46" i="67"/>
  <c r="K46" i="67"/>
  <c r="F46" i="67"/>
  <c r="AD45" i="67"/>
  <c r="X45" i="67"/>
  <c r="L45" i="67"/>
  <c r="Y45" i="67" s="1"/>
  <c r="K45" i="67"/>
  <c r="J45" i="67"/>
  <c r="N45" i="67" s="1"/>
  <c r="Q45" i="67" s="1"/>
  <c r="F45" i="67"/>
  <c r="Y44" i="67"/>
  <c r="AD44" i="67"/>
  <c r="L44" i="67"/>
  <c r="K44" i="67"/>
  <c r="X44" i="67" s="1"/>
  <c r="F44" i="67"/>
  <c r="AD43" i="67"/>
  <c r="L43" i="67"/>
  <c r="Y43" i="67" s="1"/>
  <c r="K43" i="67"/>
  <c r="X43" i="67" s="1"/>
  <c r="AD42" i="67"/>
  <c r="L42" i="67"/>
  <c r="Y42" i="67" s="1"/>
  <c r="K42" i="67"/>
  <c r="X42" i="67" s="1"/>
  <c r="J42" i="67"/>
  <c r="W42" i="67" s="1"/>
  <c r="X41" i="67"/>
  <c r="AD41" i="67"/>
  <c r="L41" i="67"/>
  <c r="Y41" i="67" s="1"/>
  <c r="K41" i="67"/>
  <c r="J41" i="67"/>
  <c r="N41" i="67" s="1"/>
  <c r="Y40" i="67"/>
  <c r="AD40" i="67"/>
  <c r="L40" i="67"/>
  <c r="K40" i="67"/>
  <c r="X40" i="67" s="1"/>
  <c r="F40" i="67"/>
  <c r="AD39" i="67"/>
  <c r="L39" i="67"/>
  <c r="Y39" i="67" s="1"/>
  <c r="K39" i="67"/>
  <c r="X39" i="67" s="1"/>
  <c r="AD38" i="67"/>
  <c r="L38" i="67"/>
  <c r="Y38" i="67" s="1"/>
  <c r="K38" i="67"/>
  <c r="X38" i="67" s="1"/>
  <c r="J38" i="67"/>
  <c r="W38" i="67" s="1"/>
  <c r="X37" i="67"/>
  <c r="AD37" i="67"/>
  <c r="L37" i="67"/>
  <c r="Y37" i="67" s="1"/>
  <c r="K37" i="67"/>
  <c r="J37" i="67"/>
  <c r="N37" i="67" s="1"/>
  <c r="Y36" i="67"/>
  <c r="AD36" i="67"/>
  <c r="L36" i="67"/>
  <c r="K36" i="67"/>
  <c r="X36" i="67" s="1"/>
  <c r="J36" i="67"/>
  <c r="AD35" i="67"/>
  <c r="L35" i="67"/>
  <c r="Y35" i="67" s="1"/>
  <c r="K35" i="67"/>
  <c r="X35" i="67" s="1"/>
  <c r="AD34" i="67"/>
  <c r="L34" i="67"/>
  <c r="Y34" i="67" s="1"/>
  <c r="K34" i="67"/>
  <c r="X34" i="67" s="1"/>
  <c r="J34" i="67"/>
  <c r="W34" i="67" s="1"/>
  <c r="X33" i="67"/>
  <c r="AD33" i="67"/>
  <c r="L33" i="67"/>
  <c r="Y33" i="67" s="1"/>
  <c r="K33" i="67"/>
  <c r="F33" i="67"/>
  <c r="Y32" i="67"/>
  <c r="AD32" i="67"/>
  <c r="L32" i="67"/>
  <c r="K32" i="67"/>
  <c r="X32" i="67" s="1"/>
  <c r="J32" i="67"/>
  <c r="AD31" i="67"/>
  <c r="L31" i="67"/>
  <c r="Y31" i="67" s="1"/>
  <c r="K31" i="67"/>
  <c r="X31" i="67" s="1"/>
  <c r="AD30" i="67"/>
  <c r="L30" i="67"/>
  <c r="Y30" i="67" s="1"/>
  <c r="K30" i="67"/>
  <c r="X30" i="67" s="1"/>
  <c r="J30" i="67"/>
  <c r="W30" i="67" s="1"/>
  <c r="X29" i="67"/>
  <c r="AD29" i="67"/>
  <c r="L29" i="67"/>
  <c r="Y29" i="67" s="1"/>
  <c r="K29" i="67"/>
  <c r="J29" i="67"/>
  <c r="N29" i="67" s="1"/>
  <c r="F29" i="67"/>
  <c r="Y28" i="67"/>
  <c r="AD28" i="67"/>
  <c r="L28" i="67"/>
  <c r="K28" i="67"/>
  <c r="X28" i="67" s="1"/>
  <c r="J28" i="67"/>
  <c r="AD27" i="67"/>
  <c r="L27" i="67"/>
  <c r="Y27" i="67" s="1"/>
  <c r="K27" i="67"/>
  <c r="X27" i="67" s="1"/>
  <c r="AD26" i="67"/>
  <c r="L26" i="67"/>
  <c r="Y26" i="67" s="1"/>
  <c r="K26" i="67"/>
  <c r="X26" i="67" s="1"/>
  <c r="F26" i="67"/>
  <c r="J26" i="67"/>
  <c r="W26" i="67" s="1"/>
  <c r="X25" i="67"/>
  <c r="AD25" i="67"/>
  <c r="L25" i="67"/>
  <c r="Y25" i="67" s="1"/>
  <c r="K25" i="67"/>
  <c r="J25" i="67"/>
  <c r="N25" i="67" s="1"/>
  <c r="Y24" i="67"/>
  <c r="AD24" i="67"/>
  <c r="L24" i="67"/>
  <c r="K24" i="67"/>
  <c r="X24" i="67" s="1"/>
  <c r="F24" i="67"/>
  <c r="AD23" i="67"/>
  <c r="L23" i="67"/>
  <c r="Y23" i="67" s="1"/>
  <c r="K23" i="67"/>
  <c r="X23" i="67" s="1"/>
  <c r="AD22" i="67"/>
  <c r="L22" i="67"/>
  <c r="Y22" i="67" s="1"/>
  <c r="K22" i="67"/>
  <c r="X22" i="67" s="1"/>
  <c r="J22" i="67"/>
  <c r="W22" i="67" s="1"/>
  <c r="X21" i="67"/>
  <c r="AD21" i="67"/>
  <c r="L21" i="67"/>
  <c r="Y21" i="67" s="1"/>
  <c r="K21" i="67"/>
  <c r="J21" i="67"/>
  <c r="N21" i="67" s="1"/>
  <c r="Y20" i="67"/>
  <c r="AD20" i="67"/>
  <c r="L20" i="67"/>
  <c r="K20" i="67"/>
  <c r="X20" i="67" s="1"/>
  <c r="J20" i="67"/>
  <c r="AD19" i="67"/>
  <c r="L19" i="67"/>
  <c r="Y19" i="67" s="1"/>
  <c r="K19" i="67"/>
  <c r="X19" i="67" s="1"/>
  <c r="AD18" i="67"/>
  <c r="L18" i="67"/>
  <c r="Y18" i="67" s="1"/>
  <c r="K18" i="67"/>
  <c r="X18" i="67" s="1"/>
  <c r="J18" i="67"/>
  <c r="W18" i="67" s="1"/>
  <c r="X17" i="67"/>
  <c r="AD17" i="67"/>
  <c r="L17" i="67"/>
  <c r="Y17" i="67" s="1"/>
  <c r="K17" i="67"/>
  <c r="F17" i="67"/>
  <c r="Y16" i="67"/>
  <c r="AD16" i="67"/>
  <c r="L16" i="67"/>
  <c r="K16" i="67"/>
  <c r="X16" i="67" s="1"/>
  <c r="J16" i="67"/>
  <c r="AD15" i="67"/>
  <c r="L15" i="67"/>
  <c r="Y15" i="67" s="1"/>
  <c r="K15" i="67"/>
  <c r="X15" i="67" s="1"/>
  <c r="AD14" i="67"/>
  <c r="L14" i="67"/>
  <c r="Y14" i="67" s="1"/>
  <c r="K14" i="67"/>
  <c r="X14" i="67" s="1"/>
  <c r="J14" i="67"/>
  <c r="W14" i="67" s="1"/>
  <c r="X13" i="67"/>
  <c r="AD13" i="67"/>
  <c r="L13" i="67"/>
  <c r="Y13" i="67" s="1"/>
  <c r="K13" i="67"/>
  <c r="J13" i="67"/>
  <c r="Y12" i="67"/>
  <c r="AD12" i="67"/>
  <c r="L12" i="67"/>
  <c r="K12" i="67"/>
  <c r="X12" i="67" s="1"/>
  <c r="F12" i="67"/>
  <c r="AD11" i="67"/>
  <c r="L11" i="67"/>
  <c r="Y11" i="67" s="1"/>
  <c r="K11" i="67"/>
  <c r="X11" i="67" s="1"/>
  <c r="F11" i="67"/>
  <c r="X10" i="67"/>
  <c r="AD10" i="67"/>
  <c r="L10" i="67"/>
  <c r="Y10" i="67" s="1"/>
  <c r="K10" i="67"/>
  <c r="J10" i="67"/>
  <c r="Y9" i="67"/>
  <c r="X9" i="67"/>
  <c r="AD9" i="67"/>
  <c r="L9" i="67"/>
  <c r="K9" i="67"/>
  <c r="J9" i="67"/>
  <c r="W9" i="67" s="1"/>
  <c r="Y8" i="67"/>
  <c r="AD8" i="67"/>
  <c r="L8" i="67"/>
  <c r="K8" i="67"/>
  <c r="X8" i="67" s="1"/>
  <c r="J8" i="67"/>
  <c r="AD7" i="67"/>
  <c r="L7" i="67"/>
  <c r="K7" i="67"/>
  <c r="X7" i="67" s="1"/>
  <c r="AC5" i="67"/>
  <c r="E4" i="67"/>
  <c r="E119" i="67" s="1"/>
  <c r="D3" i="67"/>
  <c r="D118" i="67" s="1"/>
  <c r="C1" i="67"/>
  <c r="C102" i="69"/>
  <c r="C5" i="69"/>
  <c r="E2" i="69"/>
  <c r="C102" i="70"/>
  <c r="D95" i="70"/>
  <c r="D93" i="70"/>
  <c r="D91" i="70"/>
  <c r="D89" i="70"/>
  <c r="D87" i="70"/>
  <c r="D85" i="70"/>
  <c r="C80" i="70"/>
  <c r="D78" i="70"/>
  <c r="D77" i="70"/>
  <c r="D76" i="70"/>
  <c r="D75" i="70"/>
  <c r="D74" i="70"/>
  <c r="D73" i="70"/>
  <c r="D72" i="70"/>
  <c r="D71" i="70"/>
  <c r="D70" i="70"/>
  <c r="D69" i="70"/>
  <c r="D68" i="70"/>
  <c r="D67" i="70"/>
  <c r="D66" i="70"/>
  <c r="D65" i="70"/>
  <c r="D64" i="70"/>
  <c r="D63" i="70"/>
  <c r="D62" i="70"/>
  <c r="D61" i="70"/>
  <c r="D60" i="70"/>
  <c r="D59" i="70"/>
  <c r="D58" i="70"/>
  <c r="D57" i="70"/>
  <c r="D56" i="70"/>
  <c r="D55" i="70"/>
  <c r="D54" i="70"/>
  <c r="D53" i="70"/>
  <c r="D52" i="70"/>
  <c r="D51" i="70"/>
  <c r="D50" i="70"/>
  <c r="D49" i="70"/>
  <c r="D48" i="70"/>
  <c r="D47" i="70"/>
  <c r="D46" i="70"/>
  <c r="D45" i="70"/>
  <c r="D44" i="70"/>
  <c r="D43" i="70"/>
  <c r="D42" i="70"/>
  <c r="D41" i="70"/>
  <c r="D40" i="70"/>
  <c r="D39" i="70"/>
  <c r="D38" i="70"/>
  <c r="D37" i="70"/>
  <c r="D36" i="70"/>
  <c r="D35" i="70"/>
  <c r="D34" i="70"/>
  <c r="D33" i="70"/>
  <c r="D32" i="70"/>
  <c r="D31" i="70"/>
  <c r="D30" i="70"/>
  <c r="D29" i="70"/>
  <c r="D28" i="70"/>
  <c r="D27" i="70"/>
  <c r="D26" i="70"/>
  <c r="D25" i="70"/>
  <c r="D24" i="70"/>
  <c r="D23" i="70"/>
  <c r="D22" i="70"/>
  <c r="D21" i="70"/>
  <c r="D20" i="70"/>
  <c r="D19" i="70"/>
  <c r="D18" i="70"/>
  <c r="D17" i="70"/>
  <c r="D16" i="70"/>
  <c r="D15" i="70"/>
  <c r="D14" i="70"/>
  <c r="D13" i="70"/>
  <c r="D12" i="70"/>
  <c r="D11" i="70"/>
  <c r="D10" i="70"/>
  <c r="D9" i="70"/>
  <c r="D8" i="70"/>
  <c r="D7" i="70"/>
  <c r="D80" i="70" s="1"/>
  <c r="D2" i="70"/>
  <c r="D100" i="70" s="1"/>
  <c r="D102" i="70" s="1"/>
  <c r="D101" i="71"/>
  <c r="C101" i="71"/>
  <c r="F95" i="71"/>
  <c r="F91" i="71"/>
  <c r="F87" i="71"/>
  <c r="F83" i="71"/>
  <c r="I78" i="71"/>
  <c r="F78" i="71"/>
  <c r="I77" i="71"/>
  <c r="F77" i="71"/>
  <c r="I76" i="71"/>
  <c r="F76" i="71"/>
  <c r="I75" i="71"/>
  <c r="F75" i="71"/>
  <c r="I74" i="71"/>
  <c r="F74" i="71"/>
  <c r="I73" i="71"/>
  <c r="F73" i="71"/>
  <c r="I72" i="71"/>
  <c r="F72" i="71"/>
  <c r="I71" i="71"/>
  <c r="F71" i="71"/>
  <c r="I70" i="71"/>
  <c r="F70" i="71"/>
  <c r="I69" i="71"/>
  <c r="F69" i="71"/>
  <c r="I68" i="71"/>
  <c r="F68" i="71"/>
  <c r="I67" i="71"/>
  <c r="F67" i="71"/>
  <c r="I66" i="71"/>
  <c r="F66" i="71"/>
  <c r="I65" i="71"/>
  <c r="F65" i="71"/>
  <c r="I64" i="71"/>
  <c r="F64" i="71"/>
  <c r="I63" i="71"/>
  <c r="F63" i="71"/>
  <c r="I62" i="71"/>
  <c r="F62" i="71"/>
  <c r="I61" i="71"/>
  <c r="F61" i="71"/>
  <c r="I60" i="71"/>
  <c r="F60" i="71"/>
  <c r="I59" i="71"/>
  <c r="F59" i="71"/>
  <c r="I58" i="71"/>
  <c r="F58" i="71"/>
  <c r="I57" i="71"/>
  <c r="F57" i="71"/>
  <c r="I56" i="71"/>
  <c r="F56" i="71"/>
  <c r="I55" i="71"/>
  <c r="F55" i="71"/>
  <c r="I54" i="71"/>
  <c r="F54" i="71"/>
  <c r="I53" i="71"/>
  <c r="F53" i="71"/>
  <c r="I52" i="71"/>
  <c r="F52" i="71"/>
  <c r="I51" i="71"/>
  <c r="F51" i="71"/>
  <c r="I50" i="71"/>
  <c r="F50" i="71"/>
  <c r="I49" i="71"/>
  <c r="F49" i="71"/>
  <c r="I48" i="71"/>
  <c r="F48" i="71"/>
  <c r="I47" i="71"/>
  <c r="F47" i="71"/>
  <c r="I46" i="71"/>
  <c r="F46" i="71"/>
  <c r="I45" i="71"/>
  <c r="F45" i="71"/>
  <c r="I44" i="71"/>
  <c r="F44" i="71"/>
  <c r="I43" i="71"/>
  <c r="F43" i="71"/>
  <c r="I42" i="71"/>
  <c r="F42" i="71"/>
  <c r="I41" i="71"/>
  <c r="F41" i="71"/>
  <c r="I40" i="71"/>
  <c r="F40" i="71"/>
  <c r="I39" i="71"/>
  <c r="F39" i="71"/>
  <c r="I38" i="71"/>
  <c r="F38" i="71"/>
  <c r="I37" i="71"/>
  <c r="F37" i="71"/>
  <c r="I36" i="71"/>
  <c r="F36" i="71"/>
  <c r="I35" i="71"/>
  <c r="F35" i="71"/>
  <c r="I34" i="71"/>
  <c r="F34" i="71"/>
  <c r="I33" i="71"/>
  <c r="F33" i="71"/>
  <c r="I32" i="71"/>
  <c r="F32" i="71"/>
  <c r="I31" i="71"/>
  <c r="F31" i="71"/>
  <c r="I30" i="71"/>
  <c r="F30" i="71"/>
  <c r="I29" i="71"/>
  <c r="F29" i="71"/>
  <c r="I28" i="71"/>
  <c r="F28" i="71"/>
  <c r="I27" i="71"/>
  <c r="F27" i="71"/>
  <c r="I26" i="71"/>
  <c r="F26" i="71"/>
  <c r="I25" i="71"/>
  <c r="F25" i="71"/>
  <c r="I24" i="71"/>
  <c r="F24" i="71"/>
  <c r="I23" i="71"/>
  <c r="F23" i="71"/>
  <c r="I22" i="71"/>
  <c r="F22" i="71"/>
  <c r="I21" i="71"/>
  <c r="F21" i="71"/>
  <c r="I20" i="71"/>
  <c r="F20" i="71"/>
  <c r="I19" i="71"/>
  <c r="F19" i="71"/>
  <c r="I18" i="71"/>
  <c r="F18" i="71"/>
  <c r="I17" i="71"/>
  <c r="F17" i="71"/>
  <c r="I16" i="71"/>
  <c r="F16" i="71"/>
  <c r="I15" i="71"/>
  <c r="F15" i="71"/>
  <c r="I14" i="71"/>
  <c r="F14" i="71"/>
  <c r="I13" i="71"/>
  <c r="F13" i="71"/>
  <c r="I12" i="71"/>
  <c r="F12" i="71"/>
  <c r="I11" i="71"/>
  <c r="E11" i="71"/>
  <c r="I10" i="71"/>
  <c r="F10" i="71"/>
  <c r="I9" i="71"/>
  <c r="E9" i="71"/>
  <c r="I8" i="71"/>
  <c r="F8" i="71"/>
  <c r="I7" i="71"/>
  <c r="E2" i="71"/>
  <c r="E1" i="71"/>
  <c r="E125" i="72"/>
  <c r="F123" i="72"/>
  <c r="E123" i="72"/>
  <c r="H120" i="72"/>
  <c r="H119" i="72"/>
  <c r="H118" i="72"/>
  <c r="D101" i="72"/>
  <c r="C101" i="72"/>
  <c r="E94" i="72"/>
  <c r="E89" i="72"/>
  <c r="E86" i="72"/>
  <c r="E78" i="72"/>
  <c r="E74" i="72"/>
  <c r="E70" i="72"/>
  <c r="E66" i="72"/>
  <c r="E62" i="72"/>
  <c r="E58" i="72"/>
  <c r="E54" i="72"/>
  <c r="E50" i="72"/>
  <c r="E46" i="72"/>
  <c r="E42" i="72"/>
  <c r="E38" i="72"/>
  <c r="E35" i="72"/>
  <c r="E34" i="72"/>
  <c r="E33" i="72"/>
  <c r="E31" i="72"/>
  <c r="E30" i="72"/>
  <c r="E29" i="72"/>
  <c r="E27" i="72"/>
  <c r="E26" i="72"/>
  <c r="E21" i="72"/>
  <c r="E16" i="72"/>
  <c r="E11" i="72"/>
  <c r="E9" i="72"/>
  <c r="E8" i="72"/>
  <c r="F2" i="72"/>
  <c r="F99" i="72" s="1"/>
  <c r="E1" i="72"/>
  <c r="C101" i="73"/>
  <c r="C99" i="73"/>
  <c r="C94" i="73"/>
  <c r="C92" i="73"/>
  <c r="C91" i="73"/>
  <c r="C90" i="73"/>
  <c r="C89" i="73"/>
  <c r="C88" i="73"/>
  <c r="C87" i="73"/>
  <c r="C86" i="73"/>
  <c r="C85" i="73"/>
  <c r="C84" i="73"/>
  <c r="C83" i="73"/>
  <c r="C82" i="73"/>
  <c r="C97" i="73" s="1"/>
  <c r="C103" i="73" s="1"/>
  <c r="C77" i="73"/>
  <c r="C76" i="73"/>
  <c r="C75" i="73"/>
  <c r="C74" i="73"/>
  <c r="C73" i="73"/>
  <c r="C72" i="73"/>
  <c r="C71" i="73"/>
  <c r="C70" i="73"/>
  <c r="C69" i="73"/>
  <c r="C68" i="73"/>
  <c r="C67" i="73"/>
  <c r="C66" i="73"/>
  <c r="C65" i="73"/>
  <c r="C64" i="73"/>
  <c r="C63" i="73"/>
  <c r="C62" i="73"/>
  <c r="C61" i="73"/>
  <c r="C60" i="73"/>
  <c r="C59" i="73"/>
  <c r="C58" i="73"/>
  <c r="C57" i="73"/>
  <c r="C56" i="73"/>
  <c r="C55" i="73"/>
  <c r="C54" i="73"/>
  <c r="C53" i="73"/>
  <c r="C52" i="73"/>
  <c r="C51" i="73"/>
  <c r="C50" i="73"/>
  <c r="C49" i="73"/>
  <c r="C48" i="73"/>
  <c r="C47" i="73"/>
  <c r="C46" i="73"/>
  <c r="C45" i="73"/>
  <c r="C44" i="73"/>
  <c r="C43" i="73"/>
  <c r="C42" i="73"/>
  <c r="C41" i="73"/>
  <c r="C40" i="73"/>
  <c r="C39" i="73"/>
  <c r="C38" i="73"/>
  <c r="C37" i="73"/>
  <c r="C36" i="73"/>
  <c r="C35" i="73"/>
  <c r="C34" i="73"/>
  <c r="C33" i="73"/>
  <c r="C32" i="73"/>
  <c r="C31" i="73"/>
  <c r="C30" i="73"/>
  <c r="C29" i="73"/>
  <c r="C28" i="73"/>
  <c r="C27" i="73"/>
  <c r="C26" i="73"/>
  <c r="C25" i="73"/>
  <c r="C24" i="73"/>
  <c r="C23" i="73"/>
  <c r="C22" i="73"/>
  <c r="C21" i="73"/>
  <c r="C20" i="73"/>
  <c r="C19" i="73"/>
  <c r="C18" i="73"/>
  <c r="C17" i="73"/>
  <c r="C16" i="73"/>
  <c r="C15" i="73"/>
  <c r="C14" i="73"/>
  <c r="C13" i="73"/>
  <c r="C12" i="73"/>
  <c r="C11" i="73"/>
  <c r="C10" i="73"/>
  <c r="C9" i="73"/>
  <c r="C8" i="73"/>
  <c r="C7" i="73"/>
  <c r="C80" i="73" s="1"/>
  <c r="C101" i="74"/>
  <c r="C103" i="74" s="1"/>
  <c r="C97" i="74"/>
  <c r="C80" i="74"/>
  <c r="C102" i="75"/>
  <c r="C87" i="75"/>
  <c r="C98" i="75" s="1"/>
  <c r="C83" i="75"/>
  <c r="C64" i="75"/>
  <c r="C40" i="75"/>
  <c r="C80" i="75" s="1"/>
  <c r="C38" i="75"/>
  <c r="B122" i="76"/>
  <c r="U91" i="76" s="1"/>
  <c r="N118" i="76"/>
  <c r="N121" i="76" s="1"/>
  <c r="H118" i="76"/>
  <c r="H121" i="76" s="1"/>
  <c r="P116" i="76"/>
  <c r="O116" i="76"/>
  <c r="N116" i="76"/>
  <c r="M116" i="76"/>
  <c r="L116" i="76"/>
  <c r="J116" i="76"/>
  <c r="J118" i="76" s="1"/>
  <c r="J121" i="76" s="1"/>
  <c r="H116" i="76"/>
  <c r="G116" i="76"/>
  <c r="E114" i="76"/>
  <c r="E116" i="76" s="1"/>
  <c r="P112" i="76"/>
  <c r="P118" i="76" s="1"/>
  <c r="P121" i="76" s="1"/>
  <c r="O112" i="76"/>
  <c r="N112" i="76"/>
  <c r="M112" i="76"/>
  <c r="M118" i="76" s="1"/>
  <c r="M121" i="76" s="1"/>
  <c r="L112" i="76"/>
  <c r="L118" i="76" s="1"/>
  <c r="L121" i="76" s="1"/>
  <c r="J112" i="76"/>
  <c r="H112" i="76"/>
  <c r="G112" i="76"/>
  <c r="G118" i="76" s="1"/>
  <c r="G121" i="76" s="1"/>
  <c r="E110" i="76"/>
  <c r="E109" i="76"/>
  <c r="E108" i="76"/>
  <c r="E107" i="76"/>
  <c r="E106" i="76"/>
  <c r="E105" i="76"/>
  <c r="E104" i="76"/>
  <c r="E103" i="76"/>
  <c r="E102" i="76"/>
  <c r="E101" i="76"/>
  <c r="E100" i="76"/>
  <c r="E99" i="76"/>
  <c r="E98" i="76"/>
  <c r="E97" i="76"/>
  <c r="E96" i="76"/>
  <c r="E95" i="76"/>
  <c r="E112" i="76" s="1"/>
  <c r="E118" i="76" s="1"/>
  <c r="E121" i="76" s="1"/>
  <c r="U93" i="76"/>
  <c r="P93" i="76"/>
  <c r="O93" i="76"/>
  <c r="N93" i="76"/>
  <c r="M93" i="76"/>
  <c r="L93" i="76"/>
  <c r="K93" i="76"/>
  <c r="J93" i="76"/>
  <c r="H93" i="76"/>
  <c r="G93" i="76"/>
  <c r="U92" i="76"/>
  <c r="V91" i="76"/>
  <c r="E91" i="76"/>
  <c r="V90" i="76"/>
  <c r="U90" i="76"/>
  <c r="E90" i="76"/>
  <c r="U89" i="76"/>
  <c r="E89" i="76"/>
  <c r="E88" i="76"/>
  <c r="V87" i="76"/>
  <c r="E87" i="76"/>
  <c r="V86" i="76"/>
  <c r="U86" i="76"/>
  <c r="E86" i="76"/>
  <c r="U85" i="76"/>
  <c r="E85" i="76"/>
  <c r="E84" i="76"/>
  <c r="V83" i="76"/>
  <c r="E83" i="76"/>
  <c r="V82" i="76"/>
  <c r="U82" i="76"/>
  <c r="E82" i="76"/>
  <c r="U81" i="76"/>
  <c r="E81" i="76"/>
  <c r="E80" i="76"/>
  <c r="V79" i="76"/>
  <c r="E79" i="76"/>
  <c r="V78" i="76"/>
  <c r="U78" i="76"/>
  <c r="E78" i="76"/>
  <c r="U77" i="76"/>
  <c r="E77" i="76"/>
  <c r="E76" i="76"/>
  <c r="V75" i="76"/>
  <c r="E75" i="76"/>
  <c r="V74" i="76"/>
  <c r="U74" i="76"/>
  <c r="E74" i="76"/>
  <c r="U73" i="76"/>
  <c r="E73" i="76"/>
  <c r="E72" i="76"/>
  <c r="V71" i="76"/>
  <c r="E71" i="76"/>
  <c r="V70" i="76"/>
  <c r="U70" i="76"/>
  <c r="E70" i="76"/>
  <c r="U69" i="76"/>
  <c r="E69" i="76"/>
  <c r="E68" i="76"/>
  <c r="V67" i="76"/>
  <c r="E67" i="76"/>
  <c r="V66" i="76"/>
  <c r="U66" i="76"/>
  <c r="E66" i="76"/>
  <c r="U65" i="76"/>
  <c r="E65" i="76"/>
  <c r="E64" i="76"/>
  <c r="V63" i="76"/>
  <c r="E63" i="76"/>
  <c r="V62" i="76"/>
  <c r="U62" i="76"/>
  <c r="E62" i="76"/>
  <c r="U61" i="76"/>
  <c r="E61" i="76"/>
  <c r="E60" i="76"/>
  <c r="V59" i="76"/>
  <c r="E59" i="76"/>
  <c r="V58" i="76"/>
  <c r="U58" i="76"/>
  <c r="E58" i="76"/>
  <c r="U57" i="76"/>
  <c r="E57" i="76"/>
  <c r="E56" i="76"/>
  <c r="V55" i="76"/>
  <c r="E55" i="76"/>
  <c r="V54" i="76"/>
  <c r="U54" i="76"/>
  <c r="E54" i="76"/>
  <c r="U53" i="76"/>
  <c r="E53" i="76"/>
  <c r="E52" i="76"/>
  <c r="V51" i="76"/>
  <c r="E51" i="76"/>
  <c r="V50" i="76"/>
  <c r="U50" i="76"/>
  <c r="E50" i="76"/>
  <c r="U49" i="76"/>
  <c r="E49" i="76"/>
  <c r="E48" i="76"/>
  <c r="V47" i="76"/>
  <c r="E47" i="76"/>
  <c r="V46" i="76"/>
  <c r="U46" i="76"/>
  <c r="E46" i="76"/>
  <c r="U45" i="76"/>
  <c r="E45" i="76"/>
  <c r="E44" i="76"/>
  <c r="V43" i="76"/>
  <c r="E43" i="76"/>
  <c r="V42" i="76"/>
  <c r="U42" i="76"/>
  <c r="E42" i="76"/>
  <c r="U41" i="76"/>
  <c r="E41" i="76"/>
  <c r="E40" i="76"/>
  <c r="V39" i="76"/>
  <c r="E39" i="76"/>
  <c r="V38" i="76"/>
  <c r="U38" i="76"/>
  <c r="E38" i="76"/>
  <c r="U37" i="76"/>
  <c r="E37" i="76"/>
  <c r="E36" i="76"/>
  <c r="V35" i="76"/>
  <c r="E35" i="76"/>
  <c r="V34" i="76"/>
  <c r="U34" i="76"/>
  <c r="E34" i="76"/>
  <c r="U33" i="76"/>
  <c r="E33" i="76"/>
  <c r="E32" i="76"/>
  <c r="V31" i="76"/>
  <c r="E31" i="76"/>
  <c r="V30" i="76"/>
  <c r="U30" i="76"/>
  <c r="E30" i="76"/>
  <c r="U29" i="76"/>
  <c r="E29" i="76"/>
  <c r="E28" i="76"/>
  <c r="V27" i="76"/>
  <c r="E27" i="76"/>
  <c r="V26" i="76"/>
  <c r="U26" i="76"/>
  <c r="E26" i="76"/>
  <c r="U25" i="76"/>
  <c r="E25" i="76"/>
  <c r="E24" i="76"/>
  <c r="V23" i="76"/>
  <c r="E23" i="76"/>
  <c r="V22" i="76"/>
  <c r="U22" i="76"/>
  <c r="E22" i="76"/>
  <c r="U21" i="76"/>
  <c r="E21" i="76"/>
  <c r="E20" i="76"/>
  <c r="V19" i="76"/>
  <c r="E19" i="76"/>
  <c r="E93" i="76" s="1"/>
  <c r="V18" i="76"/>
  <c r="U18" i="76"/>
  <c r="P17" i="76"/>
  <c r="O17" i="76"/>
  <c r="O118" i="76" s="1"/>
  <c r="O121" i="76" s="1"/>
  <c r="N17" i="76"/>
  <c r="M17" i="76"/>
  <c r="L17" i="76"/>
  <c r="K17" i="76"/>
  <c r="K121" i="76" s="1"/>
  <c r="J17" i="76"/>
  <c r="H17" i="76"/>
  <c r="G17" i="76"/>
  <c r="V15" i="76"/>
  <c r="U15" i="76"/>
  <c r="E15" i="76"/>
  <c r="U14" i="76"/>
  <c r="E14" i="76"/>
  <c r="E13" i="76"/>
  <c r="V12" i="76"/>
  <c r="E12" i="76"/>
  <c r="V11" i="76"/>
  <c r="U11" i="76"/>
  <c r="E11" i="76"/>
  <c r="U10" i="76"/>
  <c r="E10" i="76"/>
  <c r="E17" i="76" s="1"/>
  <c r="U9" i="76"/>
  <c r="E9" i="76"/>
  <c r="V8" i="76"/>
  <c r="E8" i="76"/>
  <c r="P115" i="65" l="1"/>
  <c r="J115" i="65"/>
  <c r="J121" i="65" s="1"/>
  <c r="R115" i="65"/>
  <c r="R121" i="65" s="1"/>
  <c r="F115" i="65"/>
  <c r="F121" i="65" s="1"/>
  <c r="X115" i="65"/>
  <c r="X121" i="65" s="1"/>
  <c r="Q115" i="65"/>
  <c r="Q121" i="65" s="1"/>
  <c r="P117" i="65"/>
  <c r="D104" i="68"/>
  <c r="G106" i="68"/>
  <c r="O97" i="68"/>
  <c r="C106" i="68"/>
  <c r="O101" i="68"/>
  <c r="H104" i="68"/>
  <c r="H106" i="68"/>
  <c r="H116" i="68"/>
  <c r="P119" i="67"/>
  <c r="J24" i="67"/>
  <c r="Z170" i="64"/>
  <c r="F13" i="67"/>
  <c r="Q25" i="67"/>
  <c r="J40" i="67"/>
  <c r="J12" i="67"/>
  <c r="J17" i="67"/>
  <c r="N17" i="67" s="1"/>
  <c r="Q17" i="67" s="1"/>
  <c r="F21" i="67"/>
  <c r="J33" i="67"/>
  <c r="F38" i="67"/>
  <c r="J60" i="67"/>
  <c r="N60" i="67" s="1"/>
  <c r="Q60" i="67" s="1"/>
  <c r="J68" i="67"/>
  <c r="N68" i="67" s="1"/>
  <c r="Q68" i="67" s="1"/>
  <c r="F71" i="67"/>
  <c r="F73" i="67"/>
  <c r="J98" i="67"/>
  <c r="F83" i="67"/>
  <c r="F91" i="67"/>
  <c r="F99" i="71"/>
  <c r="F16" i="67"/>
  <c r="F25" i="67"/>
  <c r="F30" i="67"/>
  <c r="F32" i="67"/>
  <c r="J47" i="67"/>
  <c r="N47" i="67" s="1"/>
  <c r="Q47" i="67" s="1"/>
  <c r="F67" i="67"/>
  <c r="F93" i="64"/>
  <c r="J93" i="64"/>
  <c r="O93" i="64"/>
  <c r="C93" i="64"/>
  <c r="C188" i="64" s="1"/>
  <c r="C193" i="64" s="1"/>
  <c r="D123" i="64"/>
  <c r="H123" i="64"/>
  <c r="L123" i="64"/>
  <c r="E104" i="68"/>
  <c r="C80" i="71"/>
  <c r="J56" i="67"/>
  <c r="F59" i="67"/>
  <c r="F65" i="67"/>
  <c r="J72" i="67"/>
  <c r="E106" i="68"/>
  <c r="Q37" i="67"/>
  <c r="Q41" i="67"/>
  <c r="N10" i="67"/>
  <c r="Q10" i="67" s="1"/>
  <c r="W10" i="67"/>
  <c r="M10" i="67"/>
  <c r="N13" i="67"/>
  <c r="Q13" i="67" s="1"/>
  <c r="W13" i="67"/>
  <c r="C116" i="68"/>
  <c r="C97" i="72"/>
  <c r="F9" i="67"/>
  <c r="F10" i="67"/>
  <c r="F20" i="67"/>
  <c r="Q21" i="67"/>
  <c r="W21" i="67"/>
  <c r="F28" i="67"/>
  <c r="Q29" i="67"/>
  <c r="F37" i="67"/>
  <c r="F42" i="67"/>
  <c r="J44" i="67"/>
  <c r="N44" i="67" s="1"/>
  <c r="Q44" i="67" s="1"/>
  <c r="J50" i="67"/>
  <c r="F53" i="67"/>
  <c r="F57" i="67"/>
  <c r="F61" i="67"/>
  <c r="F63" i="67"/>
  <c r="J64" i="67"/>
  <c r="M64" i="67" s="1"/>
  <c r="F75" i="67"/>
  <c r="F77" i="67"/>
  <c r="J78" i="67"/>
  <c r="J113" i="67" s="1"/>
  <c r="F84" i="67"/>
  <c r="F89" i="67"/>
  <c r="F92" i="67"/>
  <c r="X95" i="67"/>
  <c r="F100" i="67"/>
  <c r="F102" i="67" s="1"/>
  <c r="AO99" i="64"/>
  <c r="AO101" i="64" s="1"/>
  <c r="M44" i="64"/>
  <c r="P44" i="64" s="1"/>
  <c r="AJ44" i="64" s="1"/>
  <c r="L93" i="64"/>
  <c r="M91" i="64"/>
  <c r="M110" i="64" s="1"/>
  <c r="P110" i="64" s="1"/>
  <c r="C113" i="72"/>
  <c r="D95" i="69"/>
  <c r="F36" i="67"/>
  <c r="F41" i="67"/>
  <c r="F51" i="67"/>
  <c r="F52" i="67"/>
  <c r="F55" i="67"/>
  <c r="F87" i="67"/>
  <c r="F95" i="67"/>
  <c r="P121" i="67"/>
  <c r="M62" i="64"/>
  <c r="P62" i="64" s="1"/>
  <c r="R62" i="64" s="1"/>
  <c r="Z62" i="64" s="1"/>
  <c r="I93" i="64"/>
  <c r="M88" i="64"/>
  <c r="P88" i="64" s="1"/>
  <c r="AP88" i="64" s="1"/>
  <c r="J103" i="68"/>
  <c r="J116" i="68" s="1"/>
  <c r="D80" i="71"/>
  <c r="D80" i="72"/>
  <c r="D113" i="72"/>
  <c r="C98" i="70"/>
  <c r="C104" i="70" s="1"/>
  <c r="C80" i="69"/>
  <c r="C98" i="69"/>
  <c r="F34" i="67"/>
  <c r="J46" i="67"/>
  <c r="J54" i="67"/>
  <c r="N54" i="67" s="1"/>
  <c r="Q54" i="67" s="1"/>
  <c r="F69" i="67"/>
  <c r="F85" i="67"/>
  <c r="F88" i="67"/>
  <c r="F93" i="67"/>
  <c r="AD102" i="67"/>
  <c r="E93" i="64"/>
  <c r="E188" i="64" s="1"/>
  <c r="E193" i="64" s="1"/>
  <c r="S75" i="64"/>
  <c r="S187" i="64" s="1"/>
  <c r="S192" i="64" s="1"/>
  <c r="M7" i="64"/>
  <c r="P7" i="64" s="1"/>
  <c r="AJ7" i="64" s="1"/>
  <c r="M17" i="64"/>
  <c r="P17" i="64" s="1"/>
  <c r="AJ17" i="64" s="1"/>
  <c r="K93" i="64"/>
  <c r="K188" i="64" s="1"/>
  <c r="K193" i="64" s="1"/>
  <c r="M48" i="64"/>
  <c r="P48" i="64" s="1"/>
  <c r="AJ48" i="64" s="1"/>
  <c r="M57" i="64"/>
  <c r="P57" i="64" s="1"/>
  <c r="AP57" i="64" s="1"/>
  <c r="M67" i="64"/>
  <c r="P67" i="64" s="1"/>
  <c r="AP67" i="64" s="1"/>
  <c r="M28" i="64"/>
  <c r="P28" i="64" s="1"/>
  <c r="AP28" i="64" s="1"/>
  <c r="M45" i="64"/>
  <c r="P45" i="64" s="1"/>
  <c r="AJ45" i="64" s="1"/>
  <c r="H93" i="64"/>
  <c r="M71" i="64"/>
  <c r="P71" i="64" s="1"/>
  <c r="AJ71" i="64" s="1"/>
  <c r="M25" i="64"/>
  <c r="P25" i="64" s="1"/>
  <c r="AP25" i="64" s="1"/>
  <c r="M8" i="64"/>
  <c r="P8" i="64" s="1"/>
  <c r="AP8" i="64" s="1"/>
  <c r="M10" i="64"/>
  <c r="P10" i="64" s="1"/>
  <c r="AJ10" i="64" s="1"/>
  <c r="M20" i="64"/>
  <c r="P20" i="64" s="1"/>
  <c r="AP20" i="64" s="1"/>
  <c r="M60" i="64"/>
  <c r="P60" i="64" s="1"/>
  <c r="AJ60" i="64" s="1"/>
  <c r="M33" i="64"/>
  <c r="P33" i="64" s="1"/>
  <c r="AP33" i="64" s="1"/>
  <c r="K103" i="68"/>
  <c r="M116" i="68"/>
  <c r="M105" i="68"/>
  <c r="O79" i="68"/>
  <c r="M6" i="64"/>
  <c r="P6" i="64" s="1"/>
  <c r="AJ6" i="64" s="1"/>
  <c r="M12" i="64"/>
  <c r="P12" i="64" s="1"/>
  <c r="AP12" i="64" s="1"/>
  <c r="M14" i="64"/>
  <c r="P14" i="64" s="1"/>
  <c r="R14" i="64" s="1"/>
  <c r="Z14" i="64" s="1"/>
  <c r="M18" i="64"/>
  <c r="P18" i="64" s="1"/>
  <c r="AP18" i="64" s="1"/>
  <c r="M29" i="64"/>
  <c r="P29" i="64" s="1"/>
  <c r="AP29" i="64" s="1"/>
  <c r="M43" i="64"/>
  <c r="P43" i="64" s="1"/>
  <c r="AP43" i="64" s="1"/>
  <c r="M3" i="64"/>
  <c r="P3" i="64" s="1"/>
  <c r="AJ3" i="64" s="1"/>
  <c r="M5" i="64"/>
  <c r="P5" i="64" s="1"/>
  <c r="AP5" i="64" s="1"/>
  <c r="M31" i="64"/>
  <c r="P31" i="64" s="1"/>
  <c r="AJ31" i="64" s="1"/>
  <c r="M42" i="64"/>
  <c r="P42" i="64" s="1"/>
  <c r="AP42" i="64" s="1"/>
  <c r="M52" i="64"/>
  <c r="P52" i="64" s="1"/>
  <c r="AJ52" i="64" s="1"/>
  <c r="M56" i="64"/>
  <c r="P56" i="64" s="1"/>
  <c r="M68" i="64"/>
  <c r="P68" i="64" s="1"/>
  <c r="AP68" i="64" s="1"/>
  <c r="M82" i="64"/>
  <c r="P82" i="64" s="1"/>
  <c r="AP82" i="64" s="1"/>
  <c r="M86" i="64"/>
  <c r="P86" i="64" s="1"/>
  <c r="AP86" i="64" s="1"/>
  <c r="M16" i="64"/>
  <c r="P16" i="64" s="1"/>
  <c r="AJ16" i="64" s="1"/>
  <c r="M41" i="64"/>
  <c r="P41" i="64" s="1"/>
  <c r="AJ41" i="64" s="1"/>
  <c r="M46" i="64"/>
  <c r="P46" i="64" s="1"/>
  <c r="AJ46" i="64" s="1"/>
  <c r="M53" i="64"/>
  <c r="P53" i="64" s="1"/>
  <c r="AJ53" i="64" s="1"/>
  <c r="M59" i="64"/>
  <c r="P59" i="64" s="1"/>
  <c r="AP59" i="64" s="1"/>
  <c r="M11" i="64"/>
  <c r="P11" i="64" s="1"/>
  <c r="AP11" i="64" s="1"/>
  <c r="M13" i="64"/>
  <c r="P13" i="64" s="1"/>
  <c r="AP13" i="64" s="1"/>
  <c r="M21" i="64"/>
  <c r="P21" i="64" s="1"/>
  <c r="AJ21" i="64" s="1"/>
  <c r="M34" i="64"/>
  <c r="P34" i="64" s="1"/>
  <c r="AP34" i="64" s="1"/>
  <c r="M36" i="64"/>
  <c r="P36" i="64" s="1"/>
  <c r="AJ36" i="64" s="1"/>
  <c r="M80" i="64"/>
  <c r="P80" i="64" s="1"/>
  <c r="AJ80" i="64" s="1"/>
  <c r="M84" i="64"/>
  <c r="P84" i="64" s="1"/>
  <c r="AP84" i="64" s="1"/>
  <c r="M4" i="64"/>
  <c r="P4" i="64" s="1"/>
  <c r="AJ4" i="64" s="1"/>
  <c r="AP10" i="64"/>
  <c r="M15" i="64"/>
  <c r="P15" i="64" s="1"/>
  <c r="AP15" i="64" s="1"/>
  <c r="M22" i="64"/>
  <c r="P22" i="64" s="1"/>
  <c r="AJ22" i="64" s="1"/>
  <c r="M54" i="64"/>
  <c r="P54" i="64" s="1"/>
  <c r="AP54" i="64" s="1"/>
  <c r="M55" i="64"/>
  <c r="P55" i="64" s="1"/>
  <c r="AP55" i="64" s="1"/>
  <c r="M58" i="64"/>
  <c r="P58" i="64" s="1"/>
  <c r="AP58" i="64" s="1"/>
  <c r="M61" i="64"/>
  <c r="P61" i="64" s="1"/>
  <c r="M66" i="64"/>
  <c r="P66" i="64" s="1"/>
  <c r="M69" i="64"/>
  <c r="P69" i="64" s="1"/>
  <c r="AJ69" i="64" s="1"/>
  <c r="D93" i="64"/>
  <c r="D188" i="64" s="1"/>
  <c r="D193" i="64" s="1"/>
  <c r="M89" i="64"/>
  <c r="P89" i="64" s="1"/>
  <c r="R89" i="64" s="1"/>
  <c r="Z89" i="64" s="1"/>
  <c r="AJ33" i="64"/>
  <c r="AJ18" i="64"/>
  <c r="P91" i="64"/>
  <c r="AP91" i="64" s="1"/>
  <c r="D202" i="64"/>
  <c r="D203" i="64" s="1"/>
  <c r="D75" i="64"/>
  <c r="D187" i="64" s="1"/>
  <c r="D192" i="64" s="1"/>
  <c r="H202" i="64"/>
  <c r="H203" i="64" s="1"/>
  <c r="H75" i="64"/>
  <c r="H187" i="64" s="1"/>
  <c r="H192" i="64" s="1"/>
  <c r="L202" i="64"/>
  <c r="L203" i="64" s="1"/>
  <c r="L75" i="64"/>
  <c r="L187" i="64" s="1"/>
  <c r="L192" i="64" s="1"/>
  <c r="M23" i="64"/>
  <c r="P23" i="64" s="1"/>
  <c r="AP23" i="64" s="1"/>
  <c r="M24" i="64"/>
  <c r="P24" i="64" s="1"/>
  <c r="M27" i="64"/>
  <c r="P27" i="64" s="1"/>
  <c r="AP27" i="64" s="1"/>
  <c r="M35" i="64"/>
  <c r="P35" i="64" s="1"/>
  <c r="AP35" i="64" s="1"/>
  <c r="M37" i="64"/>
  <c r="P37" i="64" s="1"/>
  <c r="M38" i="64"/>
  <c r="P38" i="64" s="1"/>
  <c r="M40" i="64"/>
  <c r="P40" i="64" s="1"/>
  <c r="AP40" i="64" s="1"/>
  <c r="M47" i="64"/>
  <c r="P47" i="64" s="1"/>
  <c r="AP47" i="64" s="1"/>
  <c r="M49" i="64"/>
  <c r="P49" i="64" s="1"/>
  <c r="M63" i="64"/>
  <c r="P63" i="64" s="1"/>
  <c r="H188" i="64"/>
  <c r="H193" i="64" s="1"/>
  <c r="O202" i="64"/>
  <c r="O203" i="64" s="1"/>
  <c r="O75" i="64"/>
  <c r="O187" i="64" s="1"/>
  <c r="O192" i="64" s="1"/>
  <c r="E202" i="64"/>
  <c r="E203" i="64" s="1"/>
  <c r="E75" i="64"/>
  <c r="E187" i="64" s="1"/>
  <c r="E192" i="64" s="1"/>
  <c r="I202" i="64"/>
  <c r="I203" i="64" s="1"/>
  <c r="I75" i="64"/>
  <c r="I187" i="64" s="1"/>
  <c r="I192" i="64" s="1"/>
  <c r="M2" i="64"/>
  <c r="Q202" i="64"/>
  <c r="Q203" i="64" s="1"/>
  <c r="C202" i="64"/>
  <c r="C203" i="64" s="1"/>
  <c r="C75" i="64"/>
  <c r="C187" i="64" s="1"/>
  <c r="C192" i="64" s="1"/>
  <c r="G202" i="64"/>
  <c r="G203" i="64" s="1"/>
  <c r="G75" i="64"/>
  <c r="G187" i="64" s="1"/>
  <c r="G192" i="64" s="1"/>
  <c r="K202" i="64"/>
  <c r="K203" i="64" s="1"/>
  <c r="K75" i="64"/>
  <c r="K187" i="64" s="1"/>
  <c r="K192" i="64" s="1"/>
  <c r="F202" i="64"/>
  <c r="F203" i="64" s="1"/>
  <c r="F75" i="64"/>
  <c r="F187" i="64" s="1"/>
  <c r="F192" i="64" s="1"/>
  <c r="N202" i="64"/>
  <c r="N203" i="64" s="1"/>
  <c r="N75" i="64"/>
  <c r="N187" i="64" s="1"/>
  <c r="N192" i="64" s="1"/>
  <c r="AH2" i="64"/>
  <c r="M9" i="64"/>
  <c r="P9" i="64" s="1"/>
  <c r="M19" i="64"/>
  <c r="P19" i="64" s="1"/>
  <c r="M30" i="64"/>
  <c r="P30" i="64" s="1"/>
  <c r="M32" i="64"/>
  <c r="P32" i="64" s="1"/>
  <c r="AP32" i="64" s="1"/>
  <c r="J75" i="64"/>
  <c r="J187" i="64" s="1"/>
  <c r="J192" i="64" s="1"/>
  <c r="F188" i="64"/>
  <c r="F193" i="64" s="1"/>
  <c r="J188" i="64"/>
  <c r="J193" i="64" s="1"/>
  <c r="O188" i="64"/>
  <c r="O193" i="64" s="1"/>
  <c r="M26" i="64"/>
  <c r="P26" i="64" s="1"/>
  <c r="M51" i="64"/>
  <c r="P51" i="64" s="1"/>
  <c r="M65" i="64"/>
  <c r="P65" i="64" s="1"/>
  <c r="M70" i="64"/>
  <c r="P70" i="64" s="1"/>
  <c r="M73" i="64"/>
  <c r="M77" i="64"/>
  <c r="G93" i="64"/>
  <c r="M78" i="64"/>
  <c r="P78" i="64" s="1"/>
  <c r="M79" i="64"/>
  <c r="P79" i="64" s="1"/>
  <c r="AP79" i="64" s="1"/>
  <c r="M83" i="64"/>
  <c r="P83" i="64" s="1"/>
  <c r="Y188" i="64"/>
  <c r="Y193" i="64" s="1"/>
  <c r="Y99" i="64"/>
  <c r="U99" i="64"/>
  <c r="AP48" i="64"/>
  <c r="AP62" i="64"/>
  <c r="M72" i="64"/>
  <c r="P72" i="64" s="1"/>
  <c r="AP72" i="64" s="1"/>
  <c r="L188" i="64"/>
  <c r="L193" i="64" s="1"/>
  <c r="L99" i="64"/>
  <c r="M81" i="64"/>
  <c r="P81" i="64" s="1"/>
  <c r="AP81" i="64" s="1"/>
  <c r="M85" i="64"/>
  <c r="P85" i="64" s="1"/>
  <c r="AP85" i="64" s="1"/>
  <c r="M87" i="64"/>
  <c r="P87" i="64" s="1"/>
  <c r="W99" i="64"/>
  <c r="P144" i="64"/>
  <c r="R144" i="64" s="1"/>
  <c r="Z144" i="64" s="1"/>
  <c r="M150" i="64"/>
  <c r="P150" i="64" s="1"/>
  <c r="M39" i="64"/>
  <c r="P39" i="64" s="1"/>
  <c r="M50" i="64"/>
  <c r="P50" i="64" s="1"/>
  <c r="M64" i="64"/>
  <c r="P64" i="64" s="1"/>
  <c r="V187" i="64"/>
  <c r="V192" i="64" s="1"/>
  <c r="V99" i="64"/>
  <c r="I188" i="64"/>
  <c r="I193" i="64" s="1"/>
  <c r="N93" i="64"/>
  <c r="AG93" i="64"/>
  <c r="AG99" i="64" s="1"/>
  <c r="AG224" i="64" s="1"/>
  <c r="Q90" i="64"/>
  <c r="R90" i="64" s="1"/>
  <c r="Z90" i="64" s="1"/>
  <c r="C110" i="64"/>
  <c r="AG91" i="64"/>
  <c r="S188" i="64"/>
  <c r="S193" i="64" s="1"/>
  <c r="M95" i="64"/>
  <c r="Z142" i="64"/>
  <c r="T188" i="64"/>
  <c r="T193" i="64" s="1"/>
  <c r="T99" i="64"/>
  <c r="X188" i="64"/>
  <c r="X193" i="64" s="1"/>
  <c r="X99" i="64"/>
  <c r="C123" i="64"/>
  <c r="K123" i="64"/>
  <c r="M119" i="64"/>
  <c r="I123" i="64"/>
  <c r="E123" i="64"/>
  <c r="F123" i="64"/>
  <c r="AI117" i="65"/>
  <c r="AK115" i="65"/>
  <c r="AK117" i="65"/>
  <c r="Z117" i="65"/>
  <c r="AD117" i="65"/>
  <c r="AG117" i="65"/>
  <c r="AL117" i="65"/>
  <c r="AM6" i="65"/>
  <c r="AN6" i="65" s="1"/>
  <c r="AM10" i="65"/>
  <c r="AC111" i="65"/>
  <c r="AD112" i="65"/>
  <c r="AD115" i="65" s="1"/>
  <c r="AD121" i="65" s="1"/>
  <c r="AA117" i="65"/>
  <c r="AE10" i="65"/>
  <c r="AE109" i="65" s="1"/>
  <c r="AC110" i="65"/>
  <c r="AE15" i="65"/>
  <c r="AE110" i="65" s="1"/>
  <c r="AM15" i="65"/>
  <c r="AA113" i="65"/>
  <c r="AA118" i="65" s="1"/>
  <c r="AE46" i="65"/>
  <c r="AE113" i="65" s="1"/>
  <c r="AE118" i="65" s="1"/>
  <c r="AM47" i="65"/>
  <c r="AN47" i="65" s="1"/>
  <c r="AM72" i="65"/>
  <c r="AN72" i="65" s="1"/>
  <c r="AL105" i="65"/>
  <c r="AM46" i="65"/>
  <c r="AM3" i="65"/>
  <c r="AG114" i="65"/>
  <c r="AG119" i="65" s="1"/>
  <c r="AJ113" i="65"/>
  <c r="AJ118" i="65" s="1"/>
  <c r="AM78" i="65"/>
  <c r="AN78" i="65" s="1"/>
  <c r="AM104" i="65"/>
  <c r="AN104" i="65" s="1"/>
  <c r="AC105" i="65"/>
  <c r="T115" i="65"/>
  <c r="L115" i="65"/>
  <c r="L121" i="65" s="1"/>
  <c r="Z111" i="65"/>
  <c r="Z115" i="65" s="1"/>
  <c r="AD105" i="65"/>
  <c r="AI112" i="65"/>
  <c r="AI115" i="65" s="1"/>
  <c r="AM4" i="65"/>
  <c r="AB109" i="65"/>
  <c r="AM70" i="65"/>
  <c r="AN70" i="65" s="1"/>
  <c r="AM91" i="65"/>
  <c r="AN91" i="65" s="1"/>
  <c r="AM96" i="65"/>
  <c r="AN96" i="65" s="1"/>
  <c r="AM102" i="65"/>
  <c r="AN102" i="65" s="1"/>
  <c r="I117" i="65"/>
  <c r="I115" i="65"/>
  <c r="Y117" i="65"/>
  <c r="Y115" i="65"/>
  <c r="AH111" i="65"/>
  <c r="M115" i="65"/>
  <c r="M121" i="65" s="1"/>
  <c r="U115" i="65"/>
  <c r="U121" i="65" s="1"/>
  <c r="T117" i="65"/>
  <c r="AG105" i="65"/>
  <c r="AG111" i="65"/>
  <c r="AK105" i="65"/>
  <c r="AE5" i="65"/>
  <c r="AE111" i="65" s="1"/>
  <c r="AE9" i="65"/>
  <c r="AH109" i="65"/>
  <c r="AE13" i="65"/>
  <c r="AE17" i="65"/>
  <c r="AE21" i="65"/>
  <c r="AE25" i="65"/>
  <c r="AE29" i="65"/>
  <c r="AE33" i="65"/>
  <c r="AC114" i="65"/>
  <c r="AC119" i="65" s="1"/>
  <c r="AE37" i="65"/>
  <c r="AE114" i="65" s="1"/>
  <c r="AE119" i="65" s="1"/>
  <c r="AM37" i="65"/>
  <c r="AE41" i="65"/>
  <c r="AE45" i="65"/>
  <c r="AE49" i="65"/>
  <c r="AE53" i="65"/>
  <c r="AE112" i="65" s="1"/>
  <c r="AE57" i="65"/>
  <c r="AE61" i="65"/>
  <c r="AE65" i="65"/>
  <c r="AE69" i="65"/>
  <c r="AM83" i="65"/>
  <c r="AN83" i="65" s="1"/>
  <c r="AM88" i="65"/>
  <c r="AN88" i="65" s="1"/>
  <c r="AM94" i="65"/>
  <c r="AN94" i="65" s="1"/>
  <c r="AM98" i="65"/>
  <c r="AN98" i="65" s="1"/>
  <c r="AE101" i="65"/>
  <c r="Z105" i="65"/>
  <c r="N115" i="65"/>
  <c r="N121" i="65" s="1"/>
  <c r="AB111" i="65"/>
  <c r="H115" i="65"/>
  <c r="H121" i="65" s="1"/>
  <c r="V115" i="65"/>
  <c r="V121" i="65" s="1"/>
  <c r="AA111" i="65"/>
  <c r="AA115" i="65" s="1"/>
  <c r="AJ111" i="65"/>
  <c r="AC112" i="65"/>
  <c r="AH112" i="65"/>
  <c r="AL112" i="65"/>
  <c r="AL115" i="65" s="1"/>
  <c r="AM76" i="65"/>
  <c r="AN76" i="65" s="1"/>
  <c r="AM84" i="65"/>
  <c r="AN84" i="65" s="1"/>
  <c r="AM92" i="65"/>
  <c r="AN92" i="65" s="1"/>
  <c r="AM100" i="65"/>
  <c r="AN100" i="65" s="1"/>
  <c r="AJ105" i="65"/>
  <c r="G115" i="65"/>
  <c r="G121" i="65" s="1"/>
  <c r="K115" i="65"/>
  <c r="K121" i="65" s="1"/>
  <c r="O115" i="65"/>
  <c r="O121" i="65" s="1"/>
  <c r="S115" i="65"/>
  <c r="S121" i="65" s="1"/>
  <c r="W115" i="65"/>
  <c r="W121" i="65" s="1"/>
  <c r="N8" i="67"/>
  <c r="Q8" i="67" s="1"/>
  <c r="W8" i="67"/>
  <c r="M8" i="67"/>
  <c r="C112" i="67"/>
  <c r="C80" i="67"/>
  <c r="C104" i="67" s="1"/>
  <c r="L80" i="67"/>
  <c r="L112" i="67"/>
  <c r="N9" i="67"/>
  <c r="Q9" i="67" s="1"/>
  <c r="AD4" i="67"/>
  <c r="F7" i="67"/>
  <c r="J15" i="67"/>
  <c r="F15" i="67"/>
  <c r="N16" i="67"/>
  <c r="Q16" i="67" s="1"/>
  <c r="F18" i="67"/>
  <c r="J23" i="67"/>
  <c r="F23" i="67"/>
  <c r="N24" i="67"/>
  <c r="Q24" i="67" s="1"/>
  <c r="W25" i="67"/>
  <c r="W33" i="67"/>
  <c r="M33" i="67"/>
  <c r="N38" i="67"/>
  <c r="Q38" i="67" s="1"/>
  <c r="M38" i="67"/>
  <c r="J7" i="67"/>
  <c r="F8" i="67"/>
  <c r="J11" i="67"/>
  <c r="W12" i="67"/>
  <c r="M12" i="67"/>
  <c r="M13" i="67"/>
  <c r="W16" i="67"/>
  <c r="M16" i="67"/>
  <c r="M17" i="67"/>
  <c r="W20" i="67"/>
  <c r="M20" i="67"/>
  <c r="M21" i="67"/>
  <c r="W24" i="67"/>
  <c r="M24" i="67"/>
  <c r="M25" i="67"/>
  <c r="N30" i="67"/>
  <c r="Q30" i="67" s="1"/>
  <c r="M30" i="67"/>
  <c r="J31" i="67"/>
  <c r="F31" i="67"/>
  <c r="N32" i="67"/>
  <c r="Q32" i="67" s="1"/>
  <c r="N51" i="67"/>
  <c r="Q51" i="67" s="1"/>
  <c r="N61" i="67"/>
  <c r="Q61" i="67" s="1"/>
  <c r="W61" i="67"/>
  <c r="M61" i="67"/>
  <c r="W72" i="67"/>
  <c r="M72" i="67"/>
  <c r="N72" i="67"/>
  <c r="Q72" i="67" s="1"/>
  <c r="C116" i="67"/>
  <c r="N78" i="67"/>
  <c r="Q78" i="67" s="1"/>
  <c r="N56" i="67"/>
  <c r="Q56" i="67" s="1"/>
  <c r="AD3" i="67"/>
  <c r="AD5" i="67"/>
  <c r="K80" i="67"/>
  <c r="P80" i="67"/>
  <c r="AD80" i="67" s="1"/>
  <c r="Y7" i="67"/>
  <c r="Y80" i="67" s="1"/>
  <c r="M9" i="67"/>
  <c r="W29" i="67"/>
  <c r="M29" i="67"/>
  <c r="W37" i="67"/>
  <c r="M37" i="67"/>
  <c r="W41" i="67"/>
  <c r="M41" i="67"/>
  <c r="W45" i="67"/>
  <c r="M45" i="67"/>
  <c r="W46" i="67"/>
  <c r="M46" i="67"/>
  <c r="N46" i="67"/>
  <c r="Q46" i="67" s="1"/>
  <c r="N50" i="67"/>
  <c r="Q50" i="67" s="1"/>
  <c r="D98" i="67"/>
  <c r="D104" i="67" s="1"/>
  <c r="D112" i="67"/>
  <c r="F82" i="67"/>
  <c r="K82" i="67"/>
  <c r="N82" i="67" s="1"/>
  <c r="N14" i="67"/>
  <c r="Q14" i="67" s="1"/>
  <c r="M14" i="67"/>
  <c r="N18" i="67"/>
  <c r="Q18" i="67" s="1"/>
  <c r="M18" i="67"/>
  <c r="N22" i="67"/>
  <c r="Q22" i="67" s="1"/>
  <c r="M22" i="67"/>
  <c r="N26" i="67"/>
  <c r="Q26" i="67" s="1"/>
  <c r="M26" i="67"/>
  <c r="J27" i="67"/>
  <c r="F27" i="67"/>
  <c r="N28" i="67"/>
  <c r="Q28" i="67" s="1"/>
  <c r="N33" i="67"/>
  <c r="Q33" i="67" s="1"/>
  <c r="N34" i="67"/>
  <c r="Q34" i="67" s="1"/>
  <c r="M34" i="67"/>
  <c r="J35" i="67"/>
  <c r="F35" i="67"/>
  <c r="N36" i="67"/>
  <c r="Q36" i="67" s="1"/>
  <c r="N40" i="67"/>
  <c r="Q40" i="67" s="1"/>
  <c r="J49" i="67"/>
  <c r="F49" i="67"/>
  <c r="N52" i="67"/>
  <c r="Q52" i="67" s="1"/>
  <c r="M52" i="67"/>
  <c r="M54" i="67"/>
  <c r="N75" i="67"/>
  <c r="Q75" i="67" s="1"/>
  <c r="W75" i="67"/>
  <c r="M75" i="67"/>
  <c r="N12" i="67"/>
  <c r="Q12" i="67" s="1"/>
  <c r="F14" i="67"/>
  <c r="J19" i="67"/>
  <c r="F19" i="67"/>
  <c r="N20" i="67"/>
  <c r="Q20" i="67" s="1"/>
  <c r="F22" i="67"/>
  <c r="J39" i="67"/>
  <c r="F39" i="67"/>
  <c r="N42" i="67"/>
  <c r="Q42" i="67" s="1"/>
  <c r="M42" i="67"/>
  <c r="J43" i="67"/>
  <c r="F43" i="67"/>
  <c r="J48" i="67"/>
  <c r="F48" i="67"/>
  <c r="J62" i="67"/>
  <c r="F62" i="67"/>
  <c r="W64" i="67"/>
  <c r="N64" i="67"/>
  <c r="Q64" i="67" s="1"/>
  <c r="N67" i="67"/>
  <c r="Q67" i="67" s="1"/>
  <c r="N73" i="67"/>
  <c r="Q73" i="67" s="1"/>
  <c r="W47" i="67"/>
  <c r="M51" i="67"/>
  <c r="M55" i="67"/>
  <c r="N57" i="67"/>
  <c r="Q57" i="67" s="1"/>
  <c r="M57" i="67"/>
  <c r="J58" i="67"/>
  <c r="F58" i="67"/>
  <c r="M60" i="67"/>
  <c r="N63" i="67"/>
  <c r="Q63" i="67" s="1"/>
  <c r="X67" i="67"/>
  <c r="M67" i="67"/>
  <c r="X73" i="67"/>
  <c r="M73" i="67"/>
  <c r="J74" i="67"/>
  <c r="F74" i="67"/>
  <c r="X77" i="67"/>
  <c r="M77" i="67"/>
  <c r="M93" i="67"/>
  <c r="F94" i="67"/>
  <c r="K94" i="67"/>
  <c r="X94" i="67" s="1"/>
  <c r="M28" i="67"/>
  <c r="W28" i="67"/>
  <c r="M32" i="67"/>
  <c r="W32" i="67"/>
  <c r="M36" i="67"/>
  <c r="W36" i="67"/>
  <c r="M40" i="67"/>
  <c r="W40" i="67"/>
  <c r="N55" i="67"/>
  <c r="Q55" i="67" s="1"/>
  <c r="W56" i="67"/>
  <c r="M56" i="67"/>
  <c r="N59" i="67"/>
  <c r="Q59" i="67" s="1"/>
  <c r="X63" i="67"/>
  <c r="M63" i="67"/>
  <c r="N69" i="67"/>
  <c r="Q69" i="67" s="1"/>
  <c r="M69" i="67"/>
  <c r="J70" i="67"/>
  <c r="F70" i="67"/>
  <c r="M89" i="67"/>
  <c r="F90" i="67"/>
  <c r="K90" i="67"/>
  <c r="X90" i="67" s="1"/>
  <c r="W50" i="67"/>
  <c r="M50" i="67"/>
  <c r="N53" i="67"/>
  <c r="Q53" i="67" s="1"/>
  <c r="M53" i="67"/>
  <c r="X59" i="67"/>
  <c r="X80" i="67" s="1"/>
  <c r="M59" i="67"/>
  <c r="N65" i="67"/>
  <c r="Q65" i="67" s="1"/>
  <c r="M65" i="67"/>
  <c r="J66" i="67"/>
  <c r="F66" i="67"/>
  <c r="M68" i="67"/>
  <c r="F76" i="67"/>
  <c r="J76" i="67"/>
  <c r="AD82" i="67"/>
  <c r="P98" i="67"/>
  <c r="AD98" i="67" s="1"/>
  <c r="M85" i="67"/>
  <c r="F86" i="67"/>
  <c r="K86" i="67"/>
  <c r="X86" i="67" s="1"/>
  <c r="N71" i="67"/>
  <c r="Q71" i="67" s="1"/>
  <c r="M71" i="67"/>
  <c r="W73" i="67"/>
  <c r="Y82" i="67"/>
  <c r="N83" i="67"/>
  <c r="Q83" i="67" s="1"/>
  <c r="K84" i="67"/>
  <c r="X84" i="67" s="1"/>
  <c r="N87" i="67"/>
  <c r="Q87" i="67" s="1"/>
  <c r="K88" i="67"/>
  <c r="X88" i="67" s="1"/>
  <c r="N91" i="67"/>
  <c r="Q91" i="67" s="1"/>
  <c r="K92" i="67"/>
  <c r="X92" i="67" s="1"/>
  <c r="N95" i="67"/>
  <c r="Q95" i="67" s="1"/>
  <c r="L96" i="67"/>
  <c r="AC104" i="67"/>
  <c r="M83" i="67"/>
  <c r="M87" i="67"/>
  <c r="M91" i="67"/>
  <c r="F96" i="67"/>
  <c r="N77" i="67"/>
  <c r="Q77" i="67" s="1"/>
  <c r="W78" i="67"/>
  <c r="M78" i="67"/>
  <c r="S104" i="67"/>
  <c r="N85" i="67"/>
  <c r="Q85" i="67" s="1"/>
  <c r="N89" i="67"/>
  <c r="Q89" i="67" s="1"/>
  <c r="N93" i="67"/>
  <c r="Q93" i="67" s="1"/>
  <c r="E98" i="67"/>
  <c r="E104" i="67" s="1"/>
  <c r="W82" i="67"/>
  <c r="W84" i="67"/>
  <c r="M86" i="67"/>
  <c r="W86" i="67"/>
  <c r="W88" i="67"/>
  <c r="W90" i="67"/>
  <c r="W92" i="67"/>
  <c r="W94" i="67"/>
  <c r="K100" i="67"/>
  <c r="D113" i="67"/>
  <c r="F78" i="67"/>
  <c r="K96" i="67"/>
  <c r="L100" i="67"/>
  <c r="AD100" i="67"/>
  <c r="E112" i="67"/>
  <c r="J100" i="67"/>
  <c r="D8" i="69"/>
  <c r="D10" i="69"/>
  <c r="D12" i="69"/>
  <c r="D14" i="69"/>
  <c r="D16" i="69"/>
  <c r="D18" i="69"/>
  <c r="D20" i="69"/>
  <c r="D22" i="69"/>
  <c r="D24" i="69"/>
  <c r="D26" i="69"/>
  <c r="D28" i="69"/>
  <c r="D30" i="69"/>
  <c r="D32" i="69"/>
  <c r="D34" i="69"/>
  <c r="D36" i="69"/>
  <c r="D38" i="69"/>
  <c r="D40" i="69"/>
  <c r="D42" i="69"/>
  <c r="D44" i="69"/>
  <c r="D46" i="69"/>
  <c r="D48" i="69"/>
  <c r="D50" i="69"/>
  <c r="D52" i="69"/>
  <c r="D54" i="69"/>
  <c r="D56" i="69"/>
  <c r="D58" i="69"/>
  <c r="D60" i="69"/>
  <c r="D62" i="69"/>
  <c r="D64" i="69"/>
  <c r="D66" i="69"/>
  <c r="D68" i="69"/>
  <c r="D70" i="69"/>
  <c r="D72" i="69"/>
  <c r="D74" i="69"/>
  <c r="D76" i="69"/>
  <c r="D78" i="69"/>
  <c r="D82" i="69"/>
  <c r="D84" i="69"/>
  <c r="D86" i="69"/>
  <c r="D88" i="69"/>
  <c r="D90" i="69"/>
  <c r="D92" i="69"/>
  <c r="D94" i="69"/>
  <c r="D96" i="69"/>
  <c r="D100" i="69"/>
  <c r="D102" i="69" s="1"/>
  <c r="D7" i="69"/>
  <c r="D9" i="69"/>
  <c r="D11" i="69"/>
  <c r="D13" i="69"/>
  <c r="D15" i="69"/>
  <c r="D17" i="69"/>
  <c r="D19" i="69"/>
  <c r="D21" i="69"/>
  <c r="D23" i="69"/>
  <c r="D25" i="69"/>
  <c r="D27" i="69"/>
  <c r="D29" i="69"/>
  <c r="D31" i="69"/>
  <c r="D33" i="69"/>
  <c r="D35" i="69"/>
  <c r="D37" i="69"/>
  <c r="D39" i="69"/>
  <c r="D41" i="69"/>
  <c r="D43" i="69"/>
  <c r="D45" i="69"/>
  <c r="D47" i="69"/>
  <c r="D49" i="69"/>
  <c r="D51" i="69"/>
  <c r="D53" i="69"/>
  <c r="D55" i="69"/>
  <c r="D57" i="69"/>
  <c r="D59" i="69"/>
  <c r="D61" i="69"/>
  <c r="D63" i="69"/>
  <c r="D65" i="69"/>
  <c r="D67" i="69"/>
  <c r="D69" i="69"/>
  <c r="D71" i="69"/>
  <c r="D73" i="69"/>
  <c r="D75" i="69"/>
  <c r="D77" i="69"/>
  <c r="D83" i="69"/>
  <c r="D85" i="69"/>
  <c r="D87" i="69"/>
  <c r="D89" i="69"/>
  <c r="D91" i="69"/>
  <c r="D93" i="69"/>
  <c r="C109" i="70"/>
  <c r="D83" i="70"/>
  <c r="D82" i="70"/>
  <c r="D84" i="70"/>
  <c r="D86" i="70"/>
  <c r="D88" i="70"/>
  <c r="D90" i="70"/>
  <c r="D92" i="70"/>
  <c r="D94" i="70"/>
  <c r="D96" i="70"/>
  <c r="F101" i="71"/>
  <c r="G14" i="71"/>
  <c r="E95" i="71"/>
  <c r="E91" i="71"/>
  <c r="G91" i="71" s="1"/>
  <c r="E87" i="71"/>
  <c r="E83" i="71"/>
  <c r="G83" i="71" s="1"/>
  <c r="E78" i="71"/>
  <c r="G78" i="71" s="1"/>
  <c r="E76" i="71"/>
  <c r="E74" i="71"/>
  <c r="G74" i="71" s="1"/>
  <c r="E72" i="71"/>
  <c r="G72" i="71" s="1"/>
  <c r="E70" i="71"/>
  <c r="E68" i="71"/>
  <c r="G68" i="71" s="1"/>
  <c r="E66" i="71"/>
  <c r="G66" i="71" s="1"/>
  <c r="E64" i="71"/>
  <c r="G64" i="71" s="1"/>
  <c r="E62" i="71"/>
  <c r="G62" i="71" s="1"/>
  <c r="E60" i="71"/>
  <c r="E58" i="71"/>
  <c r="G58" i="71" s="1"/>
  <c r="E56" i="71"/>
  <c r="G56" i="71" s="1"/>
  <c r="E54" i="71"/>
  <c r="G54" i="71" s="1"/>
  <c r="E52" i="71"/>
  <c r="E50" i="71"/>
  <c r="G50" i="71" s="1"/>
  <c r="E48" i="71"/>
  <c r="G48" i="71" s="1"/>
  <c r="E46" i="71"/>
  <c r="E44" i="71"/>
  <c r="G44" i="71" s="1"/>
  <c r="E42" i="71"/>
  <c r="G42" i="71" s="1"/>
  <c r="E40" i="71"/>
  <c r="G40" i="71" s="1"/>
  <c r="E38" i="71"/>
  <c r="E36" i="71"/>
  <c r="G36" i="71" s="1"/>
  <c r="E34" i="71"/>
  <c r="G34" i="71" s="1"/>
  <c r="E32" i="71"/>
  <c r="G32" i="71" s="1"/>
  <c r="E30" i="71"/>
  <c r="G30" i="71" s="1"/>
  <c r="E28" i="71"/>
  <c r="G28" i="71" s="1"/>
  <c r="E26" i="71"/>
  <c r="G26" i="71" s="1"/>
  <c r="E24" i="71"/>
  <c r="G24" i="71" s="1"/>
  <c r="E22" i="71"/>
  <c r="E20" i="71"/>
  <c r="G20" i="71" s="1"/>
  <c r="E18" i="71"/>
  <c r="G18" i="71" s="1"/>
  <c r="E16" i="71"/>
  <c r="G16" i="71" s="1"/>
  <c r="E14" i="71"/>
  <c r="E12" i="71"/>
  <c r="G12" i="71" s="1"/>
  <c r="E99" i="71"/>
  <c r="E101" i="71" s="1"/>
  <c r="E93" i="71"/>
  <c r="E89" i="71"/>
  <c r="E85" i="71"/>
  <c r="E77" i="71"/>
  <c r="G77" i="71" s="1"/>
  <c r="E75" i="71"/>
  <c r="G75" i="71" s="1"/>
  <c r="E73" i="71"/>
  <c r="G73" i="71" s="1"/>
  <c r="E71" i="71"/>
  <c r="G71" i="71" s="1"/>
  <c r="E69" i="71"/>
  <c r="G69" i="71" s="1"/>
  <c r="E67" i="71"/>
  <c r="G67" i="71" s="1"/>
  <c r="E65" i="71"/>
  <c r="G65" i="71" s="1"/>
  <c r="E63" i="71"/>
  <c r="G63" i="71" s="1"/>
  <c r="E61" i="71"/>
  <c r="G61" i="71" s="1"/>
  <c r="E59" i="71"/>
  <c r="G59" i="71" s="1"/>
  <c r="E57" i="71"/>
  <c r="E55" i="71"/>
  <c r="G55" i="71" s="1"/>
  <c r="E53" i="71"/>
  <c r="G53" i="71" s="1"/>
  <c r="E51" i="71"/>
  <c r="E49" i="71"/>
  <c r="E47" i="71"/>
  <c r="G47" i="71" s="1"/>
  <c r="E45" i="71"/>
  <c r="G45" i="71" s="1"/>
  <c r="E43" i="71"/>
  <c r="G43" i="71" s="1"/>
  <c r="E41" i="71"/>
  <c r="G41" i="71" s="1"/>
  <c r="E39" i="71"/>
  <c r="G39" i="71" s="1"/>
  <c r="E88" i="71"/>
  <c r="E92" i="71"/>
  <c r="E84" i="71"/>
  <c r="E35" i="71"/>
  <c r="G35" i="71" s="1"/>
  <c r="E31" i="71"/>
  <c r="G31" i="71" s="1"/>
  <c r="E27" i="71"/>
  <c r="G27" i="71" s="1"/>
  <c r="E23" i="71"/>
  <c r="G23" i="71" s="1"/>
  <c r="E19" i="71"/>
  <c r="G19" i="71" s="1"/>
  <c r="E15" i="71"/>
  <c r="G15" i="71" s="1"/>
  <c r="E94" i="71"/>
  <c r="E86" i="71"/>
  <c r="E7" i="71"/>
  <c r="E10" i="71"/>
  <c r="G10" i="71" s="1"/>
  <c r="E13" i="71"/>
  <c r="G13" i="71" s="1"/>
  <c r="E17" i="71"/>
  <c r="G17" i="71" s="1"/>
  <c r="E21" i="71"/>
  <c r="G21" i="71" s="1"/>
  <c r="E25" i="71"/>
  <c r="G25" i="71" s="1"/>
  <c r="E29" i="71"/>
  <c r="G29" i="71" s="1"/>
  <c r="E33" i="71"/>
  <c r="G33" i="71" s="1"/>
  <c r="E37" i="71"/>
  <c r="G37" i="71" s="1"/>
  <c r="G49" i="71"/>
  <c r="G57" i="71"/>
  <c r="E8" i="71"/>
  <c r="G8" i="71" s="1"/>
  <c r="G52" i="71"/>
  <c r="E82" i="71"/>
  <c r="E90" i="71"/>
  <c r="G51" i="71"/>
  <c r="G22" i="71"/>
  <c r="G38" i="71"/>
  <c r="G46" i="71"/>
  <c r="C97" i="71"/>
  <c r="C103" i="71" s="1"/>
  <c r="C105" i="71" s="1"/>
  <c r="G60" i="71"/>
  <c r="G70" i="71"/>
  <c r="G76" i="71"/>
  <c r="G87" i="71"/>
  <c r="G95" i="71"/>
  <c r="F94" i="71"/>
  <c r="F90" i="71"/>
  <c r="G90" i="71" s="1"/>
  <c r="F86" i="71"/>
  <c r="F82" i="71"/>
  <c r="F92" i="71"/>
  <c r="F88" i="71"/>
  <c r="F84" i="71"/>
  <c r="F7" i="71"/>
  <c r="F9" i="71"/>
  <c r="G9" i="71" s="1"/>
  <c r="F11" i="71"/>
  <c r="G11" i="71" s="1"/>
  <c r="D97" i="71"/>
  <c r="D103" i="71" s="1"/>
  <c r="D105" i="71" s="1"/>
  <c r="F85" i="71"/>
  <c r="F93" i="71"/>
  <c r="F89" i="71"/>
  <c r="F101" i="72"/>
  <c r="F12" i="72"/>
  <c r="G12" i="72" s="1"/>
  <c r="F17" i="72"/>
  <c r="F20" i="72"/>
  <c r="F22" i="72"/>
  <c r="F25" i="72"/>
  <c r="F28" i="72"/>
  <c r="F39" i="72"/>
  <c r="F47" i="72"/>
  <c r="F55" i="72"/>
  <c r="F63" i="72"/>
  <c r="C80" i="72"/>
  <c r="C103" i="72" s="1"/>
  <c r="C105" i="72" s="1"/>
  <c r="F10" i="72"/>
  <c r="F30" i="72"/>
  <c r="G30" i="72" s="1"/>
  <c r="F33" i="72"/>
  <c r="G33" i="72" s="1"/>
  <c r="F43" i="72"/>
  <c r="F51" i="72"/>
  <c r="F59" i="72"/>
  <c r="F67" i="72"/>
  <c r="F75" i="72"/>
  <c r="E82" i="72"/>
  <c r="F83" i="72"/>
  <c r="F90" i="72"/>
  <c r="E95" i="72"/>
  <c r="E91" i="72"/>
  <c r="E90" i="72"/>
  <c r="E85" i="72"/>
  <c r="E75" i="72"/>
  <c r="E71" i="72"/>
  <c r="E67" i="72"/>
  <c r="E63" i="72"/>
  <c r="E59" i="72"/>
  <c r="E55" i="72"/>
  <c r="E51" i="72"/>
  <c r="E47" i="72"/>
  <c r="E43" i="72"/>
  <c r="E39" i="72"/>
  <c r="E99" i="72"/>
  <c r="E101" i="72" s="1"/>
  <c r="E93" i="72"/>
  <c r="E88" i="72"/>
  <c r="E83" i="72"/>
  <c r="E77" i="72"/>
  <c r="E73" i="72"/>
  <c r="E69" i="72"/>
  <c r="E65" i="72"/>
  <c r="E61" i="72"/>
  <c r="E57" i="72"/>
  <c r="E53" i="72"/>
  <c r="E49" i="72"/>
  <c r="E45" i="72"/>
  <c r="E41" i="72"/>
  <c r="E37" i="72"/>
  <c r="E32" i="72"/>
  <c r="E28" i="72"/>
  <c r="E24" i="72"/>
  <c r="E19" i="72"/>
  <c r="E14" i="72"/>
  <c r="E10" i="72"/>
  <c r="E92" i="72"/>
  <c r="E7" i="72"/>
  <c r="F8" i="72"/>
  <c r="G8" i="72" s="1"/>
  <c r="F11" i="72"/>
  <c r="G11" i="72" s="1"/>
  <c r="E12" i="72"/>
  <c r="E13" i="72"/>
  <c r="F14" i="72"/>
  <c r="G14" i="72" s="1"/>
  <c r="E15" i="72"/>
  <c r="E17" i="72"/>
  <c r="E18" i="72"/>
  <c r="F19" i="72"/>
  <c r="E20" i="72"/>
  <c r="E22" i="72"/>
  <c r="E23" i="72"/>
  <c r="F24" i="72"/>
  <c r="E25" i="72"/>
  <c r="F34" i="72"/>
  <c r="G34" i="72" s="1"/>
  <c r="E40" i="72"/>
  <c r="F41" i="72"/>
  <c r="E48" i="72"/>
  <c r="F49" i="72"/>
  <c r="E56" i="72"/>
  <c r="F57" i="72"/>
  <c r="E64" i="72"/>
  <c r="F65" i="72"/>
  <c r="E72" i="72"/>
  <c r="F73" i="72"/>
  <c r="E87" i="72"/>
  <c r="F88" i="72"/>
  <c r="G123" i="72"/>
  <c r="F125" i="72"/>
  <c r="F94" i="72"/>
  <c r="G94" i="72" s="1"/>
  <c r="F89" i="72"/>
  <c r="G89" i="72" s="1"/>
  <c r="F84" i="72"/>
  <c r="F78" i="72"/>
  <c r="G78" i="72" s="1"/>
  <c r="F74" i="72"/>
  <c r="G74" i="72" s="1"/>
  <c r="F70" i="72"/>
  <c r="G70" i="72" s="1"/>
  <c r="F66" i="72"/>
  <c r="G66" i="72" s="1"/>
  <c r="F62" i="72"/>
  <c r="G62" i="72" s="1"/>
  <c r="F58" i="72"/>
  <c r="G58" i="72" s="1"/>
  <c r="F54" i="72"/>
  <c r="G54" i="72" s="1"/>
  <c r="F50" i="72"/>
  <c r="G50" i="72" s="1"/>
  <c r="F46" i="72"/>
  <c r="G46" i="72" s="1"/>
  <c r="F42" i="72"/>
  <c r="G42" i="72" s="1"/>
  <c r="F38" i="72"/>
  <c r="G38" i="72" s="1"/>
  <c r="F92" i="72"/>
  <c r="F87" i="72"/>
  <c r="F86" i="72"/>
  <c r="G86" i="72" s="1"/>
  <c r="F82" i="72"/>
  <c r="F76" i="72"/>
  <c r="F72" i="72"/>
  <c r="F68" i="72"/>
  <c r="F64" i="72"/>
  <c r="F60" i="72"/>
  <c r="F56" i="72"/>
  <c r="F52" i="72"/>
  <c r="F48" i="72"/>
  <c r="F44" i="72"/>
  <c r="F40" i="72"/>
  <c r="F36" i="72"/>
  <c r="F35" i="72"/>
  <c r="G35" i="72" s="1"/>
  <c r="F31" i="72"/>
  <c r="G31" i="72" s="1"/>
  <c r="F27" i="72"/>
  <c r="G27" i="72" s="1"/>
  <c r="F23" i="72"/>
  <c r="F18" i="72"/>
  <c r="F13" i="72"/>
  <c r="G13" i="72" s="1"/>
  <c r="F9" i="72"/>
  <c r="G9" i="72" s="1"/>
  <c r="F95" i="72"/>
  <c r="G95" i="72" s="1"/>
  <c r="F91" i="72"/>
  <c r="F7" i="72"/>
  <c r="F15" i="72"/>
  <c r="F71" i="72"/>
  <c r="F16" i="72"/>
  <c r="G16" i="72" s="1"/>
  <c r="F21" i="72"/>
  <c r="G21" i="72" s="1"/>
  <c r="F26" i="72"/>
  <c r="G26" i="72" s="1"/>
  <c r="F29" i="72"/>
  <c r="G29" i="72" s="1"/>
  <c r="F32" i="72"/>
  <c r="E36" i="72"/>
  <c r="F37" i="72"/>
  <c r="E44" i="72"/>
  <c r="F45" i="72"/>
  <c r="E52" i="72"/>
  <c r="F53" i="72"/>
  <c r="E60" i="72"/>
  <c r="F61" i="72"/>
  <c r="E68" i="72"/>
  <c r="F69" i="72"/>
  <c r="E76" i="72"/>
  <c r="F77" i="72"/>
  <c r="D97" i="72"/>
  <c r="D103" i="72" s="1"/>
  <c r="D105" i="72" s="1"/>
  <c r="E84" i="72"/>
  <c r="F85" i="72"/>
  <c r="G85" i="72" s="1"/>
  <c r="F93" i="72"/>
  <c r="G93" i="72" s="1"/>
  <c r="C104" i="75"/>
  <c r="U13" i="76"/>
  <c r="U16" i="76"/>
  <c r="U20" i="76"/>
  <c r="V21" i="76"/>
  <c r="U24" i="76"/>
  <c r="V25" i="76"/>
  <c r="U28" i="76"/>
  <c r="V29" i="76"/>
  <c r="U32" i="76"/>
  <c r="V33" i="76"/>
  <c r="U36" i="76"/>
  <c r="V37" i="76"/>
  <c r="U40" i="76"/>
  <c r="V41" i="76"/>
  <c r="U44" i="76"/>
  <c r="V45" i="76"/>
  <c r="U48" i="76"/>
  <c r="V49" i="76"/>
  <c r="U52" i="76"/>
  <c r="V53" i="76"/>
  <c r="U56" i="76"/>
  <c r="V57" i="76"/>
  <c r="U60" i="76"/>
  <c r="V61" i="76"/>
  <c r="U64" i="76"/>
  <c r="V65" i="76"/>
  <c r="U68" i="76"/>
  <c r="V69" i="76"/>
  <c r="U72" i="76"/>
  <c r="V73" i="76"/>
  <c r="U76" i="76"/>
  <c r="V77" i="76"/>
  <c r="U80" i="76"/>
  <c r="V81" i="76"/>
  <c r="U84" i="76"/>
  <c r="V85" i="76"/>
  <c r="U88" i="76"/>
  <c r="V89" i="76"/>
  <c r="V92" i="76"/>
  <c r="V93" i="76"/>
  <c r="V10" i="76"/>
  <c r="V14" i="76"/>
  <c r="U17" i="76"/>
  <c r="U8" i="76"/>
  <c r="V9" i="76"/>
  <c r="U12" i="76"/>
  <c r="V13" i="76"/>
  <c r="V16" i="76"/>
  <c r="V17" i="76"/>
  <c r="U19" i="76"/>
  <c r="V20" i="76"/>
  <c r="U23" i="76"/>
  <c r="V24" i="76"/>
  <c r="U27" i="76"/>
  <c r="V28" i="76"/>
  <c r="U31" i="76"/>
  <c r="V32" i="76"/>
  <c r="U35" i="76"/>
  <c r="V36" i="76"/>
  <c r="U39" i="76"/>
  <c r="V40" i="76"/>
  <c r="U43" i="76"/>
  <c r="V44" i="76"/>
  <c r="U47" i="76"/>
  <c r="V48" i="76"/>
  <c r="U51" i="76"/>
  <c r="V52" i="76"/>
  <c r="U55" i="76"/>
  <c r="V56" i="76"/>
  <c r="U59" i="76"/>
  <c r="V60" i="76"/>
  <c r="U63" i="76"/>
  <c r="V64" i="76"/>
  <c r="U67" i="76"/>
  <c r="V68" i="76"/>
  <c r="U71" i="76"/>
  <c r="V72" i="76"/>
  <c r="U75" i="76"/>
  <c r="V76" i="76"/>
  <c r="U79" i="76"/>
  <c r="V80" i="76"/>
  <c r="U83" i="76"/>
  <c r="V84" i="76"/>
  <c r="U87" i="76"/>
  <c r="V88" i="76"/>
  <c r="AC115" i="65" l="1"/>
  <c r="AC121" i="65" s="1"/>
  <c r="AL121" i="65"/>
  <c r="AA121" i="65"/>
  <c r="AG115" i="65"/>
  <c r="AG121" i="65" s="1"/>
  <c r="I121" i="65"/>
  <c r="AI121" i="65"/>
  <c r="P121" i="65"/>
  <c r="AJ115" i="65"/>
  <c r="AJ121" i="65" s="1"/>
  <c r="Y121" i="65"/>
  <c r="Z121" i="65"/>
  <c r="V94" i="76"/>
  <c r="V95" i="76" s="1"/>
  <c r="O103" i="68"/>
  <c r="O116" i="68" s="1"/>
  <c r="AP45" i="64"/>
  <c r="AJ8" i="64"/>
  <c r="AJ62" i="64"/>
  <c r="W68" i="67"/>
  <c r="N96" i="67"/>
  <c r="Q96" i="67" s="1"/>
  <c r="M88" i="67"/>
  <c r="N86" i="67"/>
  <c r="Q86" i="67" s="1"/>
  <c r="G23" i="72"/>
  <c r="E114" i="67"/>
  <c r="AJ28" i="64"/>
  <c r="G93" i="71"/>
  <c r="G92" i="71"/>
  <c r="G94" i="71"/>
  <c r="M47" i="67"/>
  <c r="AP52" i="64"/>
  <c r="G73" i="72"/>
  <c r="G57" i="72"/>
  <c r="G41" i="72"/>
  <c r="G24" i="72"/>
  <c r="G84" i="71"/>
  <c r="G86" i="71"/>
  <c r="W60" i="67"/>
  <c r="G92" i="72"/>
  <c r="G84" i="72"/>
  <c r="G89" i="71"/>
  <c r="C104" i="69"/>
  <c r="C106" i="69" s="1"/>
  <c r="W17" i="67"/>
  <c r="AJ88" i="64"/>
  <c r="R88" i="64"/>
  <c r="Z88" i="64" s="1"/>
  <c r="AJ57" i="64"/>
  <c r="AP21" i="64"/>
  <c r="G69" i="72"/>
  <c r="G53" i="72"/>
  <c r="G37" i="72"/>
  <c r="G15" i="72"/>
  <c r="G87" i="72"/>
  <c r="G19" i="72"/>
  <c r="G51" i="72"/>
  <c r="G10" i="72"/>
  <c r="G99" i="72"/>
  <c r="G101" i="72" s="1"/>
  <c r="G85" i="71"/>
  <c r="M94" i="67"/>
  <c r="M90" i="67"/>
  <c r="M82" i="67"/>
  <c r="N90" i="67"/>
  <c r="Q90" i="67" s="1"/>
  <c r="W44" i="67"/>
  <c r="W54" i="67"/>
  <c r="S99" i="64"/>
  <c r="S204" i="64" s="1"/>
  <c r="S205" i="64" s="1"/>
  <c r="AP44" i="64"/>
  <c r="H99" i="64"/>
  <c r="H120" i="64" s="1"/>
  <c r="G25" i="72"/>
  <c r="G44" i="72"/>
  <c r="G60" i="72"/>
  <c r="G76" i="72"/>
  <c r="G20" i="72"/>
  <c r="M44" i="67"/>
  <c r="G77" i="72"/>
  <c r="G61" i="72"/>
  <c r="G45" i="72"/>
  <c r="G18" i="72"/>
  <c r="G48" i="72"/>
  <c r="G64" i="72"/>
  <c r="G88" i="72"/>
  <c r="G90" i="72"/>
  <c r="G67" i="72"/>
  <c r="M92" i="67"/>
  <c r="M84" i="67"/>
  <c r="N94" i="67"/>
  <c r="Q94" i="67" s="1"/>
  <c r="N84" i="67"/>
  <c r="Q84" i="67" s="1"/>
  <c r="C114" i="67"/>
  <c r="AJ29" i="64"/>
  <c r="J99" i="64"/>
  <c r="J208" i="64" s="1"/>
  <c r="AJ20" i="64"/>
  <c r="E99" i="64"/>
  <c r="E120" i="64" s="1"/>
  <c r="AP17" i="64"/>
  <c r="AJ12" i="64"/>
  <c r="AP7" i="64"/>
  <c r="AJ67" i="64"/>
  <c r="AP6" i="64"/>
  <c r="AP71" i="64"/>
  <c r="AJ43" i="64"/>
  <c r="R12" i="64"/>
  <c r="AJ15" i="64"/>
  <c r="R86" i="64"/>
  <c r="Z86" i="64" s="1"/>
  <c r="AP60" i="64"/>
  <c r="R3" i="64"/>
  <c r="Z3" i="64" s="1"/>
  <c r="AJ25" i="64"/>
  <c r="AJ14" i="64"/>
  <c r="O106" i="68"/>
  <c r="AP31" i="64"/>
  <c r="AP53" i="64"/>
  <c r="AJ86" i="64"/>
  <c r="AP14" i="64"/>
  <c r="AJ11" i="64"/>
  <c r="AP3" i="64"/>
  <c r="AJ68" i="64"/>
  <c r="K105" i="68"/>
  <c r="K116" i="68"/>
  <c r="AJ55" i="64"/>
  <c r="AP69" i="64"/>
  <c r="R80" i="64"/>
  <c r="Z80" i="64" s="1"/>
  <c r="AP80" i="64"/>
  <c r="AP36" i="64"/>
  <c r="R31" i="64"/>
  <c r="Z31" i="64" s="1"/>
  <c r="AP16" i="64"/>
  <c r="AP22" i="64"/>
  <c r="D99" i="64"/>
  <c r="D204" i="64" s="1"/>
  <c r="D205" i="64" s="1"/>
  <c r="AJ59" i="64"/>
  <c r="AJ5" i="64"/>
  <c r="R82" i="64"/>
  <c r="Z82" i="64" s="1"/>
  <c r="AJ42" i="64"/>
  <c r="AJ58" i="64"/>
  <c r="AJ13" i="64"/>
  <c r="AJ54" i="64"/>
  <c r="AP41" i="64"/>
  <c r="AJ82" i="64"/>
  <c r="AJ84" i="64"/>
  <c r="AJ34" i="64"/>
  <c r="AJ89" i="64"/>
  <c r="AP89" i="64"/>
  <c r="AP46" i="64"/>
  <c r="AP4" i="64"/>
  <c r="X224" i="64"/>
  <c r="X208" i="64"/>
  <c r="X204" i="64"/>
  <c r="X205" i="64" s="1"/>
  <c r="X190" i="64"/>
  <c r="X195" i="64" s="1"/>
  <c r="X157" i="64"/>
  <c r="X153" i="64"/>
  <c r="X139" i="64"/>
  <c r="X209" i="64" s="1"/>
  <c r="X101" i="64"/>
  <c r="X100" i="64"/>
  <c r="AJ50" i="64"/>
  <c r="AP50" i="64"/>
  <c r="R87" i="64"/>
  <c r="Z87" i="64" s="1"/>
  <c r="AJ87" i="64"/>
  <c r="AJ83" i="64"/>
  <c r="M93" i="64"/>
  <c r="P77" i="64"/>
  <c r="AP63" i="64"/>
  <c r="AJ63" i="64"/>
  <c r="T224" i="64"/>
  <c r="T208" i="64"/>
  <c r="T204" i="64"/>
  <c r="T205" i="64" s="1"/>
  <c r="T190" i="64"/>
  <c r="T195" i="64" s="1"/>
  <c r="T157" i="64"/>
  <c r="T153" i="64"/>
  <c r="T101" i="64"/>
  <c r="T139" i="64"/>
  <c r="T209" i="64" s="1"/>
  <c r="T100" i="64"/>
  <c r="P95" i="64"/>
  <c r="M97" i="64"/>
  <c r="M189" i="64" s="1"/>
  <c r="M194" i="64" s="1"/>
  <c r="N188" i="64"/>
  <c r="N193" i="64" s="1"/>
  <c r="N99" i="64"/>
  <c r="AJ39" i="64"/>
  <c r="AP39" i="64"/>
  <c r="W208" i="64"/>
  <c r="W204" i="64"/>
  <c r="W205" i="64" s="1"/>
  <c r="W190" i="64"/>
  <c r="W195" i="64" s="1"/>
  <c r="W157" i="64"/>
  <c r="W153" i="64"/>
  <c r="W224" i="64"/>
  <c r="W139" i="64"/>
  <c r="W209" i="64" s="1"/>
  <c r="W100" i="64"/>
  <c r="W101" i="64"/>
  <c r="L224" i="64"/>
  <c r="L208" i="64"/>
  <c r="L204" i="64"/>
  <c r="L205" i="64" s="1"/>
  <c r="L198" i="64"/>
  <c r="L190" i="64"/>
  <c r="L195" i="64" s="1"/>
  <c r="L157" i="64"/>
  <c r="L153" i="64"/>
  <c r="L101" i="64"/>
  <c r="L139" i="64"/>
  <c r="L209" i="64" s="1"/>
  <c r="L120" i="64"/>
  <c r="L100" i="64"/>
  <c r="Y208" i="64"/>
  <c r="Y204" i="64"/>
  <c r="Y205" i="64" s="1"/>
  <c r="Y190" i="64"/>
  <c r="Y195" i="64" s="1"/>
  <c r="Y157" i="64"/>
  <c r="Y153" i="64"/>
  <c r="Y100" i="64"/>
  <c r="Y224" i="64"/>
  <c r="Y101" i="64"/>
  <c r="Y139" i="64"/>
  <c r="Y209" i="64" s="1"/>
  <c r="AJ78" i="64"/>
  <c r="AJ70" i="64"/>
  <c r="AP70" i="64"/>
  <c r="AJ51" i="64"/>
  <c r="AP51" i="64"/>
  <c r="AJ26" i="64"/>
  <c r="AP26" i="64"/>
  <c r="AJ32" i="64"/>
  <c r="AJ9" i="64"/>
  <c r="AP9" i="64"/>
  <c r="AP83" i="64"/>
  <c r="H208" i="64"/>
  <c r="H204" i="64"/>
  <c r="H205" i="64" s="1"/>
  <c r="H198" i="64"/>
  <c r="H157" i="64"/>
  <c r="H153" i="64"/>
  <c r="H139" i="64"/>
  <c r="H209" i="64" s="1"/>
  <c r="H100" i="64"/>
  <c r="AJ47" i="64"/>
  <c r="AJ38" i="64"/>
  <c r="AP38" i="64"/>
  <c r="AJ24" i="64"/>
  <c r="S208" i="64"/>
  <c r="S157" i="64"/>
  <c r="I99" i="64"/>
  <c r="AJ64" i="64"/>
  <c r="AP64" i="64"/>
  <c r="AP87" i="64"/>
  <c r="AJ81" i="64"/>
  <c r="AJ72" i="64"/>
  <c r="U224" i="64"/>
  <c r="U157" i="64"/>
  <c r="U153" i="64"/>
  <c r="U139" i="64"/>
  <c r="U209" i="64" s="1"/>
  <c r="U100" i="64"/>
  <c r="U208" i="64"/>
  <c r="U204" i="64"/>
  <c r="U205" i="64" s="1"/>
  <c r="U101" i="64"/>
  <c r="U190" i="64"/>
  <c r="U195" i="64" s="1"/>
  <c r="G188" i="64"/>
  <c r="G193" i="64" s="1"/>
  <c r="G99" i="64"/>
  <c r="AJ65" i="64"/>
  <c r="AP65" i="64"/>
  <c r="R65" i="64"/>
  <c r="Z65" i="64" s="1"/>
  <c r="O99" i="64"/>
  <c r="F99" i="64"/>
  <c r="AP66" i="64"/>
  <c r="AJ66" i="64"/>
  <c r="AJ30" i="64"/>
  <c r="AP30" i="64"/>
  <c r="E224" i="64"/>
  <c r="E157" i="64"/>
  <c r="E153" i="64"/>
  <c r="E100" i="64"/>
  <c r="E204" i="64"/>
  <c r="E205" i="64" s="1"/>
  <c r="E208" i="64"/>
  <c r="E101" i="64"/>
  <c r="E190" i="64"/>
  <c r="E195" i="64" s="1"/>
  <c r="AP56" i="64"/>
  <c r="AJ56" i="64"/>
  <c r="AJ37" i="64"/>
  <c r="AJ23" i="64"/>
  <c r="AP37" i="64"/>
  <c r="K99" i="64"/>
  <c r="AJ19" i="64"/>
  <c r="AP19" i="64"/>
  <c r="M75" i="64"/>
  <c r="M187" i="64" s="1"/>
  <c r="M192" i="64" s="1"/>
  <c r="M202" i="64"/>
  <c r="M203" i="64" s="1"/>
  <c r="P2" i="64"/>
  <c r="AJ35" i="64"/>
  <c r="R91" i="64"/>
  <c r="Z91" i="64" s="1"/>
  <c r="AJ91" i="64"/>
  <c r="Z12" i="64"/>
  <c r="M123" i="64"/>
  <c r="V224" i="64"/>
  <c r="V208" i="64"/>
  <c r="V204" i="64"/>
  <c r="V205" i="64" s="1"/>
  <c r="V190" i="64"/>
  <c r="V195" i="64" s="1"/>
  <c r="V139" i="64"/>
  <c r="V209" i="64" s="1"/>
  <c r="V101" i="64"/>
  <c r="V100" i="64"/>
  <c r="V153" i="64"/>
  <c r="V157" i="64"/>
  <c r="AJ85" i="64"/>
  <c r="R85" i="64"/>
  <c r="Z85" i="64" s="1"/>
  <c r="AJ79" i="64"/>
  <c r="M111" i="64"/>
  <c r="P111" i="64" s="1"/>
  <c r="P73" i="64"/>
  <c r="J120" i="64"/>
  <c r="AP78" i="64"/>
  <c r="AP61" i="64"/>
  <c r="AJ61" i="64"/>
  <c r="AP49" i="64"/>
  <c r="AJ49" i="64"/>
  <c r="R40" i="64"/>
  <c r="Z40" i="64" s="1"/>
  <c r="AJ40" i="64"/>
  <c r="AJ27" i="64"/>
  <c r="C99" i="64"/>
  <c r="AP24" i="64"/>
  <c r="AE105" i="65"/>
  <c r="AM114" i="65"/>
  <c r="AM119" i="65" s="1"/>
  <c r="AN37" i="65"/>
  <c r="AN114" i="65" s="1"/>
  <c r="AN119" i="65" s="1"/>
  <c r="AB117" i="65"/>
  <c r="AB115" i="65"/>
  <c r="AM113" i="65"/>
  <c r="AM118" i="65" s="1"/>
  <c r="AN46" i="65"/>
  <c r="AN113" i="65" s="1"/>
  <c r="AN118" i="65" s="1"/>
  <c r="AK121" i="65"/>
  <c r="AH117" i="65"/>
  <c r="AH115" i="65"/>
  <c r="AN4" i="65"/>
  <c r="AN112" i="65" s="1"/>
  <c r="AM112" i="65"/>
  <c r="AN3" i="65"/>
  <c r="AM105" i="65"/>
  <c r="AM111" i="65"/>
  <c r="AE115" i="65"/>
  <c r="AE117" i="65"/>
  <c r="T121" i="65"/>
  <c r="AN15" i="65"/>
  <c r="AN110" i="65" s="1"/>
  <c r="AM110" i="65"/>
  <c r="AM109" i="65"/>
  <c r="AN10" i="65"/>
  <c r="AN109" i="65" s="1"/>
  <c r="Y96" i="67"/>
  <c r="L113" i="67"/>
  <c r="N15" i="67"/>
  <c r="Q15" i="67" s="1"/>
  <c r="W15" i="67"/>
  <c r="M15" i="67"/>
  <c r="W98" i="67"/>
  <c r="L98" i="67"/>
  <c r="N66" i="67"/>
  <c r="Q66" i="67" s="1"/>
  <c r="W66" i="67"/>
  <c r="M66" i="67"/>
  <c r="N58" i="67"/>
  <c r="Q58" i="67" s="1"/>
  <c r="W58" i="67"/>
  <c r="M58" i="67"/>
  <c r="N62" i="67"/>
  <c r="Q62" i="67" s="1"/>
  <c r="W62" i="67"/>
  <c r="M62" i="67"/>
  <c r="N43" i="67"/>
  <c r="Q43" i="67" s="1"/>
  <c r="W43" i="67"/>
  <c r="M43" i="67"/>
  <c r="N39" i="67"/>
  <c r="Q39" i="67" s="1"/>
  <c r="W39" i="67"/>
  <c r="M39" i="67"/>
  <c r="N19" i="67"/>
  <c r="Q19" i="67" s="1"/>
  <c r="W19" i="67"/>
  <c r="M19" i="67"/>
  <c r="P104" i="67"/>
  <c r="N88" i="67"/>
  <c r="Q88" i="67" s="1"/>
  <c r="F80" i="67"/>
  <c r="F112" i="67"/>
  <c r="Q82" i="67"/>
  <c r="Y98" i="67"/>
  <c r="W76" i="67"/>
  <c r="M76" i="67"/>
  <c r="N76" i="67"/>
  <c r="Q76" i="67" s="1"/>
  <c r="N74" i="67"/>
  <c r="Q74" i="67" s="1"/>
  <c r="W74" i="67"/>
  <c r="M74" i="67"/>
  <c r="N100" i="67"/>
  <c r="J102" i="67"/>
  <c r="M100" i="67"/>
  <c r="M102" i="67" s="1"/>
  <c r="W100" i="67"/>
  <c r="W102" i="67" s="1"/>
  <c r="L102" i="67"/>
  <c r="Y100" i="67"/>
  <c r="Y102" i="67" s="1"/>
  <c r="AD104" i="67"/>
  <c r="N92" i="67"/>
  <c r="Q92" i="67" s="1"/>
  <c r="D114" i="67"/>
  <c r="N49" i="67"/>
  <c r="Q49" i="67" s="1"/>
  <c r="W49" i="67"/>
  <c r="M49" i="67"/>
  <c r="N27" i="67"/>
  <c r="Q27" i="67" s="1"/>
  <c r="W27" i="67"/>
  <c r="M27" i="67"/>
  <c r="W11" i="67"/>
  <c r="M11" i="67"/>
  <c r="N11" i="67"/>
  <c r="Q11" i="67" s="1"/>
  <c r="N70" i="67"/>
  <c r="Q70" i="67" s="1"/>
  <c r="W70" i="67"/>
  <c r="M70" i="67"/>
  <c r="N35" i="67"/>
  <c r="Q35" i="67" s="1"/>
  <c r="W35" i="67"/>
  <c r="M35" i="67"/>
  <c r="F98" i="67"/>
  <c r="J80" i="67"/>
  <c r="J104" i="67" s="1"/>
  <c r="J112" i="67"/>
  <c r="W7" i="67"/>
  <c r="N7" i="67"/>
  <c r="M7" i="67"/>
  <c r="N23" i="67"/>
  <c r="Q23" i="67" s="1"/>
  <c r="W23" i="67"/>
  <c r="M23" i="67"/>
  <c r="M96" i="67"/>
  <c r="M113" i="67" s="1"/>
  <c r="K113" i="67"/>
  <c r="X96" i="67"/>
  <c r="K102" i="67"/>
  <c r="X100" i="67"/>
  <c r="X102" i="67" s="1"/>
  <c r="F113" i="67"/>
  <c r="N48" i="67"/>
  <c r="Q48" i="67" s="1"/>
  <c r="W48" i="67"/>
  <c r="M48" i="67"/>
  <c r="X82" i="67"/>
  <c r="K98" i="67"/>
  <c r="K112" i="67"/>
  <c r="N31" i="67"/>
  <c r="Q31" i="67" s="1"/>
  <c r="W31" i="67"/>
  <c r="M31" i="67"/>
  <c r="D80" i="69"/>
  <c r="D98" i="69"/>
  <c r="D98" i="70"/>
  <c r="D104" i="70" s="1"/>
  <c r="D107" i="70" s="1"/>
  <c r="E80" i="71"/>
  <c r="G88" i="71"/>
  <c r="G99" i="71"/>
  <c r="G101" i="71" s="1"/>
  <c r="E97" i="71"/>
  <c r="F80" i="71"/>
  <c r="G7" i="71"/>
  <c r="G80" i="71" s="1"/>
  <c r="F97" i="71"/>
  <c r="G82" i="71"/>
  <c r="G32" i="72"/>
  <c r="G91" i="72"/>
  <c r="F97" i="72"/>
  <c r="G82" i="72"/>
  <c r="E80" i="72"/>
  <c r="G75" i="72"/>
  <c r="G43" i="72"/>
  <c r="G47" i="72"/>
  <c r="G22" i="72"/>
  <c r="G7" i="72"/>
  <c r="F80" i="72"/>
  <c r="E97" i="72"/>
  <c r="G55" i="72"/>
  <c r="G71" i="72"/>
  <c r="G36" i="72"/>
  <c r="G52" i="72"/>
  <c r="G68" i="72"/>
  <c r="G65" i="72"/>
  <c r="G49" i="72"/>
  <c r="G39" i="72"/>
  <c r="G40" i="72"/>
  <c r="G56" i="72"/>
  <c r="G72" i="72"/>
  <c r="G83" i="72"/>
  <c r="G59" i="72"/>
  <c r="G63" i="72"/>
  <c r="G28" i="72"/>
  <c r="G17" i="72"/>
  <c r="U94" i="76"/>
  <c r="U95" i="76" s="1"/>
  <c r="AE121" i="65" l="1"/>
  <c r="AH121" i="65"/>
  <c r="G97" i="71"/>
  <c r="G103" i="71" s="1"/>
  <c r="Y104" i="67"/>
  <c r="L104" i="67"/>
  <c r="L114" i="67" s="1"/>
  <c r="M98" i="67"/>
  <c r="H3" i="67" s="1"/>
  <c r="E103" i="71"/>
  <c r="E107" i="71" s="1"/>
  <c r="X98" i="67"/>
  <c r="J190" i="64"/>
  <c r="J195" i="64" s="1"/>
  <c r="S101" i="64"/>
  <c r="S190" i="64"/>
  <c r="S195" i="64" s="1"/>
  <c r="S224" i="64"/>
  <c r="G97" i="72"/>
  <c r="X104" i="67"/>
  <c r="J114" i="67"/>
  <c r="N98" i="67"/>
  <c r="J224" i="64"/>
  <c r="S100" i="64"/>
  <c r="S139" i="64"/>
  <c r="S209" i="64" s="1"/>
  <c r="K104" i="67"/>
  <c r="K114" i="67" s="1"/>
  <c r="E198" i="64"/>
  <c r="E139" i="64"/>
  <c r="E209" i="64" s="1"/>
  <c r="S153" i="64"/>
  <c r="H101" i="64"/>
  <c r="H190" i="64"/>
  <c r="H195" i="64" s="1"/>
  <c r="H224" i="64"/>
  <c r="J198" i="64"/>
  <c r="J100" i="64"/>
  <c r="J101" i="64"/>
  <c r="J204" i="64"/>
  <c r="J205" i="64" s="1"/>
  <c r="D120" i="64"/>
  <c r="J153" i="64"/>
  <c r="J157" i="64"/>
  <c r="J139" i="64"/>
  <c r="J209" i="64" s="1"/>
  <c r="D190" i="64"/>
  <c r="D195" i="64" s="1"/>
  <c r="E103" i="72"/>
  <c r="E126" i="72" s="1"/>
  <c r="D139" i="64"/>
  <c r="D209" i="64" s="1"/>
  <c r="D198" i="64"/>
  <c r="D101" i="64"/>
  <c r="D208" i="64"/>
  <c r="D157" i="64"/>
  <c r="D224" i="64"/>
  <c r="D100" i="64"/>
  <c r="D153" i="64"/>
  <c r="R73" i="64"/>
  <c r="AJ73" i="64"/>
  <c r="AP73" i="64"/>
  <c r="C224" i="64"/>
  <c r="C208" i="64"/>
  <c r="C204" i="64"/>
  <c r="C205" i="64" s="1"/>
  <c r="C198" i="64"/>
  <c r="C139" i="64"/>
  <c r="C209" i="64" s="1"/>
  <c r="C190" i="64"/>
  <c r="C195" i="64" s="1"/>
  <c r="C157" i="64"/>
  <c r="C153" i="64"/>
  <c r="C100" i="64"/>
  <c r="C101" i="64"/>
  <c r="C120" i="64"/>
  <c r="K224" i="64"/>
  <c r="K190" i="64"/>
  <c r="K195" i="64" s="1"/>
  <c r="K208" i="64"/>
  <c r="K204" i="64"/>
  <c r="K205" i="64" s="1"/>
  <c r="K198" i="64"/>
  <c r="K157" i="64"/>
  <c r="K153" i="64"/>
  <c r="K139" i="64"/>
  <c r="K209" i="64" s="1"/>
  <c r="K100" i="64"/>
  <c r="K101" i="64"/>
  <c r="K120" i="64"/>
  <c r="AJ95" i="64"/>
  <c r="AJ97" i="64" s="1"/>
  <c r="P97" i="64"/>
  <c r="P189" i="64" s="1"/>
  <c r="P194" i="64" s="1"/>
  <c r="AP95" i="64"/>
  <c r="F224" i="64"/>
  <c r="F208" i="64"/>
  <c r="F204" i="64"/>
  <c r="F205" i="64" s="1"/>
  <c r="F198" i="64"/>
  <c r="F190" i="64"/>
  <c r="F195" i="64" s="1"/>
  <c r="F139" i="64"/>
  <c r="F209" i="64" s="1"/>
  <c r="F101" i="64"/>
  <c r="F100" i="64"/>
  <c r="F157" i="64"/>
  <c r="F153" i="64"/>
  <c r="F120" i="64"/>
  <c r="I208" i="64"/>
  <c r="I204" i="64"/>
  <c r="I205" i="64" s="1"/>
  <c r="I198" i="64"/>
  <c r="I190" i="64"/>
  <c r="I195" i="64" s="1"/>
  <c r="I157" i="64"/>
  <c r="I153" i="64"/>
  <c r="I100" i="64"/>
  <c r="I139" i="64"/>
  <c r="I209" i="64" s="1"/>
  <c r="I101" i="64"/>
  <c r="I224" i="64"/>
  <c r="I120" i="64"/>
  <c r="N224" i="64"/>
  <c r="N208" i="64"/>
  <c r="N204" i="64"/>
  <c r="N205" i="64" s="1"/>
  <c r="N198" i="64"/>
  <c r="N190" i="64"/>
  <c r="N195" i="64" s="1"/>
  <c r="N139" i="64"/>
  <c r="N209" i="64" s="1"/>
  <c r="N119" i="64"/>
  <c r="N123" i="64" s="1"/>
  <c r="N101" i="64"/>
  <c r="A112" i="64"/>
  <c r="N100" i="64"/>
  <c r="N153" i="64"/>
  <c r="N221" i="64" s="1"/>
  <c r="N157" i="64"/>
  <c r="R77" i="64"/>
  <c r="P93" i="64"/>
  <c r="AJ77" i="64"/>
  <c r="AJ93" i="64" s="1"/>
  <c r="AP77" i="64"/>
  <c r="P202" i="64"/>
  <c r="P203" i="64" s="1"/>
  <c r="P75" i="64"/>
  <c r="P187" i="64" s="1"/>
  <c r="P192" i="64" s="1"/>
  <c r="R2" i="64"/>
  <c r="AP2" i="64"/>
  <c r="AJ2" i="64"/>
  <c r="O208" i="64"/>
  <c r="O204" i="64"/>
  <c r="O205" i="64" s="1"/>
  <c r="O198" i="64"/>
  <c r="O190" i="64"/>
  <c r="O195" i="64" s="1"/>
  <c r="O224" i="64"/>
  <c r="O157" i="64"/>
  <c r="O153" i="64"/>
  <c r="O139" i="64"/>
  <c r="O209" i="64" s="1"/>
  <c r="O101" i="64"/>
  <c r="O100" i="64"/>
  <c r="G208" i="64"/>
  <c r="G204" i="64"/>
  <c r="G205" i="64" s="1"/>
  <c r="G198" i="64"/>
  <c r="G190" i="64"/>
  <c r="G195" i="64" s="1"/>
  <c r="G157" i="64"/>
  <c r="G153" i="64"/>
  <c r="G224" i="64"/>
  <c r="G139" i="64"/>
  <c r="G209" i="64" s="1"/>
  <c r="G120" i="64"/>
  <c r="G100" i="64"/>
  <c r="G101" i="64"/>
  <c r="M188" i="64"/>
  <c r="M193" i="64" s="1"/>
  <c r="M99" i="64"/>
  <c r="N141" i="64" s="1"/>
  <c r="N143" i="64" s="1"/>
  <c r="P143" i="64" s="1"/>
  <c r="R143" i="64" s="1"/>
  <c r="AN117" i="65"/>
  <c r="AM117" i="65"/>
  <c r="AM115" i="65"/>
  <c r="AN111" i="65"/>
  <c r="AN115" i="65" s="1"/>
  <c r="AN121" i="65" s="1"/>
  <c r="AN105" i="65"/>
  <c r="AB121" i="65"/>
  <c r="W80" i="67"/>
  <c r="W104" i="67" s="1"/>
  <c r="Q100" i="67"/>
  <c r="Q102" i="67" s="1"/>
  <c r="N102" i="67"/>
  <c r="N80" i="67"/>
  <c r="Q7" i="67"/>
  <c r="Q80" i="67" s="1"/>
  <c r="M112" i="67"/>
  <c r="M80" i="67"/>
  <c r="Q98" i="67"/>
  <c r="F104" i="67"/>
  <c r="F114" i="67" s="1"/>
  <c r="D104" i="69"/>
  <c r="F103" i="71"/>
  <c r="F107" i="71" s="1"/>
  <c r="F103" i="72"/>
  <c r="F126" i="72" s="1"/>
  <c r="G80" i="72"/>
  <c r="G103" i="72" s="1"/>
  <c r="AM121" i="65" l="1"/>
  <c r="P188" i="64"/>
  <c r="P193" i="64" s="1"/>
  <c r="P99" i="64"/>
  <c r="M224" i="64"/>
  <c r="M157" i="64"/>
  <c r="M153" i="64"/>
  <c r="M139" i="64"/>
  <c r="M209" i="64" s="1"/>
  <c r="M100" i="64"/>
  <c r="M190" i="64"/>
  <c r="M195" i="64" s="1"/>
  <c r="M101" i="64"/>
  <c r="M204" i="64"/>
  <c r="M205" i="64" s="1"/>
  <c r="M208" i="64"/>
  <c r="M198" i="64"/>
  <c r="M120" i="64"/>
  <c r="R202" i="64"/>
  <c r="R203" i="64" s="1"/>
  <c r="Z2" i="64"/>
  <c r="Z143" i="64"/>
  <c r="Z150" i="64" s="1"/>
  <c r="R150" i="64"/>
  <c r="AJ75" i="64"/>
  <c r="AJ99" i="64" s="1"/>
  <c r="AJ224" i="64" s="1"/>
  <c r="Z77" i="64"/>
  <c r="Z73" i="64"/>
  <c r="R115" i="64"/>
  <c r="R117" i="64" s="1"/>
  <c r="N104" i="67"/>
  <c r="N105" i="67" s="1"/>
  <c r="M104" i="67"/>
  <c r="H2" i="67"/>
  <c r="P224" i="64" l="1"/>
  <c r="P208" i="64"/>
  <c r="P204" i="64"/>
  <c r="P205" i="64" s="1"/>
  <c r="P198" i="64"/>
  <c r="P190" i="64"/>
  <c r="P195" i="64" s="1"/>
  <c r="P157" i="64"/>
  <c r="P153" i="64"/>
  <c r="P221" i="64" s="1"/>
  <c r="P140" i="64"/>
  <c r="P139" i="64"/>
  <c r="P209" i="64" s="1"/>
  <c r="P101" i="64"/>
  <c r="P100" i="64"/>
  <c r="A111" i="64"/>
  <c r="P119" i="64"/>
  <c r="P123" i="64" s="1"/>
  <c r="M114" i="67"/>
  <c r="P122" i="67"/>
  <c r="AH101" i="77" l="1"/>
  <c r="AH103" i="77" s="1"/>
  <c r="AH99" i="77"/>
  <c r="AD97" i="77"/>
  <c r="AD99" i="77" s="1"/>
  <c r="AC97" i="77"/>
  <c r="P97" i="77"/>
  <c r="G97" i="77"/>
  <c r="O97" i="77"/>
  <c r="N97" i="77"/>
  <c r="M97" i="77"/>
  <c r="L97" i="77"/>
  <c r="F97" i="77"/>
  <c r="C97" i="77"/>
  <c r="AD93" i="77"/>
  <c r="AC93" i="77"/>
  <c r="P93" i="77"/>
  <c r="G93" i="77"/>
  <c r="AD75" i="77"/>
  <c r="AC75" i="77"/>
  <c r="P75" i="77"/>
  <c r="G75" i="77"/>
  <c r="F75" i="77"/>
  <c r="J2" i="77"/>
  <c r="D109" i="79"/>
  <c r="D108" i="79"/>
  <c r="D110" i="79" s="1"/>
  <c r="Q107" i="79"/>
  <c r="Z104" i="79"/>
  <c r="AG102" i="79"/>
  <c r="AF102" i="79"/>
  <c r="AD102" i="79"/>
  <c r="AB102" i="79"/>
  <c r="Z102" i="79"/>
  <c r="Y102" i="79"/>
  <c r="X102" i="79"/>
  <c r="V102" i="79"/>
  <c r="U102" i="79"/>
  <c r="U104" i="79" s="1"/>
  <c r="T102" i="79"/>
  <c r="R102" i="79"/>
  <c r="AG100" i="79"/>
  <c r="AE100" i="79"/>
  <c r="AE102" i="79" s="1"/>
  <c r="AC100" i="79"/>
  <c r="AC102" i="79" s="1"/>
  <c r="AA100" i="79"/>
  <c r="AA102" i="79" s="1"/>
  <c r="Y100" i="79"/>
  <c r="W100" i="79"/>
  <c r="W102" i="79" s="1"/>
  <c r="S100" i="79"/>
  <c r="P100" i="79"/>
  <c r="P102" i="79" s="1"/>
  <c r="M102" i="79"/>
  <c r="L100" i="79"/>
  <c r="L102" i="79" s="1"/>
  <c r="J100" i="79"/>
  <c r="J102" i="79" s="1"/>
  <c r="E102" i="79"/>
  <c r="D102" i="79"/>
  <c r="AF98" i="79"/>
  <c r="AD98" i="79"/>
  <c r="AD104" i="79" s="1"/>
  <c r="AB98" i="79"/>
  <c r="Z98" i="79"/>
  <c r="X98" i="79"/>
  <c r="V98" i="79"/>
  <c r="V104" i="79" s="1"/>
  <c r="U98" i="79"/>
  <c r="T98" i="79"/>
  <c r="R98" i="79"/>
  <c r="AG96" i="79"/>
  <c r="AE96" i="79"/>
  <c r="AC96" i="79"/>
  <c r="AA96" i="79"/>
  <c r="AH96" i="79" s="1"/>
  <c r="Y96" i="79"/>
  <c r="W96" i="79"/>
  <c r="S96" i="79"/>
  <c r="P96" i="79"/>
  <c r="N96" i="79"/>
  <c r="L96" i="79"/>
  <c r="J96" i="79"/>
  <c r="H96" i="79"/>
  <c r="AG95" i="79"/>
  <c r="AE95" i="79"/>
  <c r="AC95" i="79"/>
  <c r="AA95" i="79"/>
  <c r="Y95" i="79"/>
  <c r="W95" i="79"/>
  <c r="S95" i="79"/>
  <c r="P95" i="79"/>
  <c r="N95" i="79"/>
  <c r="L95" i="79"/>
  <c r="J95" i="79"/>
  <c r="H95" i="79"/>
  <c r="AG94" i="79"/>
  <c r="AE94" i="79"/>
  <c r="AC94" i="79"/>
  <c r="AA94" i="79"/>
  <c r="Y94" i="79"/>
  <c r="W94" i="79"/>
  <c r="Q94" i="79"/>
  <c r="AG93" i="79"/>
  <c r="AE93" i="79"/>
  <c r="AC93" i="79"/>
  <c r="AA93" i="79"/>
  <c r="Y93" i="79"/>
  <c r="W93" i="79"/>
  <c r="S93" i="79"/>
  <c r="P93" i="79"/>
  <c r="N93" i="79"/>
  <c r="L93" i="79"/>
  <c r="J93" i="79"/>
  <c r="H93" i="79"/>
  <c r="F93" i="79"/>
  <c r="AG92" i="79"/>
  <c r="AE92" i="79"/>
  <c r="AC92" i="79"/>
  <c r="AA92" i="79"/>
  <c r="AH92" i="79" s="1"/>
  <c r="Y92" i="79"/>
  <c r="W92" i="79"/>
  <c r="S92" i="79"/>
  <c r="P92" i="79"/>
  <c r="N92" i="79"/>
  <c r="L92" i="79"/>
  <c r="J92" i="79"/>
  <c r="H92" i="79"/>
  <c r="AG91" i="79"/>
  <c r="AH91" i="79" s="1"/>
  <c r="AE91" i="79"/>
  <c r="AC91" i="79"/>
  <c r="AA91" i="79"/>
  <c r="Y91" i="79"/>
  <c r="W91" i="79"/>
  <c r="S91" i="79"/>
  <c r="P91" i="79"/>
  <c r="N91" i="79"/>
  <c r="L91" i="79"/>
  <c r="J91" i="79"/>
  <c r="H91" i="79"/>
  <c r="AG90" i="79"/>
  <c r="AE90" i="79"/>
  <c r="AC90" i="79"/>
  <c r="AA90" i="79"/>
  <c r="Y90" i="79"/>
  <c r="W90" i="79"/>
  <c r="W98" i="79" s="1"/>
  <c r="S90" i="79"/>
  <c r="P90" i="79"/>
  <c r="N90" i="79"/>
  <c r="L90" i="79"/>
  <c r="J90" i="79"/>
  <c r="H90" i="79"/>
  <c r="AG89" i="79"/>
  <c r="AE89" i="79"/>
  <c r="AC89" i="79"/>
  <c r="AA89" i="79"/>
  <c r="Y89" i="79"/>
  <c r="W89" i="79"/>
  <c r="S89" i="79"/>
  <c r="P89" i="79"/>
  <c r="N89" i="79"/>
  <c r="L89" i="79"/>
  <c r="J89" i="79"/>
  <c r="H89" i="79"/>
  <c r="F89" i="79"/>
  <c r="AG88" i="79"/>
  <c r="AE88" i="79"/>
  <c r="AC88" i="79"/>
  <c r="AA88" i="79"/>
  <c r="AH88" i="79" s="1"/>
  <c r="Y88" i="79"/>
  <c r="W88" i="79"/>
  <c r="S88" i="79"/>
  <c r="P88" i="79"/>
  <c r="N88" i="79"/>
  <c r="L88" i="79"/>
  <c r="J88" i="79"/>
  <c r="H88" i="79"/>
  <c r="F88" i="79"/>
  <c r="AG87" i="79"/>
  <c r="AE87" i="79"/>
  <c r="AC87" i="79"/>
  <c r="AA87" i="79"/>
  <c r="AH87" i="79" s="1"/>
  <c r="Y87" i="79"/>
  <c r="W87" i="79"/>
  <c r="S87" i="79"/>
  <c r="P87" i="79"/>
  <c r="N87" i="79"/>
  <c r="L87" i="79"/>
  <c r="J87" i="79"/>
  <c r="H87" i="79"/>
  <c r="AG86" i="79"/>
  <c r="AE86" i="79"/>
  <c r="AC86" i="79"/>
  <c r="AA86" i="79"/>
  <c r="Y86" i="79"/>
  <c r="W86" i="79"/>
  <c r="S86" i="79"/>
  <c r="P86" i="79"/>
  <c r="N86" i="79"/>
  <c r="L86" i="79"/>
  <c r="J86" i="79"/>
  <c r="H86" i="79"/>
  <c r="AG85" i="79"/>
  <c r="AE85" i="79"/>
  <c r="AC85" i="79"/>
  <c r="AA85" i="79"/>
  <c r="Y85" i="79"/>
  <c r="W85" i="79"/>
  <c r="S85" i="79"/>
  <c r="P85" i="79"/>
  <c r="N85" i="79"/>
  <c r="L85" i="79"/>
  <c r="J85" i="79"/>
  <c r="H85" i="79"/>
  <c r="AG84" i="79"/>
  <c r="AE84" i="79"/>
  <c r="AC84" i="79"/>
  <c r="AA84" i="79"/>
  <c r="AH84" i="79" s="1"/>
  <c r="Y84" i="79"/>
  <c r="W84" i="79"/>
  <c r="S84" i="79"/>
  <c r="P84" i="79"/>
  <c r="N84" i="79"/>
  <c r="L84" i="79"/>
  <c r="J84" i="79"/>
  <c r="H84" i="79"/>
  <c r="AG83" i="79"/>
  <c r="AH83" i="79" s="1"/>
  <c r="AE83" i="79"/>
  <c r="AC83" i="79"/>
  <c r="AA83" i="79"/>
  <c r="Y83" i="79"/>
  <c r="W83" i="79"/>
  <c r="S83" i="79"/>
  <c r="P83" i="79"/>
  <c r="N83" i="79"/>
  <c r="L83" i="79"/>
  <c r="J83" i="79"/>
  <c r="H83" i="79"/>
  <c r="AG82" i="79"/>
  <c r="AE82" i="79"/>
  <c r="AC82" i="79"/>
  <c r="AA82" i="79"/>
  <c r="Y82" i="79"/>
  <c r="W82" i="79"/>
  <c r="S82" i="79"/>
  <c r="N82" i="79"/>
  <c r="J82" i="79"/>
  <c r="H82" i="79"/>
  <c r="AF80" i="79"/>
  <c r="AD80" i="79"/>
  <c r="AB80" i="79"/>
  <c r="Z80" i="79"/>
  <c r="X80" i="79"/>
  <c r="X104" i="79" s="1"/>
  <c r="V80" i="79"/>
  <c r="U80" i="79"/>
  <c r="T80" i="79"/>
  <c r="T104" i="79" s="1"/>
  <c r="R80" i="79"/>
  <c r="AG78" i="79"/>
  <c r="AE78" i="79"/>
  <c r="AC78" i="79"/>
  <c r="AA78" i="79"/>
  <c r="AH78" i="79" s="1"/>
  <c r="Y78" i="79"/>
  <c r="W78" i="79"/>
  <c r="P78" i="79"/>
  <c r="N78" i="79"/>
  <c r="L78" i="79"/>
  <c r="J78" i="79"/>
  <c r="H78" i="79"/>
  <c r="AG77" i="79"/>
  <c r="AE77" i="79"/>
  <c r="AC77" i="79"/>
  <c r="AA77" i="79"/>
  <c r="Y77" i="79"/>
  <c r="W77" i="79"/>
  <c r="P77" i="79"/>
  <c r="N77" i="79"/>
  <c r="L77" i="79"/>
  <c r="J77" i="79"/>
  <c r="H77" i="79"/>
  <c r="AG76" i="79"/>
  <c r="AE76" i="79"/>
  <c r="AC76" i="79"/>
  <c r="AA76" i="79"/>
  <c r="AH76" i="79" s="1"/>
  <c r="Y76" i="79"/>
  <c r="W76" i="79"/>
  <c r="P76" i="79"/>
  <c r="N76" i="79"/>
  <c r="L76" i="79"/>
  <c r="J76" i="79"/>
  <c r="H76" i="79"/>
  <c r="AG75" i="79"/>
  <c r="AE75" i="79"/>
  <c r="AC75" i="79"/>
  <c r="AA75" i="79"/>
  <c r="Y75" i="79"/>
  <c r="W75" i="79"/>
  <c r="P75" i="79"/>
  <c r="N75" i="79"/>
  <c r="L75" i="79"/>
  <c r="J75" i="79"/>
  <c r="H75" i="79"/>
  <c r="AG74" i="79"/>
  <c r="AE74" i="79"/>
  <c r="AC74" i="79"/>
  <c r="AA74" i="79"/>
  <c r="AH74" i="79" s="1"/>
  <c r="Y74" i="79"/>
  <c r="W74" i="79"/>
  <c r="P74" i="79"/>
  <c r="N74" i="79"/>
  <c r="L74" i="79"/>
  <c r="J74" i="79"/>
  <c r="H74" i="79"/>
  <c r="AG73" i="79"/>
  <c r="AE73" i="79"/>
  <c r="AC73" i="79"/>
  <c r="AA73" i="79"/>
  <c r="Y73" i="79"/>
  <c r="W73" i="79"/>
  <c r="P73" i="79"/>
  <c r="N73" i="79"/>
  <c r="L73" i="79"/>
  <c r="J73" i="79"/>
  <c r="H73" i="79"/>
  <c r="AG72" i="79"/>
  <c r="AE72" i="79"/>
  <c r="AC72" i="79"/>
  <c r="AA72" i="79"/>
  <c r="AH72" i="79" s="1"/>
  <c r="Y72" i="79"/>
  <c r="W72" i="79"/>
  <c r="P72" i="79"/>
  <c r="N72" i="79"/>
  <c r="L72" i="79"/>
  <c r="J72" i="79"/>
  <c r="H72" i="79"/>
  <c r="AG71" i="79"/>
  <c r="AE71" i="79"/>
  <c r="AC71" i="79"/>
  <c r="AA71" i="79"/>
  <c r="Y71" i="79"/>
  <c r="W71" i="79"/>
  <c r="P71" i="79"/>
  <c r="N71" i="79"/>
  <c r="L71" i="79"/>
  <c r="J71" i="79"/>
  <c r="H71" i="79"/>
  <c r="F71" i="79"/>
  <c r="AG70" i="79"/>
  <c r="AE70" i="79"/>
  <c r="AC70" i="79"/>
  <c r="AA70" i="79"/>
  <c r="AH70" i="79" s="1"/>
  <c r="Y70" i="79"/>
  <c r="W70" i="79"/>
  <c r="P70" i="79"/>
  <c r="N70" i="79"/>
  <c r="L70" i="79"/>
  <c r="J70" i="79"/>
  <c r="H70" i="79"/>
  <c r="AG69" i="79"/>
  <c r="AH69" i="79" s="1"/>
  <c r="AE69" i="79"/>
  <c r="AC69" i="79"/>
  <c r="AA69" i="79"/>
  <c r="Y69" i="79"/>
  <c r="W69" i="79"/>
  <c r="P69" i="79"/>
  <c r="N69" i="79"/>
  <c r="L69" i="79"/>
  <c r="J69" i="79"/>
  <c r="H69" i="79"/>
  <c r="AG68" i="79"/>
  <c r="AE68" i="79"/>
  <c r="AC68" i="79"/>
  <c r="AA68" i="79"/>
  <c r="AH68" i="79" s="1"/>
  <c r="Y68" i="79"/>
  <c r="W68" i="79"/>
  <c r="P68" i="79"/>
  <c r="N68" i="79"/>
  <c r="L68" i="79"/>
  <c r="J68" i="79"/>
  <c r="H68" i="79"/>
  <c r="AG67" i="79"/>
  <c r="AE67" i="79"/>
  <c r="AC67" i="79"/>
  <c r="AA67" i="79"/>
  <c r="Y67" i="79"/>
  <c r="W67" i="79"/>
  <c r="P67" i="79"/>
  <c r="N67" i="79"/>
  <c r="L67" i="79"/>
  <c r="J67" i="79"/>
  <c r="H67" i="79"/>
  <c r="AG66" i="79"/>
  <c r="AE66" i="79"/>
  <c r="AC66" i="79"/>
  <c r="AA66" i="79"/>
  <c r="AH66" i="79" s="1"/>
  <c r="Y66" i="79"/>
  <c r="W66" i="79"/>
  <c r="P66" i="79"/>
  <c r="N66" i="79"/>
  <c r="L66" i="79"/>
  <c r="J66" i="79"/>
  <c r="H66" i="79"/>
  <c r="AG65" i="79"/>
  <c r="AE65" i="79"/>
  <c r="AC65" i="79"/>
  <c r="AA65" i="79"/>
  <c r="Y65" i="79"/>
  <c r="W65" i="79"/>
  <c r="P65" i="79"/>
  <c r="N65" i="79"/>
  <c r="L65" i="79"/>
  <c r="J65" i="79"/>
  <c r="H65" i="79"/>
  <c r="AG64" i="79"/>
  <c r="AE64" i="79"/>
  <c r="AC64" i="79"/>
  <c r="AA64" i="79"/>
  <c r="Y64" i="79"/>
  <c r="W64" i="79"/>
  <c r="P64" i="79"/>
  <c r="N64" i="79"/>
  <c r="L64" i="79"/>
  <c r="J64" i="79"/>
  <c r="H64" i="79"/>
  <c r="AG63" i="79"/>
  <c r="AE63" i="79"/>
  <c r="AC63" i="79"/>
  <c r="AH63" i="79" s="1"/>
  <c r="AA63" i="79"/>
  <c r="Y63" i="79"/>
  <c r="W63" i="79"/>
  <c r="P63" i="79"/>
  <c r="N63" i="79"/>
  <c r="L63" i="79"/>
  <c r="J63" i="79"/>
  <c r="H63" i="79"/>
  <c r="AG62" i="79"/>
  <c r="AE62" i="79"/>
  <c r="AC62" i="79"/>
  <c r="AA62" i="79"/>
  <c r="Y62" i="79"/>
  <c r="W62" i="79"/>
  <c r="P62" i="79"/>
  <c r="N62" i="79"/>
  <c r="L62" i="79"/>
  <c r="J62" i="79"/>
  <c r="H62" i="79"/>
  <c r="AG61" i="79"/>
  <c r="AE61" i="79"/>
  <c r="AC61" i="79"/>
  <c r="AH61" i="79" s="1"/>
  <c r="AA61" i="79"/>
  <c r="Y61" i="79"/>
  <c r="W61" i="79"/>
  <c r="P61" i="79"/>
  <c r="N61" i="79"/>
  <c r="L61" i="79"/>
  <c r="J61" i="79"/>
  <c r="H61" i="79"/>
  <c r="AG60" i="79"/>
  <c r="AE60" i="79"/>
  <c r="AC60" i="79"/>
  <c r="AA60" i="79"/>
  <c r="Y60" i="79"/>
  <c r="W60" i="79"/>
  <c r="P60" i="79"/>
  <c r="N60" i="79"/>
  <c r="L60" i="79"/>
  <c r="J60" i="79"/>
  <c r="H60" i="79"/>
  <c r="AG59" i="79"/>
  <c r="AE59" i="79"/>
  <c r="AC59" i="79"/>
  <c r="AH59" i="79" s="1"/>
  <c r="AA59" i="79"/>
  <c r="Y59" i="79"/>
  <c r="W59" i="79"/>
  <c r="P59" i="79"/>
  <c r="N59" i="79"/>
  <c r="L59" i="79"/>
  <c r="J59" i="79"/>
  <c r="H59" i="79"/>
  <c r="AG58" i="79"/>
  <c r="AE58" i="79"/>
  <c r="AC58" i="79"/>
  <c r="AA58" i="79"/>
  <c r="Y58" i="79"/>
  <c r="W58" i="79"/>
  <c r="P58" i="79"/>
  <c r="N58" i="79"/>
  <c r="L58" i="79"/>
  <c r="J58" i="79"/>
  <c r="H58" i="79"/>
  <c r="AG57" i="79"/>
  <c r="AE57" i="79"/>
  <c r="AC57" i="79"/>
  <c r="AH57" i="79" s="1"/>
  <c r="AA57" i="79"/>
  <c r="Y57" i="79"/>
  <c r="W57" i="79"/>
  <c r="P57" i="79"/>
  <c r="N57" i="79"/>
  <c r="L57" i="79"/>
  <c r="J57" i="79"/>
  <c r="H57" i="79"/>
  <c r="AG56" i="79"/>
  <c r="AE56" i="79"/>
  <c r="AC56" i="79"/>
  <c r="AA56" i="79"/>
  <c r="Y56" i="79"/>
  <c r="W56" i="79"/>
  <c r="P56" i="79"/>
  <c r="N56" i="79"/>
  <c r="L56" i="79"/>
  <c r="J56" i="79"/>
  <c r="H56" i="79"/>
  <c r="AG55" i="79"/>
  <c r="AE55" i="79"/>
  <c r="AC55" i="79"/>
  <c r="AH55" i="79" s="1"/>
  <c r="AA55" i="79"/>
  <c r="Y55" i="79"/>
  <c r="W55" i="79"/>
  <c r="P55" i="79"/>
  <c r="N55" i="79"/>
  <c r="L55" i="79"/>
  <c r="J55" i="79"/>
  <c r="H55" i="79"/>
  <c r="AG54" i="79"/>
  <c r="AE54" i="79"/>
  <c r="AC54" i="79"/>
  <c r="AA54" i="79"/>
  <c r="Y54" i="79"/>
  <c r="W54" i="79"/>
  <c r="P54" i="79"/>
  <c r="N54" i="79"/>
  <c r="L54" i="79"/>
  <c r="J54" i="79"/>
  <c r="H54" i="79"/>
  <c r="AG53" i="79"/>
  <c r="AE53" i="79"/>
  <c r="AC53" i="79"/>
  <c r="AH53" i="79" s="1"/>
  <c r="AA53" i="79"/>
  <c r="Y53" i="79"/>
  <c r="W53" i="79"/>
  <c r="P53" i="79"/>
  <c r="N53" i="79"/>
  <c r="L53" i="79"/>
  <c r="J53" i="79"/>
  <c r="H53" i="79"/>
  <c r="AG52" i="79"/>
  <c r="AE52" i="79"/>
  <c r="AC52" i="79"/>
  <c r="AA52" i="79"/>
  <c r="Y52" i="79"/>
  <c r="W52" i="79"/>
  <c r="P52" i="79"/>
  <c r="N52" i="79"/>
  <c r="L52" i="79"/>
  <c r="J52" i="79"/>
  <c r="H52" i="79"/>
  <c r="AG51" i="79"/>
  <c r="AE51" i="79"/>
  <c r="AC51" i="79"/>
  <c r="AH51" i="79" s="1"/>
  <c r="AA51" i="79"/>
  <c r="Y51" i="79"/>
  <c r="W51" i="79"/>
  <c r="P51" i="79"/>
  <c r="N51" i="79"/>
  <c r="L51" i="79"/>
  <c r="J51" i="79"/>
  <c r="H51" i="79"/>
  <c r="AG50" i="79"/>
  <c r="AE50" i="79"/>
  <c r="AC50" i="79"/>
  <c r="AA50" i="79"/>
  <c r="Y50" i="79"/>
  <c r="W50" i="79"/>
  <c r="P50" i="79"/>
  <c r="N50" i="79"/>
  <c r="L50" i="79"/>
  <c r="J50" i="79"/>
  <c r="H50" i="79"/>
  <c r="AG49" i="79"/>
  <c r="AE49" i="79"/>
  <c r="AC49" i="79"/>
  <c r="AH49" i="79" s="1"/>
  <c r="AA49" i="79"/>
  <c r="Y49" i="79"/>
  <c r="W49" i="79"/>
  <c r="P49" i="79"/>
  <c r="N49" i="79"/>
  <c r="L49" i="79"/>
  <c r="J49" i="79"/>
  <c r="H49" i="79"/>
  <c r="AG48" i="79"/>
  <c r="AE48" i="79"/>
  <c r="AC48" i="79"/>
  <c r="AA48" i="79"/>
  <c r="Y48" i="79"/>
  <c r="W48" i="79"/>
  <c r="P48" i="79"/>
  <c r="N48" i="79"/>
  <c r="L48" i="79"/>
  <c r="J48" i="79"/>
  <c r="H48" i="79"/>
  <c r="AG47" i="79"/>
  <c r="AE47" i="79"/>
  <c r="AC47" i="79"/>
  <c r="AH47" i="79" s="1"/>
  <c r="AA47" i="79"/>
  <c r="Y47" i="79"/>
  <c r="W47" i="79"/>
  <c r="P47" i="79"/>
  <c r="N47" i="79"/>
  <c r="L47" i="79"/>
  <c r="J47" i="79"/>
  <c r="H47" i="79"/>
  <c r="AG46" i="79"/>
  <c r="AE46" i="79"/>
  <c r="AC46" i="79"/>
  <c r="AA46" i="79"/>
  <c r="Y46" i="79"/>
  <c r="W46" i="79"/>
  <c r="P46" i="79"/>
  <c r="N46" i="79"/>
  <c r="L46" i="79"/>
  <c r="J46" i="79"/>
  <c r="H46" i="79"/>
  <c r="AG45" i="79"/>
  <c r="AE45" i="79"/>
  <c r="AC45" i="79"/>
  <c r="AA45" i="79"/>
  <c r="Y45" i="79"/>
  <c r="W45" i="79"/>
  <c r="P45" i="79"/>
  <c r="N45" i="79"/>
  <c r="L45" i="79"/>
  <c r="J45" i="79"/>
  <c r="H45" i="79"/>
  <c r="AG44" i="79"/>
  <c r="AE44" i="79"/>
  <c r="AC44" i="79"/>
  <c r="AA44" i="79"/>
  <c r="Y44" i="79"/>
  <c r="W44" i="79"/>
  <c r="P44" i="79"/>
  <c r="N44" i="79"/>
  <c r="L44" i="79"/>
  <c r="J44" i="79"/>
  <c r="H44" i="79"/>
  <c r="F44" i="79"/>
  <c r="AG43" i="79"/>
  <c r="AE43" i="79"/>
  <c r="AC43" i="79"/>
  <c r="AA43" i="79"/>
  <c r="AH43" i="79" s="1"/>
  <c r="Y43" i="79"/>
  <c r="W43" i="79"/>
  <c r="P43" i="79"/>
  <c r="N43" i="79"/>
  <c r="L43" i="79"/>
  <c r="J43" i="79"/>
  <c r="H43" i="79"/>
  <c r="AG42" i="79"/>
  <c r="AE42" i="79"/>
  <c r="AC42" i="79"/>
  <c r="AA42" i="79"/>
  <c r="Y42" i="79"/>
  <c r="W42" i="79"/>
  <c r="P42" i="79"/>
  <c r="N42" i="79"/>
  <c r="L42" i="79"/>
  <c r="J42" i="79"/>
  <c r="H42" i="79"/>
  <c r="F42" i="79"/>
  <c r="AG41" i="79"/>
  <c r="AE41" i="79"/>
  <c r="AC41" i="79"/>
  <c r="AA41" i="79"/>
  <c r="AH41" i="79" s="1"/>
  <c r="Y41" i="79"/>
  <c r="W41" i="79"/>
  <c r="P41" i="79"/>
  <c r="N41" i="79"/>
  <c r="L41" i="79"/>
  <c r="J41" i="79"/>
  <c r="H41" i="79"/>
  <c r="AG40" i="79"/>
  <c r="AE40" i="79"/>
  <c r="AC40" i="79"/>
  <c r="AA40" i="79"/>
  <c r="Y40" i="79"/>
  <c r="W40" i="79"/>
  <c r="P40" i="79"/>
  <c r="N40" i="79"/>
  <c r="L40" i="79"/>
  <c r="J40" i="79"/>
  <c r="H40" i="79"/>
  <c r="AG39" i="79"/>
  <c r="AE39" i="79"/>
  <c r="AC39" i="79"/>
  <c r="AA39" i="79"/>
  <c r="Y39" i="79"/>
  <c r="W39" i="79"/>
  <c r="P39" i="79"/>
  <c r="N39" i="79"/>
  <c r="L39" i="79"/>
  <c r="J39" i="79"/>
  <c r="H39" i="79"/>
  <c r="AG38" i="79"/>
  <c r="AE38" i="79"/>
  <c r="AC38" i="79"/>
  <c r="AA38" i="79"/>
  <c r="Y38" i="79"/>
  <c r="W38" i="79"/>
  <c r="P38" i="79"/>
  <c r="N38" i="79"/>
  <c r="L38" i="79"/>
  <c r="J38" i="79"/>
  <c r="H38" i="79"/>
  <c r="AG37" i="79"/>
  <c r="AE37" i="79"/>
  <c r="AC37" i="79"/>
  <c r="AA37" i="79"/>
  <c r="Y37" i="79"/>
  <c r="W37" i="79"/>
  <c r="P37" i="79"/>
  <c r="N37" i="79"/>
  <c r="L37" i="79"/>
  <c r="J37" i="79"/>
  <c r="H37" i="79"/>
  <c r="AG36" i="79"/>
  <c r="AE36" i="79"/>
  <c r="AC36" i="79"/>
  <c r="AA36" i="79"/>
  <c r="Y36" i="79"/>
  <c r="W36" i="79"/>
  <c r="P36" i="79"/>
  <c r="N36" i="79"/>
  <c r="L36" i="79"/>
  <c r="J36" i="79"/>
  <c r="H36" i="79"/>
  <c r="AG35" i="79"/>
  <c r="AH35" i="79" s="1"/>
  <c r="AE35" i="79"/>
  <c r="AC35" i="79"/>
  <c r="AA35" i="79"/>
  <c r="Y35" i="79"/>
  <c r="W35" i="79"/>
  <c r="P35" i="79"/>
  <c r="N35" i="79"/>
  <c r="L35" i="79"/>
  <c r="J35" i="79"/>
  <c r="H35" i="79"/>
  <c r="AG34" i="79"/>
  <c r="AE34" i="79"/>
  <c r="AC34" i="79"/>
  <c r="AA34" i="79"/>
  <c r="Y34" i="79"/>
  <c r="W34" i="79"/>
  <c r="P34" i="79"/>
  <c r="N34" i="79"/>
  <c r="L34" i="79"/>
  <c r="J34" i="79"/>
  <c r="H34" i="79"/>
  <c r="AG33" i="79"/>
  <c r="AE33" i="79"/>
  <c r="AC33" i="79"/>
  <c r="AH33" i="79" s="1"/>
  <c r="AA33" i="79"/>
  <c r="Y33" i="79"/>
  <c r="W33" i="79"/>
  <c r="P33" i="79"/>
  <c r="N33" i="79"/>
  <c r="L33" i="79"/>
  <c r="J33" i="79"/>
  <c r="H33" i="79"/>
  <c r="AG32" i="79"/>
  <c r="AE32" i="79"/>
  <c r="AC32" i="79"/>
  <c r="AA32" i="79"/>
  <c r="Y32" i="79"/>
  <c r="W32" i="79"/>
  <c r="P32" i="79"/>
  <c r="N32" i="79"/>
  <c r="L32" i="79"/>
  <c r="J32" i="79"/>
  <c r="H32" i="79"/>
  <c r="AG31" i="79"/>
  <c r="AE31" i="79"/>
  <c r="AC31" i="79"/>
  <c r="AA31" i="79"/>
  <c r="Y31" i="79"/>
  <c r="W31" i="79"/>
  <c r="P31" i="79"/>
  <c r="N31" i="79"/>
  <c r="L31" i="79"/>
  <c r="J31" i="79"/>
  <c r="H31" i="79"/>
  <c r="AG30" i="79"/>
  <c r="AE30" i="79"/>
  <c r="AC30" i="79"/>
  <c r="AA30" i="79"/>
  <c r="Y30" i="79"/>
  <c r="W30" i="79"/>
  <c r="P30" i="79"/>
  <c r="N30" i="79"/>
  <c r="L30" i="79"/>
  <c r="J30" i="79"/>
  <c r="H30" i="79"/>
  <c r="AG29" i="79"/>
  <c r="AH29" i="79" s="1"/>
  <c r="AE29" i="79"/>
  <c r="AC29" i="79"/>
  <c r="AA29" i="79"/>
  <c r="Y29" i="79"/>
  <c r="W29" i="79"/>
  <c r="P29" i="79"/>
  <c r="N29" i="79"/>
  <c r="L29" i="79"/>
  <c r="J29" i="79"/>
  <c r="H29" i="79"/>
  <c r="AG28" i="79"/>
  <c r="AE28" i="79"/>
  <c r="AC28" i="79"/>
  <c r="AA28" i="79"/>
  <c r="Y28" i="79"/>
  <c r="W28" i="79"/>
  <c r="P28" i="79"/>
  <c r="N28" i="79"/>
  <c r="L28" i="79"/>
  <c r="J28" i="79"/>
  <c r="H28" i="79"/>
  <c r="AG27" i="79"/>
  <c r="AH27" i="79" s="1"/>
  <c r="AE27" i="79"/>
  <c r="AC27" i="79"/>
  <c r="AA27" i="79"/>
  <c r="Y27" i="79"/>
  <c r="W27" i="79"/>
  <c r="P27" i="79"/>
  <c r="N27" i="79"/>
  <c r="L27" i="79"/>
  <c r="J27" i="79"/>
  <c r="H27" i="79"/>
  <c r="AG26" i="79"/>
  <c r="AE26" i="79"/>
  <c r="AC26" i="79"/>
  <c r="AA26" i="79"/>
  <c r="Y26" i="79"/>
  <c r="W26" i="79"/>
  <c r="P26" i="79"/>
  <c r="N26" i="79"/>
  <c r="L26" i="79"/>
  <c r="J26" i="79"/>
  <c r="H26" i="79"/>
  <c r="AG25" i="79"/>
  <c r="AE25" i="79"/>
  <c r="AC25" i="79"/>
  <c r="AA25" i="79"/>
  <c r="AH25" i="79" s="1"/>
  <c r="Y25" i="79"/>
  <c r="W25" i="79"/>
  <c r="P25" i="79"/>
  <c r="N25" i="79"/>
  <c r="L25" i="79"/>
  <c r="J25" i="79"/>
  <c r="H25" i="79"/>
  <c r="AG24" i="79"/>
  <c r="AE24" i="79"/>
  <c r="AC24" i="79"/>
  <c r="AA24" i="79"/>
  <c r="Y24" i="79"/>
  <c r="W24" i="79"/>
  <c r="P24" i="79"/>
  <c r="N24" i="79"/>
  <c r="L24" i="79"/>
  <c r="J24" i="79"/>
  <c r="H24" i="79"/>
  <c r="AG23" i="79"/>
  <c r="AE23" i="79"/>
  <c r="AC23" i="79"/>
  <c r="AA23" i="79"/>
  <c r="AH23" i="79" s="1"/>
  <c r="Y23" i="79"/>
  <c r="W23" i="79"/>
  <c r="P23" i="79"/>
  <c r="N23" i="79"/>
  <c r="L23" i="79"/>
  <c r="J23" i="79"/>
  <c r="H23" i="79"/>
  <c r="AG22" i="79"/>
  <c r="AH22" i="79" s="1"/>
  <c r="AE22" i="79"/>
  <c r="AC22" i="79"/>
  <c r="AA22" i="79"/>
  <c r="Y22" i="79"/>
  <c r="W22" i="79"/>
  <c r="P22" i="79"/>
  <c r="N22" i="79"/>
  <c r="L22" i="79"/>
  <c r="J22" i="79"/>
  <c r="H22" i="79"/>
  <c r="AG21" i="79"/>
  <c r="AE21" i="79"/>
  <c r="AH21" i="79" s="1"/>
  <c r="AC21" i="79"/>
  <c r="AA21" i="79"/>
  <c r="Y21" i="79"/>
  <c r="W21" i="79"/>
  <c r="P21" i="79"/>
  <c r="N21" i="79"/>
  <c r="L21" i="79"/>
  <c r="J21" i="79"/>
  <c r="H21" i="79"/>
  <c r="AG20" i="79"/>
  <c r="AE20" i="79"/>
  <c r="AC20" i="79"/>
  <c r="AA20" i="79"/>
  <c r="AH20" i="79" s="1"/>
  <c r="Y20" i="79"/>
  <c r="W20" i="79"/>
  <c r="P20" i="79"/>
  <c r="N20" i="79"/>
  <c r="L20" i="79"/>
  <c r="J20" i="79"/>
  <c r="H20" i="79"/>
  <c r="AG19" i="79"/>
  <c r="AE19" i="79"/>
  <c r="AH19" i="79" s="1"/>
  <c r="AC19" i="79"/>
  <c r="AA19" i="79"/>
  <c r="Y19" i="79"/>
  <c r="W19" i="79"/>
  <c r="P19" i="79"/>
  <c r="N19" i="79"/>
  <c r="L19" i="79"/>
  <c r="J19" i="79"/>
  <c r="H19" i="79"/>
  <c r="AG18" i="79"/>
  <c r="AH18" i="79" s="1"/>
  <c r="AE18" i="79"/>
  <c r="AC18" i="79"/>
  <c r="AA18" i="79"/>
  <c r="Y18" i="79"/>
  <c r="W18" i="79"/>
  <c r="P18" i="79"/>
  <c r="N18" i="79"/>
  <c r="L18" i="79"/>
  <c r="J18" i="79"/>
  <c r="H18" i="79"/>
  <c r="AG17" i="79"/>
  <c r="AE17" i="79"/>
  <c r="AC17" i="79"/>
  <c r="AA17" i="79"/>
  <c r="AH17" i="79" s="1"/>
  <c r="Y17" i="79"/>
  <c r="W17" i="79"/>
  <c r="P17" i="79"/>
  <c r="N17" i="79"/>
  <c r="L17" i="79"/>
  <c r="J17" i="79"/>
  <c r="H17" i="79"/>
  <c r="AG16" i="79"/>
  <c r="AH16" i="79" s="1"/>
  <c r="AE16" i="79"/>
  <c r="AC16" i="79"/>
  <c r="AA16" i="79"/>
  <c r="Y16" i="79"/>
  <c r="W16" i="79"/>
  <c r="P16" i="79"/>
  <c r="N16" i="79"/>
  <c r="L16" i="79"/>
  <c r="J16" i="79"/>
  <c r="H16" i="79"/>
  <c r="F16" i="79"/>
  <c r="AG15" i="79"/>
  <c r="AE15" i="79"/>
  <c r="AC15" i="79"/>
  <c r="AA15" i="79"/>
  <c r="AH15" i="79" s="1"/>
  <c r="Y15" i="79"/>
  <c r="W15" i="79"/>
  <c r="P15" i="79"/>
  <c r="N15" i="79"/>
  <c r="L15" i="79"/>
  <c r="J15" i="79"/>
  <c r="H15" i="79"/>
  <c r="AG14" i="79"/>
  <c r="AH14" i="79" s="1"/>
  <c r="AE14" i="79"/>
  <c r="AC14" i="79"/>
  <c r="AA14" i="79"/>
  <c r="Y14" i="79"/>
  <c r="W14" i="79"/>
  <c r="P14" i="79"/>
  <c r="N14" i="79"/>
  <c r="L14" i="79"/>
  <c r="J14" i="79"/>
  <c r="H14" i="79"/>
  <c r="AG13" i="79"/>
  <c r="AE13" i="79"/>
  <c r="AH13" i="79" s="1"/>
  <c r="AC13" i="79"/>
  <c r="AA13" i="79"/>
  <c r="Y13" i="79"/>
  <c r="W13" i="79"/>
  <c r="P13" i="79"/>
  <c r="N13" i="79"/>
  <c r="L13" i="79"/>
  <c r="J13" i="79"/>
  <c r="H13" i="79"/>
  <c r="AG12" i="79"/>
  <c r="AE12" i="79"/>
  <c r="AC12" i="79"/>
  <c r="AA12" i="79"/>
  <c r="AH12" i="79" s="1"/>
  <c r="Y12" i="79"/>
  <c r="W12" i="79"/>
  <c r="P12" i="79"/>
  <c r="N12" i="79"/>
  <c r="L12" i="79"/>
  <c r="J12" i="79"/>
  <c r="H12" i="79"/>
  <c r="F12" i="79"/>
  <c r="AG11" i="79"/>
  <c r="AE11" i="79"/>
  <c r="AH11" i="79" s="1"/>
  <c r="AC11" i="79"/>
  <c r="AA11" i="79"/>
  <c r="Y11" i="79"/>
  <c r="W11" i="79"/>
  <c r="P11" i="79"/>
  <c r="N11" i="79"/>
  <c r="L11" i="79"/>
  <c r="J11" i="79"/>
  <c r="H11" i="79"/>
  <c r="AG10" i="79"/>
  <c r="AH10" i="79" s="1"/>
  <c r="AE10" i="79"/>
  <c r="AC10" i="79"/>
  <c r="AA10" i="79"/>
  <c r="Y10" i="79"/>
  <c r="W10" i="79"/>
  <c r="P10" i="79"/>
  <c r="N10" i="79"/>
  <c r="L10" i="79"/>
  <c r="J10" i="79"/>
  <c r="H10" i="79"/>
  <c r="AG9" i="79"/>
  <c r="AE9" i="79"/>
  <c r="AC9" i="79"/>
  <c r="AA9" i="79"/>
  <c r="AH9" i="79" s="1"/>
  <c r="Y9" i="79"/>
  <c r="W9" i="79"/>
  <c r="P9" i="79"/>
  <c r="N9" i="79"/>
  <c r="L9" i="79"/>
  <c r="J9" i="79"/>
  <c r="H9" i="79"/>
  <c r="AG8" i="79"/>
  <c r="AH8" i="79" s="1"/>
  <c r="AE8" i="79"/>
  <c r="AC8" i="79"/>
  <c r="AA8" i="79"/>
  <c r="Y8" i="79"/>
  <c r="W8" i="79"/>
  <c r="P8" i="79"/>
  <c r="N8" i="79"/>
  <c r="L8" i="79"/>
  <c r="J8" i="79"/>
  <c r="H8" i="79"/>
  <c r="AG7" i="79"/>
  <c r="AE7" i="79"/>
  <c r="AC7" i="79"/>
  <c r="Y7" i="79"/>
  <c r="W7" i="79"/>
  <c r="P7" i="79"/>
  <c r="N7" i="79"/>
  <c r="L7" i="79"/>
  <c r="H7" i="79"/>
  <c r="C160" i="78"/>
  <c r="C162" i="78" s="1"/>
  <c r="B160" i="78"/>
  <c r="B159" i="78"/>
  <c r="B162" i="78" s="1"/>
  <c r="I149" i="78"/>
  <c r="C149" i="78"/>
  <c r="B149" i="78"/>
  <c r="P148" i="78"/>
  <c r="I148" i="78"/>
  <c r="P147" i="78"/>
  <c r="I147" i="78"/>
  <c r="I146" i="78"/>
  <c r="I145" i="78"/>
  <c r="I144" i="78"/>
  <c r="I143" i="78"/>
  <c r="I142" i="78"/>
  <c r="I141" i="78"/>
  <c r="C132" i="78"/>
  <c r="C134" i="78" s="1"/>
  <c r="B131" i="78"/>
  <c r="B134" i="78" s="1"/>
  <c r="F132" i="78"/>
  <c r="F126" i="78"/>
  <c r="B121" i="78"/>
  <c r="A121" i="78"/>
  <c r="B120" i="78"/>
  <c r="C119" i="78"/>
  <c r="B119" i="78"/>
  <c r="C118" i="78"/>
  <c r="B118" i="78"/>
  <c r="C115" i="78"/>
  <c r="B115" i="78"/>
  <c r="C113" i="78"/>
  <c r="B113" i="78"/>
  <c r="D106" i="78"/>
  <c r="M106" i="78"/>
  <c r="I106" i="78"/>
  <c r="E106" i="78"/>
  <c r="I101" i="78"/>
  <c r="H101" i="78"/>
  <c r="G101" i="78"/>
  <c r="D101" i="78"/>
  <c r="C101" i="78"/>
  <c r="J1" i="78"/>
  <c r="F127" i="78" l="1"/>
  <c r="F20" i="79"/>
  <c r="F26" i="79"/>
  <c r="F8" i="79"/>
  <c r="Q8" i="79" s="1"/>
  <c r="F54" i="79"/>
  <c r="F67" i="79"/>
  <c r="F130" i="78"/>
  <c r="F133" i="78"/>
  <c r="F13" i="79"/>
  <c r="F17" i="79"/>
  <c r="F47" i="79"/>
  <c r="F61" i="79"/>
  <c r="F75" i="79"/>
  <c r="F85" i="79"/>
  <c r="F9" i="79"/>
  <c r="F23" i="79"/>
  <c r="F65" i="79"/>
  <c r="F77" i="79"/>
  <c r="F96" i="79"/>
  <c r="Q96" i="79" s="1"/>
  <c r="I102" i="79"/>
  <c r="H106" i="78"/>
  <c r="L106" i="78"/>
  <c r="D80" i="79"/>
  <c r="F15" i="79"/>
  <c r="F18" i="79"/>
  <c r="Q18" i="79" s="1"/>
  <c r="F32" i="79"/>
  <c r="F40" i="79"/>
  <c r="Q40" i="79" s="1"/>
  <c r="Q42" i="79"/>
  <c r="F62" i="79"/>
  <c r="Q62" i="79" s="1"/>
  <c r="F73" i="79"/>
  <c r="K102" i="79"/>
  <c r="F128" i="78"/>
  <c r="F10" i="79"/>
  <c r="Q10" i="79" s="1"/>
  <c r="F21" i="79"/>
  <c r="F24" i="79"/>
  <c r="F31" i="79"/>
  <c r="Q47" i="79"/>
  <c r="F55" i="79"/>
  <c r="Q55" i="79" s="1"/>
  <c r="F69" i="79"/>
  <c r="Q69" i="79" s="1"/>
  <c r="Q6" i="77"/>
  <c r="R6" i="77" s="1"/>
  <c r="Q8" i="77"/>
  <c r="R8" i="77" s="1"/>
  <c r="Q10" i="77"/>
  <c r="R10" i="77" s="1"/>
  <c r="Q18" i="77"/>
  <c r="R18" i="77" s="1"/>
  <c r="Q22" i="77"/>
  <c r="R22" i="77" s="1"/>
  <c r="Q24" i="77"/>
  <c r="R24" i="77" s="1"/>
  <c r="Q38" i="77"/>
  <c r="R38" i="77" s="1"/>
  <c r="Q40" i="77"/>
  <c r="R40" i="77" s="1"/>
  <c r="Q42" i="77"/>
  <c r="R42" i="77" s="1"/>
  <c r="Q46" i="77"/>
  <c r="R46" i="77" s="1"/>
  <c r="Q56" i="77"/>
  <c r="R56" i="77" s="1"/>
  <c r="Q60" i="77"/>
  <c r="R60" i="77" s="1"/>
  <c r="Q62" i="77"/>
  <c r="R62" i="77" s="1"/>
  <c r="Q68" i="77"/>
  <c r="R68" i="77" s="1"/>
  <c r="Q72" i="77"/>
  <c r="R72" i="77" s="1"/>
  <c r="Q23" i="79"/>
  <c r="Q15" i="79"/>
  <c r="Q13" i="79"/>
  <c r="Q21" i="79"/>
  <c r="F106" i="78"/>
  <c r="J106" i="78"/>
  <c r="C106" i="78"/>
  <c r="G106" i="78"/>
  <c r="K106" i="78"/>
  <c r="K80" i="79"/>
  <c r="F11" i="79"/>
  <c r="Q11" i="79" s="1"/>
  <c r="Q12" i="79"/>
  <c r="F14" i="79"/>
  <c r="Q14" i="79" s="1"/>
  <c r="F19" i="79"/>
  <c r="Q20" i="79"/>
  <c r="F22" i="79"/>
  <c r="F29" i="79"/>
  <c r="Q29" i="79" s="1"/>
  <c r="Q31" i="79"/>
  <c r="F36" i="79"/>
  <c r="Q36" i="79" s="1"/>
  <c r="F39" i="79"/>
  <c r="Q39" i="79" s="1"/>
  <c r="F48" i="79"/>
  <c r="Q48" i="79" s="1"/>
  <c r="F49" i="79"/>
  <c r="Q49" i="79" s="1"/>
  <c r="F56" i="79"/>
  <c r="Q56" i="79" s="1"/>
  <c r="F57" i="79"/>
  <c r="F63" i="79"/>
  <c r="Q63" i="79" s="1"/>
  <c r="F64" i="79"/>
  <c r="Q64" i="79" s="1"/>
  <c r="F66" i="79"/>
  <c r="N100" i="79"/>
  <c r="N102" i="79" s="1"/>
  <c r="Q91" i="77"/>
  <c r="R91" i="77" s="1"/>
  <c r="Q57" i="79"/>
  <c r="Q16" i="79"/>
  <c r="Q24" i="79"/>
  <c r="F28" i="79"/>
  <c r="Q28" i="79" s="1"/>
  <c r="F30" i="79"/>
  <c r="Q30" i="79" s="1"/>
  <c r="F33" i="79"/>
  <c r="F34" i="79"/>
  <c r="Q34" i="79" s="1"/>
  <c r="F37" i="79"/>
  <c r="Q37" i="79" s="1"/>
  <c r="F45" i="79"/>
  <c r="F50" i="79"/>
  <c r="Q50" i="79" s="1"/>
  <c r="F51" i="79"/>
  <c r="Q51" i="79" s="1"/>
  <c r="F58" i="79"/>
  <c r="Q61" i="79"/>
  <c r="H98" i="79"/>
  <c r="F84" i="79"/>
  <c r="Q84" i="79" s="1"/>
  <c r="F86" i="79"/>
  <c r="Q73" i="77"/>
  <c r="R73" i="77" s="1"/>
  <c r="Q78" i="77"/>
  <c r="Q80" i="77"/>
  <c r="R80" i="77" s="1"/>
  <c r="Q82" i="77"/>
  <c r="G99" i="77"/>
  <c r="G101" i="77" s="1"/>
  <c r="Q26" i="79"/>
  <c r="F38" i="79"/>
  <c r="Q38" i="79" s="1"/>
  <c r="Q44" i="79"/>
  <c r="F46" i="79"/>
  <c r="Q46" i="79" s="1"/>
  <c r="F52" i="79"/>
  <c r="Q52" i="79" s="1"/>
  <c r="F53" i="79"/>
  <c r="Q53" i="79" s="1"/>
  <c r="F59" i="79"/>
  <c r="Q59" i="79" s="1"/>
  <c r="F60" i="79"/>
  <c r="Q60" i="79" s="1"/>
  <c r="F68" i="79"/>
  <c r="Q68" i="79" s="1"/>
  <c r="D98" i="79"/>
  <c r="F90" i="79"/>
  <c r="Q90" i="79" s="1"/>
  <c r="F92" i="79"/>
  <c r="Q92" i="79" s="1"/>
  <c r="M98" i="79"/>
  <c r="O102" i="79"/>
  <c r="AC99" i="77"/>
  <c r="Q89" i="77"/>
  <c r="AA89" i="77" s="1"/>
  <c r="P99" i="77"/>
  <c r="P101" i="77" s="1"/>
  <c r="V89" i="77"/>
  <c r="O75" i="77"/>
  <c r="Q13" i="77"/>
  <c r="R13" i="77" s="1"/>
  <c r="Q15" i="77"/>
  <c r="R15" i="77" s="1"/>
  <c r="Q25" i="77"/>
  <c r="R25" i="77" s="1"/>
  <c r="Q29" i="77"/>
  <c r="R29" i="77" s="1"/>
  <c r="Q31" i="77"/>
  <c r="R31" i="77" s="1"/>
  <c r="Q33" i="77"/>
  <c r="R33" i="77" s="1"/>
  <c r="Q35" i="77"/>
  <c r="R35" i="77" s="1"/>
  <c r="Q86" i="77"/>
  <c r="R86" i="77" s="1"/>
  <c r="Q43" i="77"/>
  <c r="R43" i="77" s="1"/>
  <c r="Q45" i="77"/>
  <c r="R45" i="77" s="1"/>
  <c r="Q47" i="77"/>
  <c r="R47" i="77" s="1"/>
  <c r="Q51" i="77"/>
  <c r="R51" i="77" s="1"/>
  <c r="Q59" i="77"/>
  <c r="R59" i="77" s="1"/>
  <c r="Q63" i="77"/>
  <c r="R63" i="77" s="1"/>
  <c r="Q67" i="77"/>
  <c r="R67" i="77" s="1"/>
  <c r="Q71" i="77"/>
  <c r="R71" i="77" s="1"/>
  <c r="Q83" i="77"/>
  <c r="R83" i="77" s="1"/>
  <c r="Q85" i="77"/>
  <c r="R85" i="77" s="1"/>
  <c r="Q19" i="77"/>
  <c r="R19" i="77" s="1"/>
  <c r="Q9" i="77"/>
  <c r="R9" i="77" s="1"/>
  <c r="Q49" i="77"/>
  <c r="R49" i="77" s="1"/>
  <c r="Q23" i="77"/>
  <c r="R23" i="77" s="1"/>
  <c r="Q41" i="77"/>
  <c r="R41" i="77" s="1"/>
  <c r="Q30" i="77"/>
  <c r="R30" i="77" s="1"/>
  <c r="Q57" i="77"/>
  <c r="R57" i="77" s="1"/>
  <c r="Q61" i="77"/>
  <c r="R61" i="77" s="1"/>
  <c r="Q69" i="77"/>
  <c r="R69" i="77" s="1"/>
  <c r="Q5" i="77"/>
  <c r="R5" i="77" s="1"/>
  <c r="Q12" i="77"/>
  <c r="R12" i="77" s="1"/>
  <c r="Q26" i="77"/>
  <c r="R26" i="77" s="1"/>
  <c r="Q27" i="77"/>
  <c r="R27" i="77" s="1"/>
  <c r="Q28" i="77"/>
  <c r="R28" i="77" s="1"/>
  <c r="Q44" i="77"/>
  <c r="R44" i="77" s="1"/>
  <c r="Q58" i="77"/>
  <c r="R58" i="77" s="1"/>
  <c r="Q70" i="77"/>
  <c r="R70" i="77" s="1"/>
  <c r="Q39" i="77"/>
  <c r="R39" i="77" s="1"/>
  <c r="Q55" i="77"/>
  <c r="R55" i="77" s="1"/>
  <c r="Q84" i="77"/>
  <c r="R84" i="77" s="1"/>
  <c r="Q14" i="77"/>
  <c r="R14" i="77" s="1"/>
  <c r="Q34" i="77"/>
  <c r="R34" i="77" s="1"/>
  <c r="Q36" i="77"/>
  <c r="R36" i="77" s="1"/>
  <c r="Q48" i="77"/>
  <c r="R48" i="77" s="1"/>
  <c r="Q3" i="77"/>
  <c r="R3" i="77" s="1"/>
  <c r="Q7" i="77"/>
  <c r="R7" i="77" s="1"/>
  <c r="Q11" i="77"/>
  <c r="Q21" i="77"/>
  <c r="R21" i="77" s="1"/>
  <c r="Q52" i="77"/>
  <c r="R52" i="77" s="1"/>
  <c r="Q53" i="77"/>
  <c r="R53" i="77" s="1"/>
  <c r="Q64" i="77"/>
  <c r="R64" i="77" s="1"/>
  <c r="Q65" i="77"/>
  <c r="R65" i="77" s="1"/>
  <c r="Q79" i="77"/>
  <c r="R79" i="77" s="1"/>
  <c r="Q87" i="77"/>
  <c r="R87" i="77" s="1"/>
  <c r="R11" i="77"/>
  <c r="V2" i="77"/>
  <c r="L75" i="77"/>
  <c r="Q2" i="77"/>
  <c r="Q17" i="77"/>
  <c r="R17" i="77" s="1"/>
  <c r="M93" i="77"/>
  <c r="Q77" i="77"/>
  <c r="M75" i="77"/>
  <c r="Q4" i="77"/>
  <c r="R4" i="77" s="1"/>
  <c r="Q20" i="77"/>
  <c r="R20" i="77" s="1"/>
  <c r="R82" i="77"/>
  <c r="N75" i="77"/>
  <c r="Q16" i="77"/>
  <c r="R16" i="77" s="1"/>
  <c r="Q32" i="77"/>
  <c r="R32" i="77" s="1"/>
  <c r="Q37" i="77"/>
  <c r="R37" i="77" s="1"/>
  <c r="R78" i="77"/>
  <c r="Q54" i="77"/>
  <c r="R54" i="77" s="1"/>
  <c r="C93" i="77"/>
  <c r="N93" i="77"/>
  <c r="C75" i="77"/>
  <c r="Q50" i="77"/>
  <c r="Q66" i="77"/>
  <c r="R66" i="77" s="1"/>
  <c r="O93" i="77"/>
  <c r="O99" i="77" s="1"/>
  <c r="O101" i="77" s="1"/>
  <c r="F93" i="77"/>
  <c r="F99" i="77" s="1"/>
  <c r="F101" i="77" s="1"/>
  <c r="Q88" i="77"/>
  <c r="R88" i="77" s="1"/>
  <c r="L93" i="77"/>
  <c r="Q81" i="77"/>
  <c r="R81" i="77" s="1"/>
  <c r="Q95" i="77"/>
  <c r="Q9" i="79"/>
  <c r="Q17" i="79"/>
  <c r="Q19" i="79"/>
  <c r="Q33" i="79"/>
  <c r="H80" i="79"/>
  <c r="AH31" i="79"/>
  <c r="AH32" i="79"/>
  <c r="AH34" i="79"/>
  <c r="E80" i="79"/>
  <c r="I80" i="79"/>
  <c r="W80" i="79"/>
  <c r="W104" i="79" s="1"/>
  <c r="AG80" i="79"/>
  <c r="AH24" i="79"/>
  <c r="AH80" i="79" s="1"/>
  <c r="AH26" i="79"/>
  <c r="AB104" i="79"/>
  <c r="J98" i="79"/>
  <c r="Q88" i="79"/>
  <c r="AH95" i="79"/>
  <c r="C102" i="79"/>
  <c r="F100" i="79"/>
  <c r="F102" i="79" s="1"/>
  <c r="F7" i="79"/>
  <c r="J7" i="79"/>
  <c r="J80" i="79" s="1"/>
  <c r="N80" i="79"/>
  <c r="Y80" i="79"/>
  <c r="AA80" i="79"/>
  <c r="F25" i="79"/>
  <c r="Q25" i="79" s="1"/>
  <c r="Q32" i="79"/>
  <c r="AH37" i="79"/>
  <c r="AH38" i="79"/>
  <c r="AH40" i="79"/>
  <c r="Q45" i="79"/>
  <c r="AH48" i="79"/>
  <c r="AH52" i="79"/>
  <c r="AH56" i="79"/>
  <c r="AH60" i="79"/>
  <c r="AH64" i="79"/>
  <c r="Q67" i="79"/>
  <c r="E98" i="79"/>
  <c r="AH90" i="79"/>
  <c r="L80" i="79"/>
  <c r="P80" i="79"/>
  <c r="Q22" i="79"/>
  <c r="AH45" i="79"/>
  <c r="AH46" i="79"/>
  <c r="AH50" i="79"/>
  <c r="AH54" i="79"/>
  <c r="AH58" i="79"/>
  <c r="AH62" i="79"/>
  <c r="F82" i="79"/>
  <c r="C98" i="79"/>
  <c r="O98" i="79"/>
  <c r="P82" i="79"/>
  <c r="Q85" i="79"/>
  <c r="Q86" i="79"/>
  <c r="H100" i="79"/>
  <c r="H102" i="79" s="1"/>
  <c r="G102" i="79"/>
  <c r="C80" i="79"/>
  <c r="G80" i="79"/>
  <c r="O80" i="79"/>
  <c r="O104" i="79" s="1"/>
  <c r="AC80" i="79"/>
  <c r="AH30" i="79"/>
  <c r="AH39" i="79"/>
  <c r="Q65" i="79"/>
  <c r="AH86" i="79"/>
  <c r="F41" i="79"/>
  <c r="Q41" i="79" s="1"/>
  <c r="AH42" i="79"/>
  <c r="Q54" i="79"/>
  <c r="Q58" i="79"/>
  <c r="Q66" i="79"/>
  <c r="AH67" i="79"/>
  <c r="R104" i="79"/>
  <c r="AE98" i="79"/>
  <c r="Q89" i="79"/>
  <c r="M80" i="79"/>
  <c r="AE80" i="79"/>
  <c r="AE104" i="79" s="1"/>
  <c r="F27" i="79"/>
  <c r="Q27" i="79" s="1"/>
  <c r="AH28" i="79"/>
  <c r="F35" i="79"/>
  <c r="Q35" i="79" s="1"/>
  <c r="AH36" i="79"/>
  <c r="F43" i="79"/>
  <c r="Q43" i="79" s="1"/>
  <c r="AH44" i="79"/>
  <c r="AH65" i="79"/>
  <c r="AH71" i="79"/>
  <c r="AH73" i="79"/>
  <c r="AH75" i="79"/>
  <c r="AH77" i="79"/>
  <c r="N98" i="79"/>
  <c r="Y98" i="79"/>
  <c r="AG98" i="79"/>
  <c r="AH82" i="79"/>
  <c r="AA98" i="79"/>
  <c r="Q93" i="79"/>
  <c r="K98" i="79"/>
  <c r="AH94" i="79"/>
  <c r="AH100" i="79"/>
  <c r="AH102" i="79" s="1"/>
  <c r="F70" i="79"/>
  <c r="Q70" i="79" s="1"/>
  <c r="Q71" i="79"/>
  <c r="F72" i="79"/>
  <c r="Q72" i="79" s="1"/>
  <c r="Q73" i="79"/>
  <c r="F74" i="79"/>
  <c r="Q74" i="79" s="1"/>
  <c r="Q75" i="79"/>
  <c r="F76" i="79"/>
  <c r="Q76" i="79" s="1"/>
  <c r="Q77" i="79"/>
  <c r="F78" i="79"/>
  <c r="Q78" i="79" s="1"/>
  <c r="AF104" i="79"/>
  <c r="G98" i="79"/>
  <c r="L82" i="79"/>
  <c r="L98" i="79" s="1"/>
  <c r="AC98" i="79"/>
  <c r="F83" i="79"/>
  <c r="Q83" i="79" s="1"/>
  <c r="AH85" i="79"/>
  <c r="F87" i="79"/>
  <c r="Q87" i="79" s="1"/>
  <c r="AH89" i="79"/>
  <c r="F91" i="79"/>
  <c r="Q91" i="79" s="1"/>
  <c r="AH93" i="79"/>
  <c r="F95" i="79"/>
  <c r="Q95" i="79" s="1"/>
  <c r="I98" i="79"/>
  <c r="L60" i="78"/>
  <c r="J61" i="78"/>
  <c r="J63" i="78"/>
  <c r="J68" i="78"/>
  <c r="J73" i="78"/>
  <c r="J77" i="78"/>
  <c r="K27" i="78"/>
  <c r="K40" i="78"/>
  <c r="K42" i="78"/>
  <c r="K51" i="78"/>
  <c r="K55" i="78"/>
  <c r="K59" i="78"/>
  <c r="K29" i="78"/>
  <c r="K31" i="78"/>
  <c r="K38" i="78"/>
  <c r="J10" i="78"/>
  <c r="L11" i="78"/>
  <c r="J12" i="78"/>
  <c r="L13" i="78"/>
  <c r="J14" i="78"/>
  <c r="L15" i="78"/>
  <c r="L18" i="78"/>
  <c r="L27" i="78"/>
  <c r="J59" i="78"/>
  <c r="L57" i="78"/>
  <c r="J58" i="78"/>
  <c r="J60" i="78"/>
  <c r="J64" i="78"/>
  <c r="J49" i="78"/>
  <c r="J51" i="78"/>
  <c r="J53" i="78"/>
  <c r="K64" i="78"/>
  <c r="K66" i="78"/>
  <c r="K89" i="78"/>
  <c r="K18" i="78"/>
  <c r="K52" i="78"/>
  <c r="K54" i="78"/>
  <c r="K58" i="78"/>
  <c r="L71" i="78"/>
  <c r="J72" i="78"/>
  <c r="L73" i="78"/>
  <c r="J74" i="78"/>
  <c r="K77" i="78"/>
  <c r="L83" i="78"/>
  <c r="J84" i="78"/>
  <c r="J88" i="78"/>
  <c r="G97" i="78"/>
  <c r="L31" i="78"/>
  <c r="K33" i="78"/>
  <c r="K35" i="78"/>
  <c r="L40" i="78"/>
  <c r="L35" i="78"/>
  <c r="L49" i="78"/>
  <c r="J55" i="78"/>
  <c r="K56" i="78"/>
  <c r="K63" i="78"/>
  <c r="L64" i="78"/>
  <c r="K69" i="78"/>
  <c r="L75" i="78"/>
  <c r="K88" i="78"/>
  <c r="L89" i="78"/>
  <c r="L10" i="78"/>
  <c r="J11" i="78"/>
  <c r="L12" i="78"/>
  <c r="J13" i="78"/>
  <c r="L14" i="78"/>
  <c r="J15" i="78"/>
  <c r="J25" i="78"/>
  <c r="K30" i="78"/>
  <c r="K34" i="78"/>
  <c r="K39" i="78"/>
  <c r="K43" i="78"/>
  <c r="K50" i="78"/>
  <c r="J52" i="78"/>
  <c r="L53" i="78"/>
  <c r="J57" i="78"/>
  <c r="L58" i="78"/>
  <c r="L61" i="78"/>
  <c r="J62" i="78"/>
  <c r="L63" i="78"/>
  <c r="K68" i="78"/>
  <c r="L69" i="78"/>
  <c r="J71" i="78"/>
  <c r="K74" i="78"/>
  <c r="K76" i="78"/>
  <c r="L84" i="78"/>
  <c r="J86" i="78"/>
  <c r="L88" i="78"/>
  <c r="K20" i="78"/>
  <c r="K22" i="78"/>
  <c r="L47" i="78"/>
  <c r="L51" i="78"/>
  <c r="L59" i="78"/>
  <c r="J65" i="78"/>
  <c r="K72" i="78"/>
  <c r="J76" i="78"/>
  <c r="L77" i="78"/>
  <c r="C80" i="78"/>
  <c r="K21" i="78"/>
  <c r="K23" i="78"/>
  <c r="L55" i="78"/>
  <c r="J56" i="78"/>
  <c r="K60" i="78"/>
  <c r="K62" i="78"/>
  <c r="L65" i="78"/>
  <c r="J66" i="78"/>
  <c r="L68" i="78"/>
  <c r="J69" i="78"/>
  <c r="K73" i="78"/>
  <c r="M73" i="78" s="1"/>
  <c r="L74" i="78"/>
  <c r="J75" i="78"/>
  <c r="K86" i="78"/>
  <c r="J89" i="78"/>
  <c r="L99" i="78"/>
  <c r="L101" i="78" s="1"/>
  <c r="K9" i="78"/>
  <c r="L9" i="78"/>
  <c r="K11" i="78"/>
  <c r="K13" i="78"/>
  <c r="K15" i="78"/>
  <c r="J21" i="78"/>
  <c r="K24" i="78"/>
  <c r="K26" i="78"/>
  <c r="K28" i="78"/>
  <c r="L29" i="78"/>
  <c r="K32" i="78"/>
  <c r="L33" i="78"/>
  <c r="K37" i="78"/>
  <c r="L38" i="78"/>
  <c r="K41" i="78"/>
  <c r="L42" i="78"/>
  <c r="L44" i="78"/>
  <c r="K49" i="78"/>
  <c r="L50" i="78"/>
  <c r="F51" i="78"/>
  <c r="L52" i="78"/>
  <c r="J54" i="78"/>
  <c r="K57" i="78"/>
  <c r="K61" i="78"/>
  <c r="L62" i="78"/>
  <c r="K65" i="78"/>
  <c r="L66" i="78"/>
  <c r="K71" i="78"/>
  <c r="L72" i="78"/>
  <c r="K75" i="78"/>
  <c r="L76" i="78"/>
  <c r="C97" i="78"/>
  <c r="H97" i="78"/>
  <c r="K84" i="78"/>
  <c r="L86" i="78"/>
  <c r="D97" i="78"/>
  <c r="I97" i="78"/>
  <c r="J99" i="78"/>
  <c r="J101" i="78" s="1"/>
  <c r="K12" i="78"/>
  <c r="K14" i="78"/>
  <c r="K16" i="78"/>
  <c r="L23" i="78"/>
  <c r="K25" i="78"/>
  <c r="L28" i="78"/>
  <c r="L32" i="78"/>
  <c r="L37" i="78"/>
  <c r="L41" i="78"/>
  <c r="L43" i="78"/>
  <c r="K48" i="78"/>
  <c r="J50" i="78"/>
  <c r="K53" i="78"/>
  <c r="L54" i="78"/>
  <c r="F55" i="78"/>
  <c r="L56" i="78"/>
  <c r="J83" i="78"/>
  <c r="K10" i="78"/>
  <c r="L46" i="78"/>
  <c r="F52" i="78"/>
  <c r="F56" i="78"/>
  <c r="F59" i="78"/>
  <c r="F60" i="78"/>
  <c r="F61" i="78"/>
  <c r="F62" i="78"/>
  <c r="F63" i="78"/>
  <c r="F64" i="78"/>
  <c r="F65" i="78"/>
  <c r="F66" i="78"/>
  <c r="F68" i="78"/>
  <c r="F69" i="78"/>
  <c r="F71" i="78"/>
  <c r="F72" i="78"/>
  <c r="F73" i="78"/>
  <c r="F74" i="78"/>
  <c r="F75" i="78"/>
  <c r="F76" i="78"/>
  <c r="F77" i="78"/>
  <c r="F83" i="78"/>
  <c r="F84" i="78"/>
  <c r="F86" i="78"/>
  <c r="F88" i="78"/>
  <c r="F89" i="78"/>
  <c r="F99" i="78"/>
  <c r="F101" i="78" s="1"/>
  <c r="J18" i="78"/>
  <c r="L21" i="78"/>
  <c r="J23" i="78"/>
  <c r="L25" i="78"/>
  <c r="J27" i="78"/>
  <c r="L30" i="78"/>
  <c r="L34" i="78"/>
  <c r="L39" i="78"/>
  <c r="K44" i="78"/>
  <c r="K47" i="78"/>
  <c r="L48" i="78"/>
  <c r="F49" i="78"/>
  <c r="F53" i="78"/>
  <c r="F57" i="78"/>
  <c r="L16" i="78"/>
  <c r="J20" i="78"/>
  <c r="L22" i="78"/>
  <c r="J24" i="78"/>
  <c r="L26" i="78"/>
  <c r="G80" i="78"/>
  <c r="J16" i="78"/>
  <c r="L20" i="78"/>
  <c r="J22" i="78"/>
  <c r="L24" i="78"/>
  <c r="J26" i="78"/>
  <c r="K46" i="78"/>
  <c r="F50" i="78"/>
  <c r="F54" i="78"/>
  <c r="F58" i="78"/>
  <c r="E80" i="78"/>
  <c r="F9" i="78"/>
  <c r="J9" i="78"/>
  <c r="F10" i="78"/>
  <c r="F11" i="78"/>
  <c r="F12" i="78"/>
  <c r="F13" i="78"/>
  <c r="F14" i="78"/>
  <c r="F15" i="78"/>
  <c r="F16" i="78"/>
  <c r="F18" i="78"/>
  <c r="F20" i="78"/>
  <c r="F21" i="78"/>
  <c r="F22" i="78"/>
  <c r="F23" i="78"/>
  <c r="F24" i="78"/>
  <c r="F25" i="78"/>
  <c r="F26" i="78"/>
  <c r="F27" i="78"/>
  <c r="J31" i="78"/>
  <c r="F31" i="78"/>
  <c r="J35" i="78"/>
  <c r="F35" i="78"/>
  <c r="J40" i="78"/>
  <c r="F40" i="78"/>
  <c r="J44" i="78"/>
  <c r="F44" i="78"/>
  <c r="E126" i="78"/>
  <c r="E128" i="78"/>
  <c r="E127" i="78"/>
  <c r="G127" i="78" s="1"/>
  <c r="H134" i="78"/>
  <c r="E133" i="78"/>
  <c r="E130" i="78"/>
  <c r="G130" i="78" s="1"/>
  <c r="E132" i="78"/>
  <c r="G132" i="78" s="1"/>
  <c r="J28" i="78"/>
  <c r="F28" i="78"/>
  <c r="J32" i="78"/>
  <c r="F32" i="78"/>
  <c r="J37" i="78"/>
  <c r="F37" i="78"/>
  <c r="J41" i="78"/>
  <c r="F41" i="78"/>
  <c r="J46" i="78"/>
  <c r="F46" i="78"/>
  <c r="D80" i="78"/>
  <c r="H80" i="78"/>
  <c r="J29" i="78"/>
  <c r="F29" i="78"/>
  <c r="J33" i="78"/>
  <c r="F33" i="78"/>
  <c r="J38" i="78"/>
  <c r="F38" i="78"/>
  <c r="J42" i="78"/>
  <c r="F42" i="78"/>
  <c r="J47" i="78"/>
  <c r="F47" i="78"/>
  <c r="C121" i="78"/>
  <c r="E129" i="78"/>
  <c r="E131" i="78"/>
  <c r="I80" i="78"/>
  <c r="J30" i="78"/>
  <c r="F30" i="78"/>
  <c r="J34" i="78"/>
  <c r="F34" i="78"/>
  <c r="J39" i="78"/>
  <c r="F39" i="78"/>
  <c r="J43" i="78"/>
  <c r="F43" i="78"/>
  <c r="J48" i="78"/>
  <c r="F48" i="78"/>
  <c r="E97" i="78"/>
  <c r="E101" i="78"/>
  <c r="K83" i="78"/>
  <c r="K99" i="78"/>
  <c r="K101" i="78" s="1"/>
  <c r="F129" i="78"/>
  <c r="F131" i="78"/>
  <c r="W89" i="77" l="1"/>
  <c r="T89" i="77" s="1"/>
  <c r="G133" i="78"/>
  <c r="G128" i="78"/>
  <c r="M104" i="79"/>
  <c r="Q7" i="79"/>
  <c r="Q80" i="79" s="1"/>
  <c r="K104" i="79"/>
  <c r="X89" i="77"/>
  <c r="D104" i="79"/>
  <c r="R89" i="77"/>
  <c r="F134" i="78"/>
  <c r="G104" i="79"/>
  <c r="Z89" i="77"/>
  <c r="J104" i="79"/>
  <c r="H104" i="79"/>
  <c r="G131" i="78"/>
  <c r="Q100" i="79"/>
  <c r="Q102" i="79" s="1"/>
  <c r="AB89" i="77"/>
  <c r="Y89" i="77"/>
  <c r="M61" i="78"/>
  <c r="C103" i="78"/>
  <c r="C107" i="78" s="1"/>
  <c r="M99" i="77"/>
  <c r="M101" i="77" s="1"/>
  <c r="C99" i="77"/>
  <c r="C103" i="77" s="1"/>
  <c r="C101" i="77"/>
  <c r="M59" i="78"/>
  <c r="N99" i="77"/>
  <c r="N101" i="77" s="1"/>
  <c r="Q93" i="77"/>
  <c r="R77" i="77"/>
  <c r="Q75" i="77"/>
  <c r="R2" i="77"/>
  <c r="Y2" i="77"/>
  <c r="AA2" i="77"/>
  <c r="Z2" i="77"/>
  <c r="X2" i="77"/>
  <c r="W2" i="77"/>
  <c r="AB2" i="77"/>
  <c r="R50" i="77"/>
  <c r="L99" i="77"/>
  <c r="L101" i="77" s="1"/>
  <c r="R95" i="77"/>
  <c r="R97" i="77" s="1"/>
  <c r="Q97" i="77"/>
  <c r="M10" i="78"/>
  <c r="M14" i="78"/>
  <c r="M58" i="78"/>
  <c r="N104" i="79"/>
  <c r="AG104" i="79"/>
  <c r="C104" i="79"/>
  <c r="F98" i="79"/>
  <c r="AA104" i="79"/>
  <c r="F80" i="79"/>
  <c r="I104" i="79"/>
  <c r="AH98" i="79"/>
  <c r="AH104" i="79" s="1"/>
  <c r="Q106" i="79" s="1"/>
  <c r="AC104" i="79"/>
  <c r="P98" i="79"/>
  <c r="P104" i="79" s="1"/>
  <c r="Q82" i="79"/>
  <c r="Q98" i="79" s="1"/>
  <c r="L104" i="79"/>
  <c r="Y104" i="79"/>
  <c r="E104" i="79"/>
  <c r="M15" i="78"/>
  <c r="M13" i="78"/>
  <c r="M27" i="78"/>
  <c r="M68" i="78"/>
  <c r="E103" i="78"/>
  <c r="E107" i="78" s="1"/>
  <c r="D103" i="78"/>
  <c r="D107" i="78" s="1"/>
  <c r="K97" i="78"/>
  <c r="M60" i="78"/>
  <c r="M89" i="78"/>
  <c r="M49" i="78"/>
  <c r="M23" i="78"/>
  <c r="M51" i="78"/>
  <c r="M63" i="78"/>
  <c r="M56" i="78"/>
  <c r="M65" i="78"/>
  <c r="M84" i="78"/>
  <c r="M52" i="78"/>
  <c r="M69" i="78"/>
  <c r="M88" i="78"/>
  <c r="G103" i="78"/>
  <c r="G107" i="78" s="1"/>
  <c r="M18" i="78"/>
  <c r="M12" i="78"/>
  <c r="M76" i="78"/>
  <c r="M57" i="78"/>
  <c r="M77" i="78"/>
  <c r="M64" i="78"/>
  <c r="M22" i="78"/>
  <c r="M74" i="78"/>
  <c r="M25" i="78"/>
  <c r="M26" i="78"/>
  <c r="L97" i="78"/>
  <c r="M72" i="78"/>
  <c r="M71" i="78"/>
  <c r="M11" i="78"/>
  <c r="M75" i="78"/>
  <c r="F97" i="78"/>
  <c r="J97" i="78"/>
  <c r="M53" i="78"/>
  <c r="M66" i="78"/>
  <c r="K80" i="78"/>
  <c r="M55" i="78"/>
  <c r="M21" i="78"/>
  <c r="M54" i="78"/>
  <c r="M24" i="78"/>
  <c r="M20" i="78"/>
  <c r="M16" i="78"/>
  <c r="H103" i="78"/>
  <c r="H107" i="78" s="1"/>
  <c r="M62" i="78"/>
  <c r="M83" i="78"/>
  <c r="M86" i="78"/>
  <c r="M50" i="78"/>
  <c r="L80" i="78"/>
  <c r="I103" i="78"/>
  <c r="I107" i="78" s="1"/>
  <c r="M43" i="78"/>
  <c r="N37" i="78"/>
  <c r="M37" i="78"/>
  <c r="M28" i="78"/>
  <c r="E134" i="78"/>
  <c r="G126" i="78"/>
  <c r="M9" i="78"/>
  <c r="J80" i="78"/>
  <c r="N9" i="78"/>
  <c r="M99" i="78"/>
  <c r="M101" i="78" s="1"/>
  <c r="G129" i="78"/>
  <c r="M47" i="78"/>
  <c r="N38" i="78"/>
  <c r="M38" i="78"/>
  <c r="M29" i="78"/>
  <c r="N44" i="78"/>
  <c r="M44" i="78"/>
  <c r="M35" i="78"/>
  <c r="F80" i="78"/>
  <c r="N41" i="78"/>
  <c r="M41" i="78"/>
  <c r="M48" i="78"/>
  <c r="N48" i="78"/>
  <c r="N39" i="78"/>
  <c r="M39" i="78"/>
  <c r="M30" i="78"/>
  <c r="M3" i="78"/>
  <c r="L4" i="78"/>
  <c r="K3" i="78"/>
  <c r="N46" i="78"/>
  <c r="M46" i="78"/>
  <c r="N32" i="78"/>
  <c r="M32" i="78"/>
  <c r="M34" i="78"/>
  <c r="N42" i="78"/>
  <c r="M42" i="78"/>
  <c r="N33" i="78"/>
  <c r="M33" i="78"/>
  <c r="N99" i="78"/>
  <c r="N101" i="78" s="1"/>
  <c r="M40" i="78"/>
  <c r="N31" i="78"/>
  <c r="M31" i="78"/>
  <c r="R93" i="77" l="1"/>
  <c r="E105" i="79"/>
  <c r="D111" i="79" s="1"/>
  <c r="G134" i="78"/>
  <c r="H2" i="77"/>
  <c r="T2" i="77"/>
  <c r="R75" i="77"/>
  <c r="R99" i="77" s="1"/>
  <c r="R101" i="77" s="1"/>
  <c r="Q99" i="77"/>
  <c r="Q101" i="77" s="1"/>
  <c r="Q104" i="79"/>
  <c r="Q108" i="79" s="1"/>
  <c r="Q109" i="79" s="1"/>
  <c r="F104" i="79"/>
  <c r="L103" i="78"/>
  <c r="L107" i="78" s="1"/>
  <c r="K103" i="78"/>
  <c r="K107" i="78" s="1"/>
  <c r="J103" i="78"/>
  <c r="H142" i="78" s="1"/>
  <c r="M97" i="78"/>
  <c r="F103" i="78"/>
  <c r="F107" i="78" s="1"/>
  <c r="N11" i="78"/>
  <c r="N13" i="78"/>
  <c r="N15" i="78"/>
  <c r="N10" i="78"/>
  <c r="N49" i="78"/>
  <c r="N57" i="78"/>
  <c r="N72" i="78"/>
  <c r="N73" i="78"/>
  <c r="N50" i="78"/>
  <c r="N65" i="78"/>
  <c r="N88" i="78"/>
  <c r="N69" i="78"/>
  <c r="N55" i="78"/>
  <c r="N64" i="78"/>
  <c r="N75" i="78"/>
  <c r="N59" i="78"/>
  <c r="N20" i="78"/>
  <c r="N18" i="78"/>
  <c r="N27" i="78"/>
  <c r="N21" i="78"/>
  <c r="N51" i="78"/>
  <c r="N62" i="78"/>
  <c r="N63" i="78"/>
  <c r="N84" i="78"/>
  <c r="N52" i="78"/>
  <c r="N76" i="78"/>
  <c r="N60" i="78"/>
  <c r="N77" i="78"/>
  <c r="N61" i="78"/>
  <c r="N83" i="78"/>
  <c r="N56" i="78"/>
  <c r="N24" i="78"/>
  <c r="N23" i="78"/>
  <c r="N89" i="78"/>
  <c r="N12" i="78"/>
  <c r="N14" i="78"/>
  <c r="N16" i="78"/>
  <c r="N26" i="78"/>
  <c r="N53" i="78"/>
  <c r="N58" i="78"/>
  <c r="N71" i="78"/>
  <c r="N74" i="78"/>
  <c r="N54" i="78"/>
  <c r="N66" i="78"/>
  <c r="N86" i="78"/>
  <c r="N68" i="78"/>
  <c r="N22" i="78"/>
  <c r="N25" i="78"/>
  <c r="N30" i="78"/>
  <c r="N35" i="78"/>
  <c r="N29" i="78"/>
  <c r="N47" i="78"/>
  <c r="N40" i="78"/>
  <c r="N34" i="78"/>
  <c r="M80" i="78"/>
  <c r="N28" i="78"/>
  <c r="N43" i="78"/>
  <c r="H117" i="78" l="1"/>
  <c r="F118" i="78" s="1"/>
  <c r="H158" i="78"/>
  <c r="F157" i="78" s="1"/>
  <c r="H145" i="78"/>
  <c r="F142" i="78" s="1"/>
  <c r="H114" i="78"/>
  <c r="M103" i="78"/>
  <c r="M107" i="78" s="1"/>
  <c r="J107" i="78"/>
  <c r="H155" i="78"/>
  <c r="N80" i="78"/>
  <c r="E145" i="78"/>
  <c r="E144" i="78"/>
  <c r="E143" i="78"/>
  <c r="E142" i="78"/>
  <c r="E141" i="78"/>
  <c r="E147" i="78"/>
  <c r="E146" i="78"/>
  <c r="E148" i="78"/>
  <c r="N97" i="78"/>
  <c r="H121" i="78" l="1"/>
  <c r="F114" i="78"/>
  <c r="F120" i="78"/>
  <c r="F155" i="78"/>
  <c r="F145" i="78"/>
  <c r="G145" i="78" s="1"/>
  <c r="F144" i="78"/>
  <c r="G144" i="78" s="1"/>
  <c r="F146" i="78"/>
  <c r="G146" i="78" s="1"/>
  <c r="F148" i="78"/>
  <c r="G148" i="78" s="1"/>
  <c r="F161" i="78"/>
  <c r="H162" i="78"/>
  <c r="E120" i="78"/>
  <c r="F141" i="78"/>
  <c r="G141" i="78" s="1"/>
  <c r="F143" i="78"/>
  <c r="G143" i="78" s="1"/>
  <c r="G142" i="78"/>
  <c r="H149" i="78"/>
  <c r="F147" i="78"/>
  <c r="G147" i="78" s="1"/>
  <c r="F116" i="78"/>
  <c r="F117" i="78"/>
  <c r="E115" i="78"/>
  <c r="F158" i="78"/>
  <c r="F160" i="78"/>
  <c r="F154" i="78"/>
  <c r="F159" i="78"/>
  <c r="F156" i="78"/>
  <c r="F119" i="78"/>
  <c r="F113" i="78"/>
  <c r="F115" i="78"/>
  <c r="E155" i="78"/>
  <c r="E159" i="78"/>
  <c r="E156" i="78"/>
  <c r="E161" i="78"/>
  <c r="E160" i="78"/>
  <c r="N103" i="78"/>
  <c r="E157" i="78"/>
  <c r="G157" i="78" s="1"/>
  <c r="E114" i="78"/>
  <c r="E117" i="78"/>
  <c r="E118" i="78"/>
  <c r="G118" i="78" s="1"/>
  <c r="J118" i="78" s="1"/>
  <c r="E116" i="78"/>
  <c r="E119" i="78"/>
  <c r="E113" i="78"/>
  <c r="E154" i="78"/>
  <c r="E158" i="78"/>
  <c r="E149" i="78"/>
  <c r="G120" i="78" l="1"/>
  <c r="J120" i="78" s="1"/>
  <c r="L120" i="78" s="1"/>
  <c r="G114" i="78"/>
  <c r="J114" i="78" s="1"/>
  <c r="G115" i="78"/>
  <c r="J115" i="78" s="1"/>
  <c r="L115" i="78" s="1"/>
  <c r="G155" i="78"/>
  <c r="G113" i="78"/>
  <c r="J113" i="78" s="1"/>
  <c r="L113" i="78" s="1"/>
  <c r="G154" i="78"/>
  <c r="G158" i="78"/>
  <c r="G161" i="78"/>
  <c r="F149" i="78"/>
  <c r="G149" i="78" s="1"/>
  <c r="G117" i="78"/>
  <c r="J117" i="78" s="1"/>
  <c r="G160" i="78"/>
  <c r="G116" i="78"/>
  <c r="J116" i="78" s="1"/>
  <c r="G156" i="78"/>
  <c r="F162" i="78"/>
  <c r="G159" i="78"/>
  <c r="F121" i="78"/>
  <c r="G119" i="78"/>
  <c r="J119" i="78" s="1"/>
  <c r="E121" i="78"/>
  <c r="E162" i="78"/>
  <c r="G162" i="78" l="1"/>
  <c r="G121" i="78"/>
  <c r="G136" i="78" s="1"/>
  <c r="E97" i="77" l="1"/>
  <c r="E75" i="77" l="1"/>
  <c r="E93" i="77"/>
  <c r="E99" i="77" l="1"/>
  <c r="E101" i="77" s="1"/>
  <c r="H89" i="77"/>
  <c r="H3" i="77" l="1"/>
  <c r="I3" i="77" l="1"/>
  <c r="J3" i="77" l="1"/>
  <c r="V3" i="77" l="1"/>
  <c r="X3" i="77" l="1"/>
  <c r="Z3" i="77"/>
  <c r="Y3" i="77"/>
  <c r="W3" i="77"/>
  <c r="AB3" i="77"/>
  <c r="AA3" i="77"/>
  <c r="T3" i="77" l="1"/>
  <c r="R6" i="64" l="1"/>
  <c r="Z6" i="64" s="1"/>
  <c r="R39" i="64"/>
  <c r="Z39" i="64" s="1"/>
  <c r="R58" i="64"/>
  <c r="Z58" i="64" s="1"/>
  <c r="R57" i="64"/>
  <c r="Z57" i="64" s="1"/>
  <c r="R18" i="64"/>
  <c r="Z18" i="64" s="1"/>
  <c r="R41" i="64"/>
  <c r="Z41" i="64" s="1"/>
  <c r="R29" i="64"/>
  <c r="Z29" i="64" s="1"/>
  <c r="R51" i="64"/>
  <c r="Z51" i="64" s="1"/>
  <c r="R45" i="64"/>
  <c r="Z45" i="64" s="1"/>
  <c r="R52" i="64"/>
  <c r="Z52" i="64" s="1"/>
  <c r="R70" i="64"/>
  <c r="Z70" i="64" s="1"/>
  <c r="R27" i="64"/>
  <c r="Z27" i="64" s="1"/>
  <c r="R33" i="64"/>
  <c r="Z33" i="64" s="1"/>
  <c r="R61" i="64"/>
  <c r="Z61" i="64" s="1"/>
  <c r="R44" i="64"/>
  <c r="Z44" i="64" s="1"/>
  <c r="R38" i="64"/>
  <c r="Z38" i="64" s="1"/>
  <c r="R54" i="64"/>
  <c r="Z54" i="64" s="1"/>
  <c r="R66" i="64"/>
  <c r="Z66" i="64" s="1"/>
  <c r="R19" i="64"/>
  <c r="Z19" i="64" s="1"/>
  <c r="R53" i="64"/>
  <c r="Z53" i="64" s="1"/>
  <c r="R28" i="64"/>
  <c r="Z28" i="64" s="1"/>
  <c r="R56" i="64"/>
  <c r="Z56" i="64" s="1"/>
  <c r="R48" i="64"/>
  <c r="Z48" i="64" s="1"/>
  <c r="R69" i="64"/>
  <c r="Z69" i="64" s="1"/>
  <c r="R63" i="64"/>
  <c r="Z63" i="64" s="1"/>
  <c r="R5" i="64"/>
  <c r="Z5" i="64" s="1"/>
  <c r="R71" i="64"/>
  <c r="Z71" i="64" s="1"/>
  <c r="R72" i="64"/>
  <c r="Z72" i="64" s="1"/>
  <c r="R13" i="64"/>
  <c r="Z13" i="64" s="1"/>
  <c r="R7" i="64"/>
  <c r="Z7" i="64" s="1"/>
  <c r="R49" i="64"/>
  <c r="Z49" i="64" s="1"/>
  <c r="R59" i="64"/>
  <c r="Z59" i="64" s="1"/>
  <c r="R30" i="64"/>
  <c r="Z30" i="64" s="1"/>
  <c r="R22" i="64"/>
  <c r="Z22" i="64" s="1"/>
  <c r="R11" i="64"/>
  <c r="Z11" i="64" s="1"/>
  <c r="R23" i="64"/>
  <c r="Z23" i="64" s="1"/>
  <c r="R36" i="64"/>
  <c r="Z36" i="64" s="1"/>
  <c r="R43" i="64"/>
  <c r="Z43" i="64" s="1"/>
  <c r="R79" i="64"/>
  <c r="Z79" i="64" s="1"/>
  <c r="R47" i="64"/>
  <c r="Z47" i="64" s="1"/>
  <c r="R8" i="64"/>
  <c r="Z8" i="64" s="1"/>
  <c r="R46" i="64"/>
  <c r="Z46" i="64" s="1"/>
  <c r="R16" i="64"/>
  <c r="Z16" i="64" s="1"/>
  <c r="R32" i="64"/>
  <c r="Z32" i="64" s="1"/>
  <c r="R68" i="64"/>
  <c r="Z68" i="64" s="1"/>
  <c r="R60" i="64"/>
  <c r="Z60" i="64" s="1"/>
  <c r="R21" i="64"/>
  <c r="Z21" i="64" s="1"/>
  <c r="R9" i="64"/>
  <c r="Z9" i="64" s="1"/>
  <c r="R25" i="64"/>
  <c r="Z25" i="64" s="1"/>
  <c r="R24" i="64"/>
  <c r="Z24" i="64" s="1"/>
  <c r="R37" i="64"/>
  <c r="Z37" i="64" s="1"/>
  <c r="R42" i="64"/>
  <c r="Z42" i="64" s="1"/>
  <c r="R17" i="64"/>
  <c r="Z17" i="64" s="1"/>
  <c r="R26" i="64"/>
  <c r="Z26" i="64" s="1"/>
  <c r="R84" i="64"/>
  <c r="Z84" i="64" s="1"/>
  <c r="R34" i="64"/>
  <c r="Z34" i="64" s="1"/>
  <c r="R83" i="64"/>
  <c r="Z83" i="64" s="1"/>
  <c r="R67" i="64"/>
  <c r="Z67" i="64" s="1"/>
  <c r="R81" i="64"/>
  <c r="Z81" i="64" s="1"/>
  <c r="R35" i="64"/>
  <c r="Z35" i="64" s="1"/>
  <c r="R15" i="64"/>
  <c r="Z15" i="64" s="1"/>
  <c r="R64" i="64"/>
  <c r="Z64" i="64" s="1"/>
  <c r="R10" i="64" l="1"/>
  <c r="Z10" i="64" s="1"/>
  <c r="R50" i="64"/>
  <c r="Z50" i="64" s="1"/>
  <c r="Q97" i="64"/>
  <c r="Q189" i="64" s="1"/>
  <c r="Q194" i="64" s="1"/>
  <c r="R95" i="64"/>
  <c r="R20" i="64"/>
  <c r="Z20" i="64" s="1"/>
  <c r="R55" i="64"/>
  <c r="Z55" i="64" s="1"/>
  <c r="R4" i="64"/>
  <c r="Q93" i="64" l="1"/>
  <c r="R78" i="64"/>
  <c r="Q75" i="64"/>
  <c r="Q187" i="64" s="1"/>
  <c r="Q192" i="64" s="1"/>
  <c r="R97" i="64"/>
  <c r="R189" i="64" s="1"/>
  <c r="R194" i="64" s="1"/>
  <c r="Z95" i="64"/>
  <c r="Z97" i="64" s="1"/>
  <c r="Z189" i="64" s="1"/>
  <c r="Z194" i="64" s="1"/>
  <c r="Z4" i="64"/>
  <c r="Z75" i="64" s="1"/>
  <c r="Z187" i="64" s="1"/>
  <c r="Z192" i="64" s="1"/>
  <c r="R75" i="64"/>
  <c r="R187" i="64" s="1"/>
  <c r="R192" i="64" s="1"/>
  <c r="Z78" i="64" l="1"/>
  <c r="Z93" i="64" s="1"/>
  <c r="R93" i="64"/>
  <c r="Q188" i="64"/>
  <c r="Q193" i="64" s="1"/>
  <c r="Q99" i="64"/>
  <c r="Q208" i="64" l="1"/>
  <c r="Q204" i="64"/>
  <c r="Q205" i="64" s="1"/>
  <c r="Q198" i="64"/>
  <c r="Q190" i="64"/>
  <c r="Q195" i="64" s="1"/>
  <c r="Q157" i="64"/>
  <c r="Q153" i="64"/>
  <c r="Q123" i="64"/>
  <c r="Q104" i="64"/>
  <c r="Q100" i="64"/>
  <c r="Q101" i="64"/>
  <c r="Q224" i="64"/>
  <c r="Q139" i="64"/>
  <c r="Q209" i="64" s="1"/>
  <c r="R188" i="64"/>
  <c r="R193" i="64" s="1"/>
  <c r="R99" i="64"/>
  <c r="Z188" i="64"/>
  <c r="Z193" i="64" s="1"/>
  <c r="Z99" i="64"/>
  <c r="Z224" i="64" l="1"/>
  <c r="Z208" i="64"/>
  <c r="Z204" i="64"/>
  <c r="Z205" i="64" s="1"/>
  <c r="Z190" i="64"/>
  <c r="Z195" i="64" s="1"/>
  <c r="Z139" i="64"/>
  <c r="Z209" i="64" s="1"/>
  <c r="Z101" i="64"/>
  <c r="Z153" i="64"/>
  <c r="Z157" i="64"/>
  <c r="Z100" i="64"/>
  <c r="R224" i="64"/>
  <c r="R208" i="64"/>
  <c r="R204" i="64"/>
  <c r="R205" i="64" s="1"/>
  <c r="R198" i="64"/>
  <c r="R190" i="64"/>
  <c r="R195" i="64" s="1"/>
  <c r="R139" i="64"/>
  <c r="R209" i="64" s="1"/>
  <c r="R101" i="64"/>
  <c r="R157" i="64"/>
  <c r="R153" i="64"/>
  <c r="R221" i="64" s="1"/>
  <c r="R100" i="64"/>
  <c r="H73" i="77" l="1"/>
  <c r="I73" i="77" s="1"/>
  <c r="J73" i="77" s="1"/>
  <c r="V73" i="77" s="1"/>
  <c r="X73" i="77" l="1"/>
  <c r="AA73" i="77"/>
  <c r="AB73" i="77"/>
  <c r="Y73" i="77"/>
  <c r="W73" i="77"/>
  <c r="T73" i="77" s="1"/>
  <c r="Z73" i="77"/>
  <c r="H91" i="77" l="1"/>
  <c r="I91" i="77" s="1"/>
  <c r="J91" i="77" s="1"/>
  <c r="V91" i="77" s="1"/>
  <c r="AA91" i="77" l="1"/>
  <c r="X91" i="77"/>
  <c r="AB91" i="77"/>
  <c r="Z91" i="77"/>
  <c r="W91" i="77"/>
  <c r="T91" i="77" s="1"/>
  <c r="Y91" i="77"/>
  <c r="H81" i="77" l="1"/>
  <c r="I81" i="77" s="1"/>
  <c r="J81" i="77" s="1"/>
  <c r="V81" i="77" s="1"/>
  <c r="H11" i="77"/>
  <c r="I11" i="77" s="1"/>
  <c r="J11" i="77" s="1"/>
  <c r="V11" i="77" s="1"/>
  <c r="H38" i="77"/>
  <c r="I38" i="77" s="1"/>
  <c r="J38" i="77" s="1"/>
  <c r="V38" i="77" s="1"/>
  <c r="W81" i="77" l="1"/>
  <c r="T81" i="77" s="1"/>
  <c r="X81" i="77"/>
  <c r="AA81" i="77"/>
  <c r="Z81" i="77"/>
  <c r="AB81" i="77"/>
  <c r="Y81" i="77"/>
  <c r="W38" i="77"/>
  <c r="T38" i="77" s="1"/>
  <c r="Z38" i="77"/>
  <c r="AB38" i="77"/>
  <c r="X38" i="77"/>
  <c r="Y38" i="77"/>
  <c r="AA38" i="77"/>
  <c r="W11" i="77"/>
  <c r="T11" i="77" s="1"/>
  <c r="Z11" i="77"/>
  <c r="AB11" i="77"/>
  <c r="Y11" i="77"/>
  <c r="AA11" i="77"/>
  <c r="X11" i="77"/>
  <c r="H47" i="77"/>
  <c r="I47" i="77" s="1"/>
  <c r="J47" i="77" s="1"/>
  <c r="V47" i="77" s="1"/>
  <c r="H10" i="77"/>
  <c r="I10" i="77" s="1"/>
  <c r="J10" i="77" s="1"/>
  <c r="V10" i="77" s="1"/>
  <c r="H49" i="77"/>
  <c r="I49" i="77" s="1"/>
  <c r="J49" i="77" s="1"/>
  <c r="V49" i="77" s="1"/>
  <c r="H44" i="77"/>
  <c r="I44" i="77" s="1"/>
  <c r="J44" i="77" s="1"/>
  <c r="V44" i="77" s="1"/>
  <c r="H50" i="77"/>
  <c r="I50" i="77" s="1"/>
  <c r="J50" i="77" s="1"/>
  <c r="V50" i="77" s="1"/>
  <c r="H26" i="77"/>
  <c r="I26" i="77" s="1"/>
  <c r="J26" i="77" s="1"/>
  <c r="V26" i="77" s="1"/>
  <c r="H52" i="77"/>
  <c r="I52" i="77" s="1"/>
  <c r="J52" i="77" s="1"/>
  <c r="V52" i="77" s="1"/>
  <c r="H55" i="77"/>
  <c r="I55" i="77" s="1"/>
  <c r="J55" i="77" s="1"/>
  <c r="V55" i="77" s="1"/>
  <c r="H36" i="77"/>
  <c r="I36" i="77" s="1"/>
  <c r="J36" i="77" s="1"/>
  <c r="V36" i="77" s="1"/>
  <c r="H21" i="77"/>
  <c r="I21" i="77" s="1"/>
  <c r="J21" i="77" s="1"/>
  <c r="V21" i="77" s="1"/>
  <c r="H22" i="77"/>
  <c r="I22" i="77" s="1"/>
  <c r="J22" i="77" s="1"/>
  <c r="V22" i="77" s="1"/>
  <c r="H66" i="77"/>
  <c r="I66" i="77" s="1"/>
  <c r="J66" i="77" s="1"/>
  <c r="V66" i="77" s="1"/>
  <c r="H62" i="77"/>
  <c r="I62" i="77" s="1"/>
  <c r="J62" i="77" s="1"/>
  <c r="V62" i="77" s="1"/>
  <c r="H6" i="77"/>
  <c r="I6" i="77" s="1"/>
  <c r="J6" i="77" s="1"/>
  <c r="V6" i="77" s="1"/>
  <c r="H17" i="77"/>
  <c r="I17" i="77" s="1"/>
  <c r="J17" i="77" s="1"/>
  <c r="V17" i="77" s="1"/>
  <c r="H56" i="77"/>
  <c r="I56" i="77" s="1"/>
  <c r="J56" i="77" s="1"/>
  <c r="V56" i="77" s="1"/>
  <c r="H7" i="77"/>
  <c r="I7" i="77" s="1"/>
  <c r="J7" i="77" s="1"/>
  <c r="V7" i="77" s="1"/>
  <c r="H48" i="77"/>
  <c r="I48" i="77" s="1"/>
  <c r="J48" i="77" s="1"/>
  <c r="V48" i="77" s="1"/>
  <c r="H54" i="77"/>
  <c r="I54" i="77" s="1"/>
  <c r="J54" i="77" s="1"/>
  <c r="V54" i="77" s="1"/>
  <c r="H41" i="77"/>
  <c r="I41" i="77" s="1"/>
  <c r="J41" i="77" s="1"/>
  <c r="V41" i="77" s="1"/>
  <c r="H18" i="77"/>
  <c r="I18" i="77" s="1"/>
  <c r="J18" i="77" s="1"/>
  <c r="V18" i="77" s="1"/>
  <c r="H39" i="77"/>
  <c r="I39" i="77" s="1"/>
  <c r="J39" i="77" s="1"/>
  <c r="V39" i="77" s="1"/>
  <c r="H32" i="77"/>
  <c r="I32" i="77" s="1"/>
  <c r="J32" i="77" s="1"/>
  <c r="V32" i="77" s="1"/>
  <c r="H46" i="77"/>
  <c r="I46" i="77" s="1"/>
  <c r="J46" i="77" s="1"/>
  <c r="V46" i="77" s="1"/>
  <c r="H33" i="77"/>
  <c r="I33" i="77" s="1"/>
  <c r="J33" i="77" s="1"/>
  <c r="V33" i="77" s="1"/>
  <c r="H85" i="77"/>
  <c r="I85" i="77" s="1"/>
  <c r="J85" i="77" s="1"/>
  <c r="V85" i="77" s="1"/>
  <c r="H42" i="77"/>
  <c r="I42" i="77" s="1"/>
  <c r="J42" i="77" s="1"/>
  <c r="V42" i="77" s="1"/>
  <c r="Z85" i="77" l="1"/>
  <c r="X85" i="77"/>
  <c r="AB85" i="77"/>
  <c r="Y85" i="77"/>
  <c r="W85" i="77"/>
  <c r="T85" i="77" s="1"/>
  <c r="AA85" i="77"/>
  <c r="X39" i="77"/>
  <c r="AB39" i="77"/>
  <c r="Z39" i="77"/>
  <c r="W39" i="77"/>
  <c r="T39" i="77" s="1"/>
  <c r="Y39" i="77"/>
  <c r="AA39" i="77"/>
  <c r="Z48" i="77"/>
  <c r="W48" i="77"/>
  <c r="T48" i="77" s="1"/>
  <c r="X48" i="77"/>
  <c r="AB48" i="77"/>
  <c r="AA48" i="77"/>
  <c r="Y48" i="77"/>
  <c r="AA6" i="77"/>
  <c r="Y6" i="77"/>
  <c r="Z6" i="77"/>
  <c r="W6" i="77"/>
  <c r="T6" i="77" s="1"/>
  <c r="AB6" i="77"/>
  <c r="X6" i="77"/>
  <c r="X21" i="77"/>
  <c r="AB21" i="77"/>
  <c r="Z21" i="77"/>
  <c r="W21" i="77"/>
  <c r="T21" i="77" s="1"/>
  <c r="Y21" i="77"/>
  <c r="AA21" i="77"/>
  <c r="X52" i="77"/>
  <c r="Y52" i="77"/>
  <c r="W52" i="77"/>
  <c r="T52" i="77" s="1"/>
  <c r="Z52" i="77"/>
  <c r="AA52" i="77"/>
  <c r="AB52" i="77"/>
  <c r="W49" i="77"/>
  <c r="T49" i="77" s="1"/>
  <c r="AA49" i="77"/>
  <c r="Z49" i="77"/>
  <c r="AB49" i="77"/>
  <c r="Y49" i="77"/>
  <c r="X49" i="77"/>
  <c r="AB42" i="77"/>
  <c r="AA42" i="77"/>
  <c r="Z42" i="77"/>
  <c r="W42" i="77"/>
  <c r="T42" i="77" s="1"/>
  <c r="Y42" i="77"/>
  <c r="X42" i="77"/>
  <c r="Y32" i="77"/>
  <c r="W32" i="77"/>
  <c r="T32" i="77" s="1"/>
  <c r="X32" i="77"/>
  <c r="AA32" i="77"/>
  <c r="AB32" i="77"/>
  <c r="Z32" i="77"/>
  <c r="Y18" i="77"/>
  <c r="X18" i="77"/>
  <c r="AA18" i="77"/>
  <c r="W18" i="77"/>
  <c r="T18" i="77" s="1"/>
  <c r="Z18" i="77"/>
  <c r="AB18" i="77"/>
  <c r="Y7" i="77"/>
  <c r="AB7" i="77"/>
  <c r="AA7" i="77"/>
  <c r="X7" i="77"/>
  <c r="W7" i="77"/>
  <c r="T7" i="77" s="1"/>
  <c r="Z7" i="77"/>
  <c r="W62" i="77"/>
  <c r="T62" i="77" s="1"/>
  <c r="Z62" i="77"/>
  <c r="Y62" i="77"/>
  <c r="AA62" i="77"/>
  <c r="X62" i="77"/>
  <c r="AB62" i="77"/>
  <c r="Y55" i="77"/>
  <c r="X55" i="77"/>
  <c r="AB55" i="77"/>
  <c r="AA55" i="77"/>
  <c r="W55" i="77"/>
  <c r="T55" i="77" s="1"/>
  <c r="Z55" i="77"/>
  <c r="X26" i="77"/>
  <c r="Z26" i="77"/>
  <c r="AB26" i="77"/>
  <c r="Y26" i="77"/>
  <c r="AA26" i="77"/>
  <c r="W26" i="77"/>
  <c r="T26" i="77" s="1"/>
  <c r="AB44" i="77"/>
  <c r="W44" i="77"/>
  <c r="T44" i="77" s="1"/>
  <c r="Z44" i="77"/>
  <c r="Y44" i="77"/>
  <c r="AA44" i="77"/>
  <c r="X44" i="77"/>
  <c r="AB10" i="77"/>
  <c r="W10" i="77"/>
  <c r="T10" i="77" s="1"/>
  <c r="Y10" i="77"/>
  <c r="AA10" i="77"/>
  <c r="X10" i="77"/>
  <c r="Z10" i="77"/>
  <c r="W46" i="77"/>
  <c r="T46" i="77" s="1"/>
  <c r="AB46" i="77"/>
  <c r="Y46" i="77"/>
  <c r="X46" i="77"/>
  <c r="Z46" i="77"/>
  <c r="AA46" i="77"/>
  <c r="W41" i="77"/>
  <c r="T41" i="77" s="1"/>
  <c r="AA41" i="77"/>
  <c r="AB41" i="77"/>
  <c r="Y41" i="77"/>
  <c r="X41" i="77"/>
  <c r="Z41" i="77"/>
  <c r="Y56" i="77"/>
  <c r="Z56" i="77"/>
  <c r="AB56" i="77"/>
  <c r="X56" i="77"/>
  <c r="AA56" i="77"/>
  <c r="W56" i="77"/>
  <c r="T56" i="77" s="1"/>
  <c r="Y66" i="77"/>
  <c r="Z66" i="77"/>
  <c r="W66" i="77"/>
  <c r="T66" i="77" s="1"/>
  <c r="AA66" i="77"/>
  <c r="AB66" i="77"/>
  <c r="X66" i="77"/>
  <c r="AA50" i="77"/>
  <c r="AB50" i="77"/>
  <c r="Z50" i="77"/>
  <c r="W50" i="77"/>
  <c r="T50" i="77" s="1"/>
  <c r="Y50" i="77"/>
  <c r="X50" i="77"/>
  <c r="X47" i="77"/>
  <c r="AB47" i="77"/>
  <c r="W47" i="77"/>
  <c r="T47" i="77" s="1"/>
  <c r="AA47" i="77"/>
  <c r="Y47" i="77"/>
  <c r="Z47" i="77"/>
  <c r="X33" i="77"/>
  <c r="AB33" i="77"/>
  <c r="W33" i="77"/>
  <c r="T33" i="77" s="1"/>
  <c r="Y33" i="77"/>
  <c r="AA33" i="77"/>
  <c r="Z33" i="77"/>
  <c r="Z54" i="77"/>
  <c r="X54" i="77"/>
  <c r="W54" i="77"/>
  <c r="T54" i="77" s="1"/>
  <c r="AB54" i="77"/>
  <c r="Y54" i="77"/>
  <c r="AA54" i="77"/>
  <c r="W17" i="77"/>
  <c r="T17" i="77" s="1"/>
  <c r="Z17" i="77"/>
  <c r="AA17" i="77"/>
  <c r="AB17" i="77"/>
  <c r="X17" i="77"/>
  <c r="Y17" i="77"/>
  <c r="AA22" i="77"/>
  <c r="Y22" i="77"/>
  <c r="Z22" i="77"/>
  <c r="AB22" i="77"/>
  <c r="X22" i="77"/>
  <c r="W22" i="77"/>
  <c r="T22" i="77" s="1"/>
  <c r="Y36" i="77"/>
  <c r="Z36" i="77"/>
  <c r="AA36" i="77"/>
  <c r="X36" i="77"/>
  <c r="W36" i="77"/>
  <c r="T36" i="77" s="1"/>
  <c r="AB36" i="77"/>
  <c r="H61" i="77"/>
  <c r="I61" i="77" s="1"/>
  <c r="J61" i="77" s="1"/>
  <c r="V61" i="77" s="1"/>
  <c r="H27" i="77"/>
  <c r="I27" i="77" s="1"/>
  <c r="J27" i="77" s="1"/>
  <c r="V27" i="77" s="1"/>
  <c r="H83" i="77"/>
  <c r="I83" i="77" s="1"/>
  <c r="J83" i="77" s="1"/>
  <c r="V83" i="77" s="1"/>
  <c r="H80" i="77"/>
  <c r="I80" i="77" s="1"/>
  <c r="J80" i="77" s="1"/>
  <c r="V80" i="77" s="1"/>
  <c r="H84" i="77"/>
  <c r="I84" i="77" s="1"/>
  <c r="J84" i="77" s="1"/>
  <c r="V84" i="77" s="1"/>
  <c r="H63" i="77"/>
  <c r="I63" i="77" s="1"/>
  <c r="J63" i="77" s="1"/>
  <c r="V63" i="77" s="1"/>
  <c r="H69" i="77"/>
  <c r="I69" i="77" s="1"/>
  <c r="J69" i="77" s="1"/>
  <c r="V69" i="77" s="1"/>
  <c r="H23" i="77"/>
  <c r="I23" i="77" s="1"/>
  <c r="J23" i="77" s="1"/>
  <c r="V23" i="77" s="1"/>
  <c r="H65" i="77"/>
  <c r="I65" i="77" s="1"/>
  <c r="J65" i="77" s="1"/>
  <c r="V65" i="77" s="1"/>
  <c r="H57" i="77"/>
  <c r="I57" i="77" s="1"/>
  <c r="J57" i="77" s="1"/>
  <c r="V57" i="77" s="1"/>
  <c r="H67" i="77"/>
  <c r="I67" i="77" s="1"/>
  <c r="J67" i="77" s="1"/>
  <c r="V67" i="77" s="1"/>
  <c r="H78" i="77"/>
  <c r="I78" i="77" s="1"/>
  <c r="J78" i="77" s="1"/>
  <c r="V78" i="77" s="1"/>
  <c r="H82" i="77"/>
  <c r="I82" i="77" s="1"/>
  <c r="J82" i="77" s="1"/>
  <c r="V82" i="77" s="1"/>
  <c r="H79" i="77"/>
  <c r="I79" i="77" s="1"/>
  <c r="J79" i="77" s="1"/>
  <c r="V79" i="77" s="1"/>
  <c r="H64" i="77"/>
  <c r="I64" i="77" s="1"/>
  <c r="J64" i="77" s="1"/>
  <c r="V64" i="77" s="1"/>
  <c r="H88" i="77"/>
  <c r="I88" i="77" s="1"/>
  <c r="J88" i="77" s="1"/>
  <c r="V88" i="77" s="1"/>
  <c r="H87" i="77"/>
  <c r="I87" i="77" s="1"/>
  <c r="J87" i="77" s="1"/>
  <c r="V87" i="77" s="1"/>
  <c r="Y79" i="77" l="1"/>
  <c r="AA79" i="77"/>
  <c r="Z79" i="77"/>
  <c r="W79" i="77"/>
  <c r="T79" i="77" s="1"/>
  <c r="AB79" i="77"/>
  <c r="X79" i="77"/>
  <c r="W65" i="77"/>
  <c r="T65" i="77" s="1"/>
  <c r="AB65" i="77"/>
  <c r="Z65" i="77"/>
  <c r="X65" i="77"/>
  <c r="AA65" i="77"/>
  <c r="Y65" i="77"/>
  <c r="X84" i="77"/>
  <c r="Y84" i="77"/>
  <c r="AA84" i="77"/>
  <c r="AB84" i="77"/>
  <c r="W84" i="77"/>
  <c r="T84" i="77" s="1"/>
  <c r="Z84" i="77"/>
  <c r="W61" i="77"/>
  <c r="T61" i="77" s="1"/>
  <c r="AA61" i="77"/>
  <c r="Y61" i="77"/>
  <c r="Z61" i="77"/>
  <c r="AB61" i="77"/>
  <c r="X61" i="77"/>
  <c r="Y63" i="77"/>
  <c r="W63" i="77"/>
  <c r="T63" i="77" s="1"/>
  <c r="AA63" i="77"/>
  <c r="Z63" i="77"/>
  <c r="AB63" i="77"/>
  <c r="X63" i="77"/>
  <c r="Z64" i="77"/>
  <c r="W64" i="77"/>
  <c r="T64" i="77" s="1"/>
  <c r="X64" i="77"/>
  <c r="Y64" i="77"/>
  <c r="AB64" i="77"/>
  <c r="AA64" i="77"/>
  <c r="W82" i="77"/>
  <c r="T82" i="77" s="1"/>
  <c r="Z82" i="77"/>
  <c r="AA82" i="77"/>
  <c r="X82" i="77"/>
  <c r="Y82" i="77"/>
  <c r="AB82" i="77"/>
  <c r="X67" i="77"/>
  <c r="W67" i="77"/>
  <c r="T67" i="77" s="1"/>
  <c r="Y67" i="77"/>
  <c r="Z67" i="77"/>
  <c r="AB67" i="77"/>
  <c r="AA67" i="77"/>
  <c r="Z57" i="77"/>
  <c r="Y57" i="77"/>
  <c r="AB57" i="77"/>
  <c r="AA57" i="77"/>
  <c r="X57" i="77"/>
  <c r="W57" i="77"/>
  <c r="T57" i="77" s="1"/>
  <c r="AB80" i="77"/>
  <c r="Z80" i="77"/>
  <c r="X80" i="77"/>
  <c r="Y80" i="77"/>
  <c r="W80" i="77"/>
  <c r="T80" i="77" s="1"/>
  <c r="AA80" i="77"/>
  <c r="X27" i="77"/>
  <c r="W27" i="77"/>
  <c r="T27" i="77" s="1"/>
  <c r="AA27" i="77"/>
  <c r="Z27" i="77"/>
  <c r="Y27" i="77"/>
  <c r="AB27" i="77"/>
  <c r="AA88" i="77"/>
  <c r="X88" i="77"/>
  <c r="Z88" i="77"/>
  <c r="Y88" i="77"/>
  <c r="AB88" i="77"/>
  <c r="W88" i="77"/>
  <c r="T88" i="77" s="1"/>
  <c r="Y78" i="77"/>
  <c r="AB78" i="77"/>
  <c r="W78" i="77"/>
  <c r="T78" i="77" s="1"/>
  <c r="X78" i="77"/>
  <c r="Z78" i="77"/>
  <c r="AA78" i="77"/>
  <c r="Z83" i="77"/>
  <c r="Y83" i="77"/>
  <c r="W83" i="77"/>
  <c r="T83" i="77" s="1"/>
  <c r="AA83" i="77"/>
  <c r="X83" i="77"/>
  <c r="AB83" i="77"/>
  <c r="Y23" i="77"/>
  <c r="AB23" i="77"/>
  <c r="W23" i="77"/>
  <c r="T23" i="77" s="1"/>
  <c r="X23" i="77"/>
  <c r="AA23" i="77"/>
  <c r="Z23" i="77"/>
  <c r="Y87" i="77"/>
  <c r="Z87" i="77"/>
  <c r="AB87" i="77"/>
  <c r="W87" i="77"/>
  <c r="T87" i="77" s="1"/>
  <c r="AA87" i="77"/>
  <c r="X87" i="77"/>
  <c r="X69" i="77"/>
  <c r="Y69" i="77"/>
  <c r="AA69" i="77"/>
  <c r="W69" i="77"/>
  <c r="T69" i="77" s="1"/>
  <c r="Z69" i="77"/>
  <c r="AB69" i="77"/>
  <c r="H95" i="77" l="1"/>
  <c r="D97" i="77"/>
  <c r="I95" i="77" l="1"/>
  <c r="H97" i="77"/>
  <c r="H77" i="77" l="1"/>
  <c r="I97" i="77"/>
  <c r="J95" i="77"/>
  <c r="J97" i="77" l="1"/>
  <c r="V95" i="77"/>
  <c r="I77" i="77"/>
  <c r="X95" i="77" l="1"/>
  <c r="X97" i="77" s="1"/>
  <c r="Z95" i="77"/>
  <c r="Z97" i="77" s="1"/>
  <c r="AA95" i="77"/>
  <c r="AA97" i="77" s="1"/>
  <c r="Y95" i="77"/>
  <c r="Y97" i="77" s="1"/>
  <c r="W95" i="77"/>
  <c r="AB95" i="77"/>
  <c r="AB97" i="77" s="1"/>
  <c r="V97" i="77"/>
  <c r="J77" i="77"/>
  <c r="V77" i="77" l="1"/>
  <c r="W97" i="77"/>
  <c r="T95" i="77"/>
  <c r="T97" i="77" s="1"/>
  <c r="Y77" i="77" l="1"/>
  <c r="AA77" i="77"/>
  <c r="X77" i="77"/>
  <c r="W77" i="77"/>
  <c r="AB77" i="77"/>
  <c r="Z77" i="77"/>
  <c r="T77" i="77" l="1"/>
  <c r="H8" i="77" l="1"/>
  <c r="I8" i="77" s="1"/>
  <c r="J8" i="77" s="1"/>
  <c r="V8" i="77" s="1"/>
  <c r="X8" i="77" l="1"/>
  <c r="AB8" i="77"/>
  <c r="AA8" i="77"/>
  <c r="Z8" i="77"/>
  <c r="W8" i="77"/>
  <c r="T8" i="77" s="1"/>
  <c r="Y8" i="77"/>
  <c r="H43" i="77"/>
  <c r="I43" i="77" s="1"/>
  <c r="J43" i="77" s="1"/>
  <c r="V43" i="77" s="1"/>
  <c r="X43" i="77" l="1"/>
  <c r="W43" i="77"/>
  <c r="T43" i="77" s="1"/>
  <c r="Z43" i="77"/>
  <c r="AB43" i="77"/>
  <c r="Y43" i="77"/>
  <c r="AA43" i="77"/>
  <c r="H29" i="77"/>
  <c r="I29" i="77" s="1"/>
  <c r="J29" i="77" s="1"/>
  <c r="V29" i="77" s="1"/>
  <c r="W29" i="77" l="1"/>
  <c r="T29" i="77" s="1"/>
  <c r="AA29" i="77"/>
  <c r="X29" i="77"/>
  <c r="Z29" i="77"/>
  <c r="Y29" i="77"/>
  <c r="AB29" i="77"/>
  <c r="H30" i="77"/>
  <c r="I30" i="77" s="1"/>
  <c r="J30" i="77" s="1"/>
  <c r="V30" i="77" s="1"/>
  <c r="X30" i="77" l="1"/>
  <c r="AB30" i="77"/>
  <c r="Z30" i="77"/>
  <c r="AA30" i="77"/>
  <c r="Y30" i="77"/>
  <c r="W30" i="77"/>
  <c r="T30" i="77" s="1"/>
  <c r="H53" i="77"/>
  <c r="I53" i="77" s="1"/>
  <c r="J53" i="77" s="1"/>
  <c r="V53" i="77" s="1"/>
  <c r="Y53" i="77" l="1"/>
  <c r="Z53" i="77"/>
  <c r="W53" i="77"/>
  <c r="T53" i="77" s="1"/>
  <c r="AB53" i="77"/>
  <c r="X53" i="77"/>
  <c r="AA53" i="77"/>
  <c r="H68" i="77"/>
  <c r="I68" i="77" s="1"/>
  <c r="J68" i="77" s="1"/>
  <c r="V68" i="77" s="1"/>
  <c r="AB68" i="77" l="1"/>
  <c r="AA68" i="77"/>
  <c r="X68" i="77"/>
  <c r="W68" i="77"/>
  <c r="T68" i="77" s="1"/>
  <c r="Z68" i="77"/>
  <c r="Y68" i="77"/>
  <c r="H15" i="77" l="1"/>
  <c r="I15" i="77" s="1"/>
  <c r="J15" i="77" s="1"/>
  <c r="V15" i="77" s="1"/>
  <c r="AA15" i="77" l="1"/>
  <c r="AB15" i="77"/>
  <c r="Z15" i="77"/>
  <c r="W15" i="77"/>
  <c r="T15" i="77" s="1"/>
  <c r="X15" i="77"/>
  <c r="Y15" i="77"/>
  <c r="H14" i="77"/>
  <c r="I14" i="77" s="1"/>
  <c r="J14" i="77" s="1"/>
  <c r="V14" i="77" s="1"/>
  <c r="H35" i="77"/>
  <c r="I35" i="77" s="1"/>
  <c r="J35" i="77" s="1"/>
  <c r="V35" i="77" s="1"/>
  <c r="X14" i="77" l="1"/>
  <c r="AB14" i="77"/>
  <c r="Z14" i="77"/>
  <c r="Y14" i="77"/>
  <c r="AA14" i="77"/>
  <c r="W14" i="77"/>
  <c r="T14" i="77" s="1"/>
  <c r="Y35" i="77"/>
  <c r="Z35" i="77"/>
  <c r="AA35" i="77"/>
  <c r="X35" i="77"/>
  <c r="W35" i="77"/>
  <c r="T35" i="77" s="1"/>
  <c r="AB35" i="77"/>
  <c r="H60" i="77"/>
  <c r="I60" i="77" s="1"/>
  <c r="J60" i="77" s="1"/>
  <c r="V60" i="77" s="1"/>
  <c r="X60" i="77" l="1"/>
  <c r="Z60" i="77"/>
  <c r="AB60" i="77"/>
  <c r="AA60" i="77"/>
  <c r="W60" i="77"/>
  <c r="T60" i="77" s="1"/>
  <c r="Y60" i="77"/>
  <c r="H24" i="77"/>
  <c r="I24" i="77" s="1"/>
  <c r="J24" i="77" s="1"/>
  <c r="V24" i="77" s="1"/>
  <c r="Y24" i="77" l="1"/>
  <c r="X24" i="77"/>
  <c r="AB24" i="77"/>
  <c r="AA24" i="77"/>
  <c r="Z24" i="77"/>
  <c r="W24" i="77"/>
  <c r="T24" i="77" s="1"/>
  <c r="H20" i="77" l="1"/>
  <c r="I20" i="77" s="1"/>
  <c r="J20" i="77" s="1"/>
  <c r="V20" i="77" s="1"/>
  <c r="X20" i="77" l="1"/>
  <c r="W20" i="77"/>
  <c r="T20" i="77" s="1"/>
  <c r="AB20" i="77"/>
  <c r="Z20" i="77"/>
  <c r="Y20" i="77"/>
  <c r="AA20" i="77"/>
  <c r="H9" i="77" l="1"/>
  <c r="I9" i="77" s="1"/>
  <c r="J9" i="77" s="1"/>
  <c r="V9" i="77" s="1"/>
  <c r="H34" i="77"/>
  <c r="I34" i="77" s="1"/>
  <c r="J34" i="77" s="1"/>
  <c r="V34" i="77" s="1"/>
  <c r="AB9" i="77" l="1"/>
  <c r="W9" i="77"/>
  <c r="T9" i="77" s="1"/>
  <c r="X9" i="77"/>
  <c r="Z9" i="77"/>
  <c r="AA9" i="77"/>
  <c r="Y9" i="77"/>
  <c r="AB34" i="77"/>
  <c r="AA34" i="77"/>
  <c r="Y34" i="77"/>
  <c r="W34" i="77"/>
  <c r="T34" i="77" s="1"/>
  <c r="X34" i="77"/>
  <c r="Z34" i="77"/>
  <c r="H4" i="77" l="1"/>
  <c r="H28" i="77"/>
  <c r="I28" i="77" s="1"/>
  <c r="J28" i="77" s="1"/>
  <c r="V28" i="77" s="1"/>
  <c r="H45" i="77"/>
  <c r="I45" i="77" s="1"/>
  <c r="J45" i="77" s="1"/>
  <c r="V45" i="77" s="1"/>
  <c r="AB45" i="77" l="1"/>
  <c r="Y45" i="77"/>
  <c r="X45" i="77"/>
  <c r="W45" i="77"/>
  <c r="T45" i="77" s="1"/>
  <c r="Z45" i="77"/>
  <c r="AA45" i="77"/>
  <c r="AA28" i="77"/>
  <c r="AB28" i="77"/>
  <c r="W28" i="77"/>
  <c r="T28" i="77" s="1"/>
  <c r="Z28" i="77"/>
  <c r="Y28" i="77"/>
  <c r="X28" i="77"/>
  <c r="I4" i="77"/>
  <c r="J4" i="77" l="1"/>
  <c r="H19" i="77"/>
  <c r="I19" i="77" s="1"/>
  <c r="J19" i="77" s="1"/>
  <c r="V19" i="77" s="1"/>
  <c r="AB19" i="77" l="1"/>
  <c r="Z19" i="77"/>
  <c r="X19" i="77"/>
  <c r="AA19" i="77"/>
  <c r="Y19" i="77"/>
  <c r="W19" i="77"/>
  <c r="T19" i="77" s="1"/>
  <c r="V4" i="77"/>
  <c r="W4" i="77" l="1"/>
  <c r="Z4" i="77"/>
  <c r="X4" i="77"/>
  <c r="AB4" i="77"/>
  <c r="Y4" i="77"/>
  <c r="AA4" i="77"/>
  <c r="T4" i="77" l="1"/>
  <c r="H5" i="77" l="1"/>
  <c r="I5" i="77" l="1"/>
  <c r="J5" i="77" l="1"/>
  <c r="V5" i="77" l="1"/>
  <c r="Z5" i="77" l="1"/>
  <c r="W5" i="77"/>
  <c r="Y5" i="77"/>
  <c r="AB5" i="77"/>
  <c r="X5" i="77"/>
  <c r="AA5" i="77"/>
  <c r="H72" i="77"/>
  <c r="I72" i="77" s="1"/>
  <c r="J72" i="77" s="1"/>
  <c r="V72" i="77" s="1"/>
  <c r="H13" i="77"/>
  <c r="I13" i="77" s="1"/>
  <c r="J13" i="77" s="1"/>
  <c r="V13" i="77" s="1"/>
  <c r="H58" i="77"/>
  <c r="I58" i="77" s="1"/>
  <c r="J58" i="77" s="1"/>
  <c r="V58" i="77" s="1"/>
  <c r="H59" i="77"/>
  <c r="I59" i="77" s="1"/>
  <c r="J59" i="77" s="1"/>
  <c r="V59" i="77" s="1"/>
  <c r="H71" i="77"/>
  <c r="I71" i="77" s="1"/>
  <c r="J71" i="77" s="1"/>
  <c r="V71" i="77" s="1"/>
  <c r="H70" i="77"/>
  <c r="I70" i="77" s="1"/>
  <c r="J70" i="77" s="1"/>
  <c r="V70" i="77" s="1"/>
  <c r="H51" i="77"/>
  <c r="I51" i="77" s="1"/>
  <c r="J51" i="77" s="1"/>
  <c r="V51" i="77" s="1"/>
  <c r="H25" i="77"/>
  <c r="I25" i="77" s="1"/>
  <c r="J25" i="77" s="1"/>
  <c r="V25" i="77" s="1"/>
  <c r="H37" i="77"/>
  <c r="I37" i="77" s="1"/>
  <c r="J37" i="77" s="1"/>
  <c r="V37" i="77" s="1"/>
  <c r="H40" i="77"/>
  <c r="I40" i="77" s="1"/>
  <c r="J40" i="77" s="1"/>
  <c r="V40" i="77" s="1"/>
  <c r="H16" i="77"/>
  <c r="I16" i="77" s="1"/>
  <c r="J16" i="77" s="1"/>
  <c r="V16" i="77" s="1"/>
  <c r="X51" i="77" l="1"/>
  <c r="Y51" i="77"/>
  <c r="AB51" i="77"/>
  <c r="Z51" i="77"/>
  <c r="AA51" i="77"/>
  <c r="W51" i="77"/>
  <c r="T51" i="77" s="1"/>
  <c r="AB70" i="77"/>
  <c r="Y70" i="77"/>
  <c r="Z70" i="77"/>
  <c r="X70" i="77"/>
  <c r="W70" i="77"/>
  <c r="T70" i="77" s="1"/>
  <c r="AA70" i="77"/>
  <c r="Z16" i="77"/>
  <c r="Y16" i="77"/>
  <c r="AB16" i="77"/>
  <c r="W16" i="77"/>
  <c r="T16" i="77" s="1"/>
  <c r="X16" i="77"/>
  <c r="AA16" i="77"/>
  <c r="W71" i="77"/>
  <c r="T71" i="77" s="1"/>
  <c r="Y71" i="77"/>
  <c r="X71" i="77"/>
  <c r="AB71" i="77"/>
  <c r="AA71" i="77"/>
  <c r="Z71" i="77"/>
  <c r="AB72" i="77"/>
  <c r="Z72" i="77"/>
  <c r="X72" i="77"/>
  <c r="Y72" i="77"/>
  <c r="AA72" i="77"/>
  <c r="W72" i="77"/>
  <c r="T72" i="77" s="1"/>
  <c r="T5" i="77"/>
  <c r="W37" i="77"/>
  <c r="T37" i="77" s="1"/>
  <c r="Z37" i="77"/>
  <c r="AA37" i="77"/>
  <c r="AB37" i="77"/>
  <c r="X37" i="77"/>
  <c r="Y37" i="77"/>
  <c r="AA40" i="77"/>
  <c r="Y40" i="77"/>
  <c r="Z40" i="77"/>
  <c r="W40" i="77"/>
  <c r="T40" i="77" s="1"/>
  <c r="AB40" i="77"/>
  <c r="X40" i="77"/>
  <c r="Y25" i="77"/>
  <c r="W25" i="77"/>
  <c r="T25" i="77" s="1"/>
  <c r="X25" i="77"/>
  <c r="AB25" i="77"/>
  <c r="Z25" i="77"/>
  <c r="AA25" i="77"/>
  <c r="AB59" i="77"/>
  <c r="Y59" i="77"/>
  <c r="X59" i="77"/>
  <c r="W59" i="77"/>
  <c r="T59" i="77" s="1"/>
  <c r="Z59" i="77"/>
  <c r="AA59" i="77"/>
  <c r="X58" i="77"/>
  <c r="AB58" i="77"/>
  <c r="AA58" i="77"/>
  <c r="Z58" i="77"/>
  <c r="W58" i="77"/>
  <c r="T58" i="77" s="1"/>
  <c r="Y58" i="77"/>
  <c r="AA13" i="77"/>
  <c r="Z13" i="77"/>
  <c r="Y13" i="77"/>
  <c r="X13" i="77"/>
  <c r="AB13" i="77"/>
  <c r="W13" i="77"/>
  <c r="T13" i="77" s="1"/>
  <c r="H31" i="77"/>
  <c r="I31" i="77" s="1"/>
  <c r="J31" i="77" s="1"/>
  <c r="V31" i="77" s="1"/>
  <c r="Y31" i="77" l="1"/>
  <c r="W31" i="77"/>
  <c r="T31" i="77" s="1"/>
  <c r="AA31" i="77"/>
  <c r="Z31" i="77"/>
  <c r="X31" i="77"/>
  <c r="AB31" i="77"/>
  <c r="H12" i="77" l="1"/>
  <c r="D75" i="77"/>
  <c r="H86" i="77" l="1"/>
  <c r="D93" i="77"/>
  <c r="D99" i="77" s="1"/>
  <c r="D101" i="77" s="1"/>
  <c r="I12" i="77"/>
  <c r="H75" i="77"/>
  <c r="J12" i="77" l="1"/>
  <c r="I75" i="77"/>
  <c r="I86" i="77"/>
  <c r="H93" i="77"/>
  <c r="H99" i="77" s="1"/>
  <c r="H101" i="77" s="1"/>
  <c r="J86" i="77" l="1"/>
  <c r="I93" i="77"/>
  <c r="I99" i="77" s="1"/>
  <c r="I101" i="77" s="1"/>
  <c r="V12" i="77"/>
  <c r="J75" i="77"/>
  <c r="W12" i="77" l="1"/>
  <c r="Z12" i="77"/>
  <c r="Z75" i="77" s="1"/>
  <c r="Y12" i="77"/>
  <c r="Y75" i="77" s="1"/>
  <c r="X12" i="77"/>
  <c r="X75" i="77" s="1"/>
  <c r="AB12" i="77"/>
  <c r="AB75" i="77" s="1"/>
  <c r="AA12" i="77"/>
  <c r="AA75" i="77" s="1"/>
  <c r="V75" i="77"/>
  <c r="V86" i="77"/>
  <c r="J93" i="77"/>
  <c r="J99" i="77" s="1"/>
  <c r="J101" i="77" s="1"/>
  <c r="Y86" i="77" l="1"/>
  <c r="Y93" i="77" s="1"/>
  <c r="Y99" i="77" s="1"/>
  <c r="W86" i="77"/>
  <c r="AA86" i="77"/>
  <c r="AA93" i="77" s="1"/>
  <c r="AA99" i="77" s="1"/>
  <c r="AB86" i="77"/>
  <c r="AB93" i="77" s="1"/>
  <c r="AB99" i="77" s="1"/>
  <c r="X86" i="77"/>
  <c r="X93" i="77" s="1"/>
  <c r="X99" i="77" s="1"/>
  <c r="Z86" i="77"/>
  <c r="Z93" i="77" s="1"/>
  <c r="Z99" i="77" s="1"/>
  <c r="V93" i="77"/>
  <c r="V99" i="77" s="1"/>
  <c r="V101" i="77" s="1"/>
  <c r="T12" i="77"/>
  <c r="T75" i="77" s="1"/>
  <c r="W75" i="77"/>
  <c r="T86" i="77" l="1"/>
  <c r="T93" i="77" s="1"/>
  <c r="T99" i="77" s="1"/>
  <c r="T101" i="77" s="1"/>
  <c r="W93" i="77"/>
  <c r="W99" i="77" s="1"/>
  <c r="W101" i="77" s="1"/>
  <c r="AJ116" i="32" l="1"/>
  <c r="AK116" i="32" l="1"/>
  <c r="AJ117" i="32"/>
  <c r="AK117" i="32"/>
  <c r="AK94" i="32" l="1"/>
  <c r="AB3" i="32"/>
  <c r="R75" i="68" l="1"/>
  <c r="R71" i="68"/>
  <c r="R63" i="68"/>
  <c r="Z12" i="68"/>
  <c r="R67" i="68" l="1"/>
  <c r="R24" i="68"/>
  <c r="V24" i="68"/>
  <c r="Z24" i="68"/>
  <c r="AD24" i="68"/>
  <c r="R8" i="68"/>
  <c r="Z8" i="68"/>
  <c r="AD8" i="68"/>
  <c r="V67" i="68"/>
  <c r="Z67" i="68"/>
  <c r="AD67" i="68"/>
  <c r="T75" i="68"/>
  <c r="AB75" i="68"/>
  <c r="T12" i="68"/>
  <c r="AB12" i="68"/>
  <c r="T16" i="68"/>
  <c r="X16" i="68"/>
  <c r="AB16" i="68"/>
  <c r="X8" i="68"/>
  <c r="AB8" i="68"/>
  <c r="V8" i="68"/>
  <c r="V63" i="68"/>
  <c r="Z63" i="68"/>
  <c r="AD63" i="68"/>
  <c r="V75" i="68"/>
  <c r="Z75" i="68"/>
  <c r="AD75" i="68"/>
  <c r="X75" i="68"/>
  <c r="T20" i="68"/>
  <c r="X20" i="68"/>
  <c r="AB20" i="68"/>
  <c r="V12" i="68"/>
  <c r="AD12" i="68"/>
  <c r="R16" i="68"/>
  <c r="V16" i="68"/>
  <c r="Z16" i="68"/>
  <c r="AD16" i="68"/>
  <c r="R20" i="68"/>
  <c r="V20" i="68"/>
  <c r="Z20" i="68"/>
  <c r="AD20" i="68"/>
  <c r="X24" i="68"/>
  <c r="AB24" i="68"/>
  <c r="V71" i="68"/>
  <c r="Z71" i="68"/>
  <c r="AD71" i="68"/>
  <c r="R12" i="68"/>
  <c r="AD32" i="68"/>
  <c r="AB48" i="68"/>
  <c r="R36" i="68"/>
  <c r="V52" i="68"/>
  <c r="AB61" i="68"/>
  <c r="AB65" i="68"/>
  <c r="R69" i="68"/>
  <c r="AD73" i="68"/>
  <c r="AD56" i="68"/>
  <c r="X63" i="68"/>
  <c r="AB63" i="68"/>
  <c r="X67" i="68"/>
  <c r="AB67" i="68"/>
  <c r="X71" i="68"/>
  <c r="AB71" i="68"/>
  <c r="AB60" i="68"/>
  <c r="T62" i="68"/>
  <c r="AD66" i="68"/>
  <c r="X70" i="68"/>
  <c r="V74" i="68"/>
  <c r="AA120" i="32"/>
  <c r="AC121" i="32"/>
  <c r="AD121" i="32"/>
  <c r="AG3" i="32"/>
  <c r="AJ3" i="32" s="1"/>
  <c r="AK89" i="32"/>
  <c r="AB2" i="32"/>
  <c r="AB4" i="32"/>
  <c r="AB5" i="32"/>
  <c r="AB6" i="32"/>
  <c r="AB7" i="32"/>
  <c r="AB8" i="32"/>
  <c r="AB9" i="32"/>
  <c r="AB10" i="32"/>
  <c r="AB11" i="32"/>
  <c r="AB12" i="32"/>
  <c r="AB13" i="32"/>
  <c r="AB14" i="32"/>
  <c r="AB15" i="32"/>
  <c r="AB16" i="32"/>
  <c r="AB17" i="32"/>
  <c r="AB18" i="32"/>
  <c r="AB19" i="32"/>
  <c r="AB20" i="32"/>
  <c r="AB21" i="32"/>
  <c r="AB22" i="32"/>
  <c r="AB23" i="32"/>
  <c r="AB24" i="32"/>
  <c r="AB25" i="32"/>
  <c r="AB26" i="32"/>
  <c r="AB27" i="32"/>
  <c r="AB28" i="32"/>
  <c r="AB29" i="32"/>
  <c r="AB30" i="32"/>
  <c r="AB31" i="32"/>
  <c r="AB32" i="32"/>
  <c r="AB33" i="32"/>
  <c r="AB34" i="32"/>
  <c r="AB35" i="32"/>
  <c r="AB36" i="32"/>
  <c r="AB37" i="32"/>
  <c r="AB38" i="32"/>
  <c r="AB39" i="32"/>
  <c r="AB40" i="32"/>
  <c r="AB41" i="32"/>
  <c r="AB42" i="32"/>
  <c r="AB43" i="32"/>
  <c r="AB44" i="32"/>
  <c r="AB45" i="32"/>
  <c r="AB46" i="32"/>
  <c r="AB47" i="32"/>
  <c r="AB48" i="32"/>
  <c r="AB49" i="32"/>
  <c r="AB50" i="32"/>
  <c r="AB51" i="32"/>
  <c r="AB52" i="32"/>
  <c r="AB53" i="32"/>
  <c r="AB54" i="32"/>
  <c r="AB55" i="32"/>
  <c r="AB56" i="32"/>
  <c r="AB57" i="32"/>
  <c r="AB58" i="32"/>
  <c r="AB59" i="32"/>
  <c r="AB60" i="32"/>
  <c r="AB61" i="32"/>
  <c r="AB62" i="32"/>
  <c r="AB63" i="32"/>
  <c r="AB64" i="32"/>
  <c r="AB65" i="32"/>
  <c r="AB66" i="32"/>
  <c r="AB67" i="32"/>
  <c r="AB68" i="32"/>
  <c r="AB69" i="32"/>
  <c r="AB70" i="32"/>
  <c r="AB71" i="32"/>
  <c r="AB72" i="32"/>
  <c r="AJ78" i="32"/>
  <c r="AJ79" i="32"/>
  <c r="AJ80" i="32"/>
  <c r="AJ81" i="32"/>
  <c r="AJ82" i="32"/>
  <c r="AJ83" i="32"/>
  <c r="AJ84" i="32"/>
  <c r="AJ85" i="32"/>
  <c r="AJ86" i="32"/>
  <c r="AJ87" i="32"/>
  <c r="AJ88" i="32"/>
  <c r="AB100" i="32"/>
  <c r="AB102" i="32"/>
  <c r="AB103" i="32"/>
  <c r="AB104" i="32"/>
  <c r="AB105" i="32"/>
  <c r="AB106" i="32"/>
  <c r="AG4" i="32"/>
  <c r="AG5" i="32"/>
  <c r="AG6" i="32"/>
  <c r="AG7" i="32"/>
  <c r="AJ7" i="32" s="1"/>
  <c r="AG8" i="32"/>
  <c r="AG9" i="32"/>
  <c r="AG10" i="32"/>
  <c r="AG11" i="32"/>
  <c r="AJ11" i="32" s="1"/>
  <c r="AG12" i="32"/>
  <c r="AG13" i="32"/>
  <c r="AG14" i="32"/>
  <c r="AG15" i="32"/>
  <c r="AJ15" i="32" s="1"/>
  <c r="AG16" i="32"/>
  <c r="AG17" i="32"/>
  <c r="AG18" i="32"/>
  <c r="AG19" i="32"/>
  <c r="AJ19" i="32" s="1"/>
  <c r="AG20" i="32"/>
  <c r="AG21" i="32"/>
  <c r="AG22" i="32"/>
  <c r="AG23" i="32"/>
  <c r="AJ23" i="32" s="1"/>
  <c r="AG24" i="32"/>
  <c r="AG25" i="32"/>
  <c r="AG26" i="32"/>
  <c r="AG27" i="32"/>
  <c r="AJ27" i="32" s="1"/>
  <c r="AG28" i="32"/>
  <c r="AG29" i="32"/>
  <c r="AG30" i="32"/>
  <c r="AG31" i="32"/>
  <c r="AJ31" i="32" s="1"/>
  <c r="AG32" i="32"/>
  <c r="AG33" i="32"/>
  <c r="AG34" i="32"/>
  <c r="AG35" i="32"/>
  <c r="AJ35" i="32" s="1"/>
  <c r="AG36" i="32"/>
  <c r="AG37" i="32"/>
  <c r="AG38" i="32"/>
  <c r="AG39" i="32"/>
  <c r="AJ39" i="32" s="1"/>
  <c r="AG40" i="32"/>
  <c r="AG41" i="32"/>
  <c r="AG42" i="32"/>
  <c r="AG43" i="32"/>
  <c r="AJ43" i="32" s="1"/>
  <c r="AG44" i="32"/>
  <c r="AG45" i="32"/>
  <c r="AG46" i="32"/>
  <c r="AG47" i="32"/>
  <c r="AJ47" i="32" s="1"/>
  <c r="AG48" i="32"/>
  <c r="AG49" i="32"/>
  <c r="AG50" i="32"/>
  <c r="AG51" i="32"/>
  <c r="AJ51" i="32" s="1"/>
  <c r="AG52" i="32"/>
  <c r="AG53" i="32"/>
  <c r="AG54" i="32"/>
  <c r="AG55" i="32"/>
  <c r="AJ55" i="32" s="1"/>
  <c r="AG56" i="32"/>
  <c r="AG57" i="32"/>
  <c r="AG58" i="32"/>
  <c r="AG59" i="32"/>
  <c r="AJ59" i="32" s="1"/>
  <c r="AG60" i="32"/>
  <c r="AG61" i="32"/>
  <c r="AG62" i="32"/>
  <c r="AG63" i="32"/>
  <c r="AJ63" i="32" s="1"/>
  <c r="AG64" i="32"/>
  <c r="AG65" i="32"/>
  <c r="AG66" i="32"/>
  <c r="AG67" i="32"/>
  <c r="AG68" i="32"/>
  <c r="AG69" i="32"/>
  <c r="AG70" i="32"/>
  <c r="AG71" i="32"/>
  <c r="AG72" i="32"/>
  <c r="AG2" i="32"/>
  <c r="AJ2" i="32" s="1"/>
  <c r="AJ71" i="32" l="1"/>
  <c r="AJ67" i="32"/>
  <c r="AJ70" i="32"/>
  <c r="AJ66" i="32"/>
  <c r="AJ62" i="32"/>
  <c r="AJ58" i="32"/>
  <c r="AJ54" i="32"/>
  <c r="AJ50" i="32"/>
  <c r="AJ46" i="32"/>
  <c r="AJ42" i="32"/>
  <c r="AJ38" i="32"/>
  <c r="AJ34" i="32"/>
  <c r="AJ30" i="32"/>
  <c r="AJ26" i="32"/>
  <c r="AJ22" i="32"/>
  <c r="AJ18" i="32"/>
  <c r="AJ14" i="32"/>
  <c r="AJ10" i="32"/>
  <c r="AJ6" i="32"/>
  <c r="AJ77" i="32"/>
  <c r="AB93" i="32"/>
  <c r="AJ72" i="32"/>
  <c r="AJ68" i="32"/>
  <c r="AJ64" i="32"/>
  <c r="AJ60" i="32"/>
  <c r="AJ56" i="32"/>
  <c r="AJ52" i="32"/>
  <c r="AJ48" i="32"/>
  <c r="AJ44" i="32"/>
  <c r="AJ40" i="32"/>
  <c r="AJ36" i="32"/>
  <c r="AJ32" i="32"/>
  <c r="AJ28" i="32"/>
  <c r="AJ24" i="32"/>
  <c r="AJ20" i="32"/>
  <c r="AJ16" i="32"/>
  <c r="AJ12" i="32"/>
  <c r="AJ8" i="32"/>
  <c r="AJ4" i="32"/>
  <c r="AJ97" i="32"/>
  <c r="AJ69" i="32"/>
  <c r="AJ65" i="32"/>
  <c r="AJ61" i="32"/>
  <c r="AJ57" i="32"/>
  <c r="AJ53" i="32"/>
  <c r="AJ49" i="32"/>
  <c r="AJ45" i="32"/>
  <c r="AJ41" i="32"/>
  <c r="AJ37" i="32"/>
  <c r="AJ33" i="32"/>
  <c r="AJ29" i="32"/>
  <c r="AJ25" i="32"/>
  <c r="AJ21" i="32"/>
  <c r="AJ17" i="32"/>
  <c r="AJ13" i="32"/>
  <c r="AJ9" i="32"/>
  <c r="AJ5" i="32"/>
  <c r="AK3" i="32"/>
  <c r="T8" i="68"/>
  <c r="T71" i="68"/>
  <c r="X12" i="68"/>
  <c r="T67" i="68"/>
  <c r="T63" i="68"/>
  <c r="T24" i="68"/>
  <c r="X68" i="68"/>
  <c r="R70" i="68"/>
  <c r="R62" i="68"/>
  <c r="X44" i="68"/>
  <c r="AB44" i="68"/>
  <c r="T72" i="68"/>
  <c r="AB66" i="68"/>
  <c r="AB64" i="68"/>
  <c r="AB62" i="68"/>
  <c r="X40" i="68"/>
  <c r="Z74" i="68"/>
  <c r="Z60" i="68"/>
  <c r="Z72" i="68"/>
  <c r="V70" i="68"/>
  <c r="V68" i="68"/>
  <c r="AD62" i="68"/>
  <c r="Z61" i="68"/>
  <c r="T74" i="68"/>
  <c r="R72" i="68"/>
  <c r="AD69" i="68"/>
  <c r="Z65" i="68"/>
  <c r="R56" i="68"/>
  <c r="T56" i="68"/>
  <c r="AD52" i="68"/>
  <c r="Z44" i="68"/>
  <c r="Z36" i="68"/>
  <c r="AB69" i="68"/>
  <c r="R52" i="68"/>
  <c r="Z28" i="68"/>
  <c r="X65" i="68"/>
  <c r="AD48" i="68"/>
  <c r="Z40" i="68"/>
  <c r="T32" i="68"/>
  <c r="X60" i="68"/>
  <c r="AB70" i="68"/>
  <c r="AB68" i="68"/>
  <c r="X66" i="68"/>
  <c r="X64" i="68"/>
  <c r="X62" i="68"/>
  <c r="X56" i="68"/>
  <c r="AB56" i="68"/>
  <c r="V60" i="68"/>
  <c r="AB73" i="68"/>
  <c r="X73" i="68"/>
  <c r="T76" i="68"/>
  <c r="Z73" i="68"/>
  <c r="V72" i="68"/>
  <c r="AD64" i="68"/>
  <c r="Z62" i="68"/>
  <c r="V61" i="68"/>
  <c r="Z69" i="68"/>
  <c r="V65" i="68"/>
  <c r="R32" i="68"/>
  <c r="Z52" i="68"/>
  <c r="V44" i="68"/>
  <c r="V36" i="68"/>
  <c r="X69" i="68"/>
  <c r="R60" i="68"/>
  <c r="V28" i="68"/>
  <c r="T65" i="68"/>
  <c r="Z56" i="68"/>
  <c r="Z48" i="68"/>
  <c r="V40" i="68"/>
  <c r="R28" i="68"/>
  <c r="AB28" i="68"/>
  <c r="R74" i="68"/>
  <c r="R66" i="68"/>
  <c r="AB72" i="68"/>
  <c r="T64" i="68"/>
  <c r="X36" i="68"/>
  <c r="AB36" i="68"/>
  <c r="V73" i="68"/>
  <c r="AD70" i="68"/>
  <c r="AD68" i="68"/>
  <c r="Z66" i="68"/>
  <c r="Z64" i="68"/>
  <c r="V62" i="68"/>
  <c r="X32" i="68"/>
  <c r="AB74" i="68"/>
  <c r="V69" i="68"/>
  <c r="R65" i="68"/>
  <c r="R64" i="68"/>
  <c r="R40" i="68"/>
  <c r="R61" i="68"/>
  <c r="T69" i="68"/>
  <c r="R44" i="68"/>
  <c r="X61" i="68"/>
  <c r="V56" i="68"/>
  <c r="V48" i="68"/>
  <c r="Z32" i="68"/>
  <c r="AB40" i="68"/>
  <c r="T36" i="68"/>
  <c r="T44" i="68"/>
  <c r="X28" i="68"/>
  <c r="AD76" i="68"/>
  <c r="X72" i="68"/>
  <c r="T68" i="68"/>
  <c r="AD74" i="68"/>
  <c r="AD60" i="68"/>
  <c r="X52" i="68"/>
  <c r="AB52" i="68"/>
  <c r="R73" i="68"/>
  <c r="AD72" i="68"/>
  <c r="Z70" i="68"/>
  <c r="Z68" i="68"/>
  <c r="V66" i="68"/>
  <c r="V64" i="68"/>
  <c r="AD61" i="68"/>
  <c r="X48" i="68"/>
  <c r="X74" i="68"/>
  <c r="R68" i="68"/>
  <c r="AD65" i="68"/>
  <c r="R48" i="68"/>
  <c r="AD44" i="68"/>
  <c r="AD28" i="68"/>
  <c r="AD40" i="68"/>
  <c r="V32" i="68"/>
  <c r="T48" i="68"/>
  <c r="AB32" i="68"/>
  <c r="AB75" i="32"/>
  <c r="AB101" i="32" l="1"/>
  <c r="AK77" i="32"/>
  <c r="AJ93" i="32"/>
  <c r="AD36" i="68"/>
  <c r="T60" i="68"/>
  <c r="T28" i="68"/>
  <c r="T52" i="68"/>
  <c r="T40" i="68"/>
  <c r="T61" i="68"/>
  <c r="T73" i="68"/>
  <c r="T70" i="68"/>
  <c r="T66" i="68"/>
  <c r="AB17" i="68"/>
  <c r="R17" i="68"/>
  <c r="AD17" i="68"/>
  <c r="T17" i="68"/>
  <c r="V17" i="68"/>
  <c r="X17" i="68"/>
  <c r="Z17" i="68"/>
  <c r="AB57" i="68"/>
  <c r="R57" i="68"/>
  <c r="AD57" i="68"/>
  <c r="X57" i="68"/>
  <c r="T57" i="68"/>
  <c r="V57" i="68"/>
  <c r="Z57" i="68"/>
  <c r="R58" i="68"/>
  <c r="AB58" i="68"/>
  <c r="V58" i="68"/>
  <c r="Z58" i="68"/>
  <c r="AD58" i="68"/>
  <c r="X58" i="68"/>
  <c r="V38" i="68"/>
  <c r="Z38" i="68"/>
  <c r="AD38" i="68"/>
  <c r="R38" i="68"/>
  <c r="AB38" i="68"/>
  <c r="X38" i="68"/>
  <c r="AB18" i="68"/>
  <c r="Z18" i="68"/>
  <c r="AD18" i="68"/>
  <c r="T18" i="68"/>
  <c r="R18" i="68"/>
  <c r="X18" i="68"/>
  <c r="V18" i="68"/>
  <c r="X21" i="68"/>
  <c r="Z21" i="68"/>
  <c r="AB21" i="68"/>
  <c r="AD21" i="68"/>
  <c r="R21" i="68"/>
  <c r="V21" i="68"/>
  <c r="Z9" i="68"/>
  <c r="T9" i="68"/>
  <c r="AD9" i="68"/>
  <c r="X9" i="68"/>
  <c r="R9" i="68"/>
  <c r="AB9" i="68"/>
  <c r="V9" i="68"/>
  <c r="V27" i="68"/>
  <c r="AD27" i="68"/>
  <c r="X27" i="68"/>
  <c r="R27" i="68"/>
  <c r="Z27" i="68"/>
  <c r="T27" i="68"/>
  <c r="AB27" i="68"/>
  <c r="AD54" i="68"/>
  <c r="R54" i="68"/>
  <c r="V54" i="68"/>
  <c r="Z54" i="68"/>
  <c r="T54" i="68"/>
  <c r="X54" i="68"/>
  <c r="AB54" i="68"/>
  <c r="AB23" i="68"/>
  <c r="Z23" i="68"/>
  <c r="AD23" i="68"/>
  <c r="T23" i="68"/>
  <c r="R23" i="68"/>
  <c r="X23" i="68"/>
  <c r="V23" i="68"/>
  <c r="AD25" i="68"/>
  <c r="AB25" i="68"/>
  <c r="R25" i="68"/>
  <c r="V25" i="68"/>
  <c r="T25" i="68"/>
  <c r="Z25" i="68"/>
  <c r="X25" i="68"/>
  <c r="AB29" i="68"/>
  <c r="Z29" i="68"/>
  <c r="X29" i="68"/>
  <c r="AD29" i="68"/>
  <c r="R29" i="68"/>
  <c r="V29" i="68"/>
  <c r="AD34" i="68"/>
  <c r="R34" i="68"/>
  <c r="V34" i="68"/>
  <c r="T34" i="68"/>
  <c r="Z34" i="68"/>
  <c r="X34" i="68"/>
  <c r="AB34" i="68"/>
  <c r="V19" i="68"/>
  <c r="AB19" i="68"/>
  <c r="Z19" i="68"/>
  <c r="AD19" i="68"/>
  <c r="T19" i="68"/>
  <c r="R19" i="68"/>
  <c r="X19" i="68"/>
  <c r="R101" i="68"/>
  <c r="AD33" i="68"/>
  <c r="R33" i="68"/>
  <c r="Z33" i="68"/>
  <c r="T33" i="68"/>
  <c r="X33" i="68"/>
  <c r="V33" i="68"/>
  <c r="AB33" i="68"/>
  <c r="V30" i="68"/>
  <c r="Z30" i="68"/>
  <c r="AD30" i="68"/>
  <c r="R30" i="68"/>
  <c r="X30" i="68"/>
  <c r="AB30" i="68"/>
  <c r="T30" i="68"/>
  <c r="AB31" i="68"/>
  <c r="R31" i="68"/>
  <c r="AD31" i="68"/>
  <c r="X31" i="68"/>
  <c r="V31" i="68"/>
  <c r="Z31" i="68"/>
  <c r="T11" i="68"/>
  <c r="AD11" i="68"/>
  <c r="X11" i="68"/>
  <c r="AB11" i="68"/>
  <c r="V11" i="68"/>
  <c r="R11" i="68"/>
  <c r="Z11" i="68"/>
  <c r="AD7" i="68"/>
  <c r="AB7" i="68"/>
  <c r="V7" i="68"/>
  <c r="T7" i="68"/>
  <c r="R7" i="68"/>
  <c r="Z7" i="68"/>
  <c r="X7" i="68"/>
  <c r="X76" i="68"/>
  <c r="R26" i="68"/>
  <c r="V26" i="68"/>
  <c r="Z26" i="68"/>
  <c r="T26" i="68"/>
  <c r="AD26" i="68"/>
  <c r="X26" i="68"/>
  <c r="AB26" i="68"/>
  <c r="Z43" i="68"/>
  <c r="R43" i="68"/>
  <c r="X43" i="68"/>
  <c r="V43" i="68"/>
  <c r="AB43" i="68"/>
  <c r="AD43" i="68"/>
  <c r="T43" i="68"/>
  <c r="Z13" i="68"/>
  <c r="AB13" i="68"/>
  <c r="AD13" i="68"/>
  <c r="T13" i="68"/>
  <c r="R13" i="68"/>
  <c r="V13" i="68"/>
  <c r="X13" i="68"/>
  <c r="X14" i="68"/>
  <c r="R14" i="68"/>
  <c r="T14" i="68"/>
  <c r="V14" i="68"/>
  <c r="AB14" i="68"/>
  <c r="Z14" i="68"/>
  <c r="AD14" i="68"/>
  <c r="AB39" i="68"/>
  <c r="R39" i="68"/>
  <c r="X39" i="68"/>
  <c r="Z39" i="68"/>
  <c r="AD39" i="68"/>
  <c r="T39" i="68"/>
  <c r="V39" i="68"/>
  <c r="AB53" i="68"/>
  <c r="V53" i="68"/>
  <c r="T53" i="68"/>
  <c r="Z53" i="68"/>
  <c r="X53" i="68"/>
  <c r="AD53" i="68"/>
  <c r="R53" i="68"/>
  <c r="AD50" i="68"/>
  <c r="R50" i="68"/>
  <c r="V50" i="68"/>
  <c r="T50" i="68"/>
  <c r="Z50" i="68"/>
  <c r="X50" i="68"/>
  <c r="AB50" i="68"/>
  <c r="Z35" i="68"/>
  <c r="AB35" i="68"/>
  <c r="R35" i="68"/>
  <c r="V35" i="68"/>
  <c r="T35" i="68"/>
  <c r="AD35" i="68"/>
  <c r="X35" i="68"/>
  <c r="R76" i="68"/>
  <c r="V46" i="68"/>
  <c r="AD46" i="68"/>
  <c r="R46" i="68"/>
  <c r="AB46" i="68"/>
  <c r="Z46" i="68"/>
  <c r="T46" i="68"/>
  <c r="X46" i="68"/>
  <c r="AB47" i="68"/>
  <c r="R47" i="68"/>
  <c r="V47" i="68"/>
  <c r="Z47" i="68"/>
  <c r="T47" i="68"/>
  <c r="AD47" i="68"/>
  <c r="X47" i="68"/>
  <c r="Z76" i="68"/>
  <c r="AB76" i="68"/>
  <c r="AD42" i="68"/>
  <c r="R42" i="68"/>
  <c r="V42" i="68"/>
  <c r="T42" i="68"/>
  <c r="Z42" i="68"/>
  <c r="X42" i="68"/>
  <c r="AB42" i="68"/>
  <c r="R59" i="68"/>
  <c r="V59" i="68"/>
  <c r="AD59" i="68"/>
  <c r="T59" i="68"/>
  <c r="X59" i="68"/>
  <c r="Z59" i="68"/>
  <c r="AB59" i="68"/>
  <c r="AD41" i="68"/>
  <c r="R41" i="68"/>
  <c r="AB41" i="68"/>
  <c r="V41" i="68"/>
  <c r="T41" i="68"/>
  <c r="Z41" i="68"/>
  <c r="X41" i="68"/>
  <c r="AB45" i="68"/>
  <c r="V45" i="68"/>
  <c r="Z45" i="68"/>
  <c r="T45" i="68"/>
  <c r="AD45" i="68"/>
  <c r="X45" i="68"/>
  <c r="R45" i="68"/>
  <c r="V22" i="68"/>
  <c r="AB22" i="68"/>
  <c r="Z22" i="68"/>
  <c r="AD22" i="68"/>
  <c r="T22" i="68"/>
  <c r="R22" i="68"/>
  <c r="X22" i="68"/>
  <c r="Z55" i="68"/>
  <c r="AD55" i="68"/>
  <c r="R55" i="68"/>
  <c r="V55" i="68"/>
  <c r="X55" i="68"/>
  <c r="AB55" i="68"/>
  <c r="AD49" i="68"/>
  <c r="V49" i="68"/>
  <c r="T49" i="68"/>
  <c r="Z49" i="68"/>
  <c r="X49" i="68"/>
  <c r="AB49" i="68"/>
  <c r="R49" i="68"/>
  <c r="AD10" i="68"/>
  <c r="Z10" i="68"/>
  <c r="R10" i="68"/>
  <c r="T10" i="68"/>
  <c r="X10" i="68"/>
  <c r="V10" i="68"/>
  <c r="AB10" i="68"/>
  <c r="Z51" i="68"/>
  <c r="R51" i="68"/>
  <c r="X51" i="68"/>
  <c r="V51" i="68"/>
  <c r="AB51" i="68"/>
  <c r="AD51" i="68"/>
  <c r="T51" i="68"/>
  <c r="AB37" i="68"/>
  <c r="R37" i="68"/>
  <c r="V37" i="68"/>
  <c r="Z37" i="68"/>
  <c r="AD37" i="68"/>
  <c r="X37" i="68"/>
  <c r="Z15" i="68"/>
  <c r="AD15" i="68"/>
  <c r="T15" i="68"/>
  <c r="X15" i="68"/>
  <c r="R15" i="68"/>
  <c r="V15" i="68"/>
  <c r="AB15" i="68"/>
  <c r="AB108" i="32" l="1"/>
  <c r="AB121" i="32" s="1"/>
  <c r="AB154" i="32"/>
  <c r="U108" i="68"/>
  <c r="R70" i="39" s="1"/>
  <c r="U101" i="68"/>
  <c r="T101" i="68"/>
  <c r="S101" i="68"/>
  <c r="V76" i="68"/>
  <c r="T37" i="68"/>
  <c r="T58" i="68"/>
  <c r="T55" i="68"/>
  <c r="T31" i="68"/>
  <c r="T29" i="68"/>
  <c r="T21" i="68"/>
  <c r="T38" i="68"/>
  <c r="R6" i="68"/>
  <c r="T6" i="68"/>
  <c r="R79" i="68" l="1"/>
  <c r="R108" i="68" s="1"/>
  <c r="L70" i="39" s="1"/>
  <c r="T79" i="68"/>
  <c r="V6" i="68"/>
  <c r="V79" i="68" s="1"/>
  <c r="AD6" i="68"/>
  <c r="AD79" i="68" s="1"/>
  <c r="X6" i="68"/>
  <c r="X79" i="68" s="1"/>
  <c r="Z6" i="68"/>
  <c r="Z79" i="68" s="1"/>
  <c r="AB6" i="68"/>
  <c r="AB79" i="68" s="1"/>
  <c r="V108" i="68"/>
  <c r="S70" i="39" s="1"/>
  <c r="U70" i="39" s="1"/>
  <c r="V109" i="68"/>
  <c r="S71" i="39" s="1"/>
  <c r="U71" i="39" s="1"/>
  <c r="U109" i="68"/>
  <c r="R71" i="39" s="1"/>
  <c r="W101" i="68"/>
  <c r="V101" i="68"/>
  <c r="Y101" i="68"/>
  <c r="X101" i="68"/>
  <c r="AC101" i="68"/>
  <c r="AB101" i="68"/>
  <c r="AE101" i="68"/>
  <c r="AD101" i="68"/>
  <c r="AA101" i="68"/>
  <c r="Z101" i="68"/>
  <c r="S109" i="68" l="1"/>
  <c r="M71" i="39" s="1"/>
  <c r="R109" i="68"/>
  <c r="L71" i="39" s="1"/>
  <c r="S108" i="68"/>
  <c r="M70" i="39" s="1"/>
  <c r="U114" i="68"/>
  <c r="R76" i="39" s="1"/>
  <c r="U111" i="68"/>
  <c r="R73" i="39" s="1"/>
  <c r="U110" i="68"/>
  <c r="R72" i="39" s="1"/>
  <c r="V114" i="68"/>
  <c r="S76" i="39" s="1"/>
  <c r="U76" i="39" s="1"/>
  <c r="V111" i="68"/>
  <c r="S73" i="39" s="1"/>
  <c r="U73" i="39" s="1"/>
  <c r="V110" i="68"/>
  <c r="S72" i="39" s="1"/>
  <c r="U72" i="39" s="1"/>
  <c r="U112" i="68"/>
  <c r="R74" i="39" s="1"/>
  <c r="R112" i="68"/>
  <c r="L74" i="39" s="1"/>
  <c r="U113" i="68"/>
  <c r="R75" i="39" s="1"/>
  <c r="V112" i="68"/>
  <c r="S74" i="39" s="1"/>
  <c r="U74" i="39" s="1"/>
  <c r="V113" i="68"/>
  <c r="S75" i="39" s="1"/>
  <c r="U75" i="39" s="1"/>
  <c r="R113" i="68" l="1"/>
  <c r="L75" i="39" s="1"/>
  <c r="S110" i="68"/>
  <c r="M72" i="39" s="1"/>
  <c r="R111" i="68"/>
  <c r="L73" i="39" s="1"/>
  <c r="S113" i="68"/>
  <c r="M75" i="39" s="1"/>
  <c r="S112" i="68"/>
  <c r="M74" i="39" s="1"/>
  <c r="S114" i="68"/>
  <c r="M76" i="39" s="1"/>
  <c r="S111" i="68"/>
  <c r="M73" i="39" s="1"/>
  <c r="R110" i="68"/>
  <c r="L72" i="39" s="1"/>
  <c r="R114" i="68"/>
  <c r="L76" i="39" s="1"/>
  <c r="BA53" i="46"/>
  <c r="BA52" i="46"/>
  <c r="BA51" i="46"/>
  <c r="BA50" i="46"/>
  <c r="BA49" i="46"/>
  <c r="BA48" i="46"/>
  <c r="BA47" i="46"/>
  <c r="BA46" i="46"/>
  <c r="BA45" i="46"/>
  <c r="BA44" i="46"/>
  <c r="BA43" i="46"/>
  <c r="BA42" i="46"/>
  <c r="BA41" i="46"/>
  <c r="BA40" i="46"/>
  <c r="BA39" i="46"/>
  <c r="BA38" i="46"/>
  <c r="BA37" i="46"/>
  <c r="BA36" i="46"/>
  <c r="BA35" i="46"/>
  <c r="BA34" i="46"/>
  <c r="BA33" i="46"/>
  <c r="BA32" i="46"/>
  <c r="BA31" i="46"/>
  <c r="BA30" i="46"/>
  <c r="BA29" i="46"/>
  <c r="BA28" i="46"/>
  <c r="BA27" i="46"/>
  <c r="BA26" i="46"/>
  <c r="BA25" i="46"/>
  <c r="BA24" i="46"/>
  <c r="BA23" i="46"/>
  <c r="BA22" i="46"/>
  <c r="BA21" i="46"/>
  <c r="BA20" i="46"/>
  <c r="BA19" i="46"/>
  <c r="BA18" i="46"/>
  <c r="BA17" i="46"/>
  <c r="BA16" i="46"/>
  <c r="BA15" i="46"/>
  <c r="BA14" i="46"/>
  <c r="BA12" i="46"/>
  <c r="BA11" i="46"/>
  <c r="BA10" i="46"/>
  <c r="BA9" i="46"/>
  <c r="BA8" i="46"/>
  <c r="BA7" i="46"/>
  <c r="S115" i="68" l="1"/>
  <c r="R115" i="68"/>
  <c r="P101" i="68"/>
  <c r="BA13" i="46"/>
  <c r="AY51" i="46"/>
  <c r="B53" i="39" l="1"/>
  <c r="AE90" i="32" l="1"/>
  <c r="AE93" i="32" l="1"/>
  <c r="AE121" i="32" s="1"/>
  <c r="AG75" i="32"/>
  <c r="AG101" i="32" s="1"/>
  <c r="AG154" i="32" s="1"/>
  <c r="AG121" i="32" l="1"/>
  <c r="H5" i="39"/>
  <c r="H53" i="39" l="1"/>
  <c r="H20" i="39"/>
  <c r="L3" i="39" l="1"/>
  <c r="G24" i="39" l="1"/>
  <c r="G25" i="39"/>
  <c r="G23" i="39"/>
  <c r="E20" i="39"/>
  <c r="E23" i="39"/>
  <c r="F5" i="39"/>
  <c r="G38" i="39" s="1"/>
  <c r="K25" i="39" l="1"/>
  <c r="C25" i="39" s="1"/>
  <c r="H25" i="39" s="1"/>
  <c r="E34" i="39" s="1"/>
  <c r="E117" i="39"/>
  <c r="E93" i="39"/>
  <c r="E102" i="39"/>
  <c r="E95" i="39"/>
  <c r="E40" i="39"/>
  <c r="H40" i="39" s="1"/>
  <c r="D87" i="39"/>
  <c r="E47" i="39"/>
  <c r="H47" i="39" s="1"/>
  <c r="D86" i="39"/>
  <c r="E42" i="39"/>
  <c r="H42" i="39" s="1"/>
  <c r="G86" i="39"/>
  <c r="F135" i="39"/>
  <c r="F133" i="39"/>
  <c r="F129" i="39"/>
  <c r="F125" i="39"/>
  <c r="G133" i="39"/>
  <c r="G129" i="39"/>
  <c r="G125" i="39"/>
  <c r="G121" i="39"/>
  <c r="G135" i="39"/>
  <c r="G131" i="39"/>
  <c r="G127" i="39"/>
  <c r="G123" i="39"/>
  <c r="F131" i="39"/>
  <c r="F127" i="39"/>
  <c r="F123" i="39"/>
  <c r="F121" i="39"/>
  <c r="G66" i="39"/>
  <c r="G65" i="39"/>
  <c r="G76" i="39"/>
  <c r="G72" i="39"/>
  <c r="G71" i="39"/>
  <c r="G74" i="39"/>
  <c r="G70" i="39"/>
  <c r="G73" i="39"/>
  <c r="F70" i="39"/>
  <c r="G75" i="39"/>
  <c r="F75" i="39"/>
  <c r="F71" i="39"/>
  <c r="F74" i="39"/>
  <c r="F73" i="39"/>
  <c r="F76" i="39"/>
  <c r="F72" i="39"/>
  <c r="E107" i="39"/>
  <c r="H107" i="39" s="1"/>
  <c r="G84" i="39"/>
  <c r="G83" i="39"/>
  <c r="G87" i="39"/>
  <c r="G81" i="39"/>
  <c r="G79" i="39"/>
  <c r="H79" i="39" s="1"/>
  <c r="G62" i="39"/>
  <c r="G61" i="39"/>
  <c r="G60" i="39"/>
  <c r="H38" i="39"/>
  <c r="G36" i="39"/>
  <c r="H36" i="39" s="1"/>
  <c r="H23" i="39"/>
  <c r="C24" i="39"/>
  <c r="H24" i="39" s="1"/>
  <c r="M18" i="39"/>
  <c r="F18" i="39" s="1"/>
  <c r="L17" i="39"/>
  <c r="E17" i="39" s="1"/>
  <c r="L12" i="39"/>
  <c r="E12" i="39" s="1"/>
  <c r="M13" i="39"/>
  <c r="F13" i="39" s="1"/>
  <c r="N14" i="39"/>
  <c r="G14" i="39" s="1"/>
  <c r="L18" i="39"/>
  <c r="E18" i="39" s="1"/>
  <c r="L16" i="39"/>
  <c r="E16" i="39" s="1"/>
  <c r="M12" i="39"/>
  <c r="F12" i="39" s="1"/>
  <c r="N13" i="39"/>
  <c r="G13" i="39" s="1"/>
  <c r="N11" i="39"/>
  <c r="G11" i="39" s="1"/>
  <c r="N17" i="39"/>
  <c r="G17" i="39" s="1"/>
  <c r="M16" i="39"/>
  <c r="F16" i="39" s="1"/>
  <c r="N12" i="39"/>
  <c r="G12" i="39" s="1"/>
  <c r="L14" i="39"/>
  <c r="E14" i="39" s="1"/>
  <c r="M11" i="39"/>
  <c r="F11" i="39" s="1"/>
  <c r="N18" i="39"/>
  <c r="G18" i="39" s="1"/>
  <c r="M17" i="39"/>
  <c r="F17" i="39" s="1"/>
  <c r="N16" i="39"/>
  <c r="G16" i="39" s="1"/>
  <c r="L13" i="39"/>
  <c r="E13" i="39" s="1"/>
  <c r="M14" i="39"/>
  <c r="F14" i="39" s="1"/>
  <c r="L11" i="39"/>
  <c r="E11" i="39" s="1"/>
  <c r="Q12" i="39"/>
  <c r="Q13" i="39"/>
  <c r="Q14" i="39"/>
  <c r="Q11" i="39"/>
  <c r="F53" i="39"/>
  <c r="R14" i="39" l="1"/>
  <c r="N69" i="39"/>
  <c r="R13" i="39"/>
  <c r="H121" i="39"/>
  <c r="M63" i="39"/>
  <c r="H133" i="39"/>
  <c r="H123" i="39"/>
  <c r="H129" i="39"/>
  <c r="H125" i="39"/>
  <c r="H127" i="39"/>
  <c r="H131" i="39"/>
  <c r="H135" i="39"/>
  <c r="H70" i="39"/>
  <c r="G77" i="39"/>
  <c r="J62" i="39"/>
  <c r="H62" i="39"/>
  <c r="H60" i="39"/>
  <c r="H61" i="39"/>
  <c r="J61" i="39"/>
  <c r="H66" i="39"/>
  <c r="H18" i="39"/>
  <c r="H17" i="39"/>
  <c r="H16" i="39"/>
  <c r="H74" i="39"/>
  <c r="J74" i="39" s="1"/>
  <c r="H75" i="39"/>
  <c r="J75" i="39" s="1"/>
  <c r="H72" i="39"/>
  <c r="J72" i="39" s="1"/>
  <c r="H76" i="39"/>
  <c r="J76" i="39" s="1"/>
  <c r="H81" i="39"/>
  <c r="J81" i="39" s="1"/>
  <c r="H83" i="39"/>
  <c r="J83" i="39" s="1"/>
  <c r="H84" i="39"/>
  <c r="J84" i="39" s="1"/>
  <c r="J79" i="39"/>
  <c r="H87" i="39"/>
  <c r="J87" i="39" s="1"/>
  <c r="H73" i="39"/>
  <c r="J73" i="39" s="1"/>
  <c r="H71" i="39"/>
  <c r="J71" i="39" s="1"/>
  <c r="H86" i="39"/>
  <c r="J86" i="39" s="1"/>
  <c r="F77" i="39"/>
  <c r="H137" i="39" l="1"/>
  <c r="H77" i="39"/>
  <c r="G67" i="39"/>
  <c r="H65" i="39"/>
  <c r="H67" i="39" s="1"/>
  <c r="J70" i="39"/>
  <c r="G148" i="39" l="1"/>
  <c r="G144" i="39"/>
  <c r="G146" i="39"/>
  <c r="H13" i="39"/>
  <c r="R12" i="39"/>
  <c r="H12" i="39" s="1"/>
  <c r="H14" i="39"/>
  <c r="R11" i="39"/>
  <c r="H11" i="39" s="1"/>
  <c r="C5" i="34"/>
  <c r="H26" i="39" l="1"/>
  <c r="D19" i="34"/>
  <c r="D21" i="34"/>
  <c r="D27" i="34"/>
  <c r="B27" i="34"/>
  <c r="D17" i="34"/>
  <c r="D15" i="34"/>
  <c r="B13" i="34"/>
  <c r="D13" i="34" s="1"/>
  <c r="B11" i="34"/>
  <c r="B9" i="34"/>
  <c r="D23" i="34"/>
  <c r="J77" i="39"/>
  <c r="D9" i="34" l="1"/>
  <c r="E91" i="39" l="1"/>
  <c r="H91" i="39" s="1"/>
  <c r="H95" i="39"/>
  <c r="E89" i="39"/>
  <c r="H89" i="39" s="1"/>
  <c r="H93" i="39" l="1"/>
  <c r="H102" i="39"/>
  <c r="H34" i="39"/>
  <c r="H44" i="39" s="1"/>
  <c r="H117" i="39"/>
  <c r="D11" i="34" l="1"/>
  <c r="D25" i="34" s="1"/>
  <c r="J60" i="39" l="1"/>
  <c r="J97" i="39" s="1"/>
  <c r="G63" i="39"/>
  <c r="L63" i="39" s="1"/>
  <c r="F148" i="39" l="1"/>
  <c r="H148" i="39" s="1"/>
  <c r="F144" i="39"/>
  <c r="F146" i="39"/>
  <c r="H146" i="39" s="1"/>
  <c r="H63" i="39"/>
  <c r="H97" i="39" l="1"/>
  <c r="H144" i="39"/>
  <c r="H150" i="39" s="1"/>
  <c r="I110" i="39" l="1"/>
  <c r="AK88" i="32"/>
  <c r="AK87" i="32"/>
  <c r="AK86" i="32"/>
  <c r="AK85" i="32"/>
  <c r="AK82" i="32"/>
  <c r="AK80" i="32"/>
  <c r="AK40" i="32"/>
  <c r="AK62" i="32"/>
  <c r="AK65" i="32"/>
  <c r="I112" i="39" l="1"/>
  <c r="AK2" i="32"/>
  <c r="AK12" i="32"/>
  <c r="AK31" i="32"/>
  <c r="AK14" i="32" l="1"/>
  <c r="AK55" i="32" l="1"/>
  <c r="AK50" i="32"/>
  <c r="AK20" i="32"/>
  <c r="AK10" i="32"/>
  <c r="AK15" i="32" l="1"/>
  <c r="AK17" i="32"/>
  <c r="AK37" i="32"/>
  <c r="AK60" i="32"/>
  <c r="AK68" i="32"/>
  <c r="AK47" i="32"/>
  <c r="AK79" i="32"/>
  <c r="AK11" i="32"/>
  <c r="AK30" i="32"/>
  <c r="AK7" i="32"/>
  <c r="AK5" i="32"/>
  <c r="AK56" i="32"/>
  <c r="AK44" i="32"/>
  <c r="AK27" i="32"/>
  <c r="AK45" i="32"/>
  <c r="AK18" i="32"/>
  <c r="AK39" i="32"/>
  <c r="AK35" i="32"/>
  <c r="AK67" i="32"/>
  <c r="AK84" i="32"/>
  <c r="AK24" i="32"/>
  <c r="AK46" i="32"/>
  <c r="AK59" i="32"/>
  <c r="AK72" i="32"/>
  <c r="AK28" i="32"/>
  <c r="AK66" i="32"/>
  <c r="AK61" i="32"/>
  <c r="AK70" i="32"/>
  <c r="AK51" i="32"/>
  <c r="AK29" i="32"/>
  <c r="AK57" i="32"/>
  <c r="AK6" i="32"/>
  <c r="AK64" i="32"/>
  <c r="AK83" i="32"/>
  <c r="AK32" i="32"/>
  <c r="AK43" i="32"/>
  <c r="AK36" i="32"/>
  <c r="AK22" i="32"/>
  <c r="AK49" i="32"/>
  <c r="AK13" i="32"/>
  <c r="AK69" i="32"/>
  <c r="AK53" i="32"/>
  <c r="AK54" i="32"/>
  <c r="AK33" i="32"/>
  <c r="AK52" i="32"/>
  <c r="AK41" i="32"/>
  <c r="AK81" i="32"/>
  <c r="AK34" i="32"/>
  <c r="AK26" i="32"/>
  <c r="AK42" i="32"/>
  <c r="AK25" i="32"/>
  <c r="AK21" i="32"/>
  <c r="AK16" i="32"/>
  <c r="AK8" i="32"/>
  <c r="AK23" i="32"/>
  <c r="AK95" i="32"/>
  <c r="AK97" i="32" s="1"/>
  <c r="AK71" i="32"/>
  <c r="AK63" i="32"/>
  <c r="AK48" i="32"/>
  <c r="AK19" i="32"/>
  <c r="AK38" i="32"/>
  <c r="AK58" i="32"/>
  <c r="AK9" i="32"/>
  <c r="AK4" i="32" l="1"/>
  <c r="AK75" i="32" s="1"/>
  <c r="AJ75" i="32"/>
  <c r="AJ101" i="32" s="1"/>
  <c r="AJ154" i="32" s="1"/>
  <c r="K112" i="39" s="1"/>
  <c r="AK78" i="32"/>
  <c r="AK93" i="32" s="1"/>
  <c r="AK101" i="32" l="1"/>
  <c r="AK154" i="32" s="1"/>
  <c r="K110" i="39" s="1"/>
  <c r="AK121" i="32"/>
  <c r="AJ121" i="32"/>
  <c r="L112" i="39" s="1"/>
  <c r="L110" i="39" l="1"/>
</calcChain>
</file>

<file path=xl/comments1.xml><?xml version="1.0" encoding="utf-8"?>
<comments xmlns="http://schemas.openxmlformats.org/spreadsheetml/2006/main">
  <authors>
    <author>Goodacre, Kelly</author>
  </authors>
  <commentList>
    <comment ref="B3" authorId="0">
      <text>
        <r>
          <rPr>
            <b/>
            <sz val="9"/>
            <color indexed="81"/>
            <rFont val="Tahoma"/>
            <family val="2"/>
          </rPr>
          <t>Goodacre, Kelly:</t>
        </r>
        <r>
          <rPr>
            <sz val="9"/>
            <color indexed="81"/>
            <rFont val="Tahoma"/>
            <family val="2"/>
          </rPr>
          <t xml:space="preserve">
2012 actual number now academy</t>
        </r>
      </text>
    </comment>
    <comment ref="B12" authorId="0">
      <text>
        <r>
          <rPr>
            <b/>
            <sz val="9"/>
            <color indexed="81"/>
            <rFont val="Tahoma"/>
            <family val="2"/>
          </rPr>
          <t>Goodacre, Kelly:</t>
        </r>
        <r>
          <rPr>
            <sz val="9"/>
            <color indexed="81"/>
            <rFont val="Tahoma"/>
            <family val="2"/>
          </rPr>
          <t xml:space="preserve">
2011 actual number now academy</t>
        </r>
      </text>
    </comment>
  </commentList>
</comments>
</file>

<file path=xl/comments2.xml><?xml version="1.0" encoding="utf-8"?>
<comments xmlns="http://schemas.openxmlformats.org/spreadsheetml/2006/main">
  <authors>
    <author>Al Appleby</author>
    <author>Goodacre, Kelly</author>
  </authors>
  <commentList>
    <comment ref="E5" authorId="0">
      <text>
        <r>
          <rPr>
            <b/>
            <sz val="8"/>
            <color indexed="81"/>
            <rFont val="Tahoma"/>
            <family val="2"/>
          </rPr>
          <t>Al Appleby:</t>
        </r>
        <r>
          <rPr>
            <sz val="8"/>
            <color indexed="81"/>
            <rFont val="Tahoma"/>
            <family val="2"/>
          </rPr>
          <t xml:space="preserve">
Places times 38 weeks
</t>
        </r>
      </text>
    </comment>
    <comment ref="F5" authorId="0">
      <text>
        <r>
          <rPr>
            <b/>
            <sz val="8"/>
            <color indexed="81"/>
            <rFont val="Tahoma"/>
            <family val="2"/>
          </rPr>
          <t>Al Appleby:</t>
        </r>
        <r>
          <rPr>
            <sz val="8"/>
            <color indexed="81"/>
            <rFont val="Tahoma"/>
            <family val="2"/>
          </rPr>
          <t xml:space="preserve">
Places times 30 for two 15 hr sessions per week</t>
        </r>
      </text>
    </comment>
    <comment ref="N5" authorId="1">
      <text>
        <r>
          <rPr>
            <b/>
            <sz val="9"/>
            <color indexed="81"/>
            <rFont val="Tahoma"/>
            <family val="2"/>
          </rPr>
          <t>Goodacre, Kelly:</t>
        </r>
        <r>
          <rPr>
            <sz val="9"/>
            <color indexed="81"/>
            <rFont val="Tahoma"/>
            <family val="2"/>
          </rPr>
          <t xml:space="preserve">
All on 3.605 minimum hourly rate from 13-14</t>
        </r>
      </text>
    </comment>
    <comment ref="AC5" authorId="0">
      <text>
        <r>
          <rPr>
            <b/>
            <sz val="8"/>
            <color indexed="81"/>
            <rFont val="Tahoma"/>
            <family val="2"/>
          </rPr>
          <t>Al Appleby:</t>
        </r>
        <r>
          <rPr>
            <sz val="8"/>
            <color indexed="81"/>
            <rFont val="Tahoma"/>
            <family val="2"/>
          </rPr>
          <t xml:space="preserve">
For Nurseries with ERS Allocations</t>
        </r>
      </text>
    </comment>
    <comment ref="AE5" authorId="0">
      <text>
        <r>
          <rPr>
            <b/>
            <sz val="8"/>
            <color indexed="81"/>
            <rFont val="Tahoma"/>
            <family val="2"/>
          </rPr>
          <t>Al Appleby:</t>
        </r>
        <r>
          <rPr>
            <sz val="8"/>
            <color indexed="81"/>
            <rFont val="Tahoma"/>
            <family val="2"/>
          </rPr>
          <t xml:space="preserve">
Sum of four factors - Free, Paid, Base and Transport - for full Nurseries only - all school based Nurseries catering remains with school - linked to FINBUD
</t>
        </r>
      </text>
    </comment>
    <comment ref="AG5" authorId="0">
      <text>
        <r>
          <rPr>
            <b/>
            <sz val="8"/>
            <color indexed="81"/>
            <rFont val="Tahoma"/>
            <family val="2"/>
          </rPr>
          <t>Al Appleby:</t>
        </r>
        <r>
          <rPr>
            <sz val="8"/>
            <color indexed="81"/>
            <rFont val="Tahoma"/>
            <family val="2"/>
          </rPr>
          <t xml:space="preserve">
For Nurseries with TA Hours</t>
        </r>
      </text>
    </comment>
    <comment ref="AI5" authorId="0">
      <text>
        <r>
          <rPr>
            <b/>
            <sz val="8"/>
            <color indexed="81"/>
            <rFont val="Tahoma"/>
            <family val="2"/>
          </rPr>
          <t>Al Appleby:</t>
        </r>
        <r>
          <rPr>
            <sz val="8"/>
            <color indexed="81"/>
            <rFont val="Tahoma"/>
            <family val="2"/>
          </rPr>
          <t xml:space="preserve">
Maximum of 1</t>
        </r>
      </text>
    </comment>
    <comment ref="AJ5" authorId="0">
      <text>
        <r>
          <rPr>
            <b/>
            <sz val="8"/>
            <color indexed="81"/>
            <rFont val="Tahoma"/>
            <family val="2"/>
          </rPr>
          <t>Al Appleby:</t>
        </r>
        <r>
          <rPr>
            <sz val="8"/>
            <color indexed="81"/>
            <rFont val="Tahoma"/>
            <family val="2"/>
          </rPr>
          <t xml:space="preserve">
Amount to be based on actual cost of Graduate Leader not 23k</t>
        </r>
      </text>
    </comment>
  </commentList>
</comments>
</file>

<file path=xl/comments3.xml><?xml version="1.0" encoding="utf-8"?>
<comments xmlns="http://schemas.openxmlformats.org/spreadsheetml/2006/main">
  <authors>
    <author>Wain, Jocelyn</author>
  </authors>
  <commentList>
    <comment ref="AA14" authorId="0">
      <text>
        <r>
          <rPr>
            <b/>
            <sz val="9"/>
            <color indexed="81"/>
            <rFont val="Tahoma"/>
            <family val="2"/>
          </rPr>
          <t>Wain, Jocelyn:</t>
        </r>
        <r>
          <rPr>
            <sz val="9"/>
            <color indexed="81"/>
            <rFont val="Tahoma"/>
            <family val="2"/>
          </rPr>
          <t xml:space="preserve">
Funding for Mobility teacher - also used at Markeaton and Central Nursery. Increased from £20k to £25k as requested by St Bens</t>
        </r>
      </text>
    </comment>
  </commentList>
</comments>
</file>

<file path=xl/comments4.xml><?xml version="1.0" encoding="utf-8"?>
<comments xmlns="http://schemas.openxmlformats.org/spreadsheetml/2006/main">
  <authors>
    <author>Goodacre, Kelly</author>
  </authors>
  <commentList>
    <comment ref="B3" authorId="0">
      <text>
        <r>
          <rPr>
            <b/>
            <sz val="9"/>
            <color indexed="81"/>
            <rFont val="Tahoma"/>
            <family val="2"/>
          </rPr>
          <t>Goodacre, Kelly:</t>
        </r>
        <r>
          <rPr>
            <sz val="9"/>
            <color indexed="81"/>
            <rFont val="Tahoma"/>
            <family val="2"/>
          </rPr>
          <t xml:space="preserve">
2012 actual number now academy</t>
        </r>
      </text>
    </comment>
    <comment ref="B12" authorId="0">
      <text>
        <r>
          <rPr>
            <b/>
            <sz val="9"/>
            <color indexed="81"/>
            <rFont val="Tahoma"/>
            <family val="2"/>
          </rPr>
          <t>Goodacre, Kelly:</t>
        </r>
        <r>
          <rPr>
            <sz val="9"/>
            <color indexed="81"/>
            <rFont val="Tahoma"/>
            <family val="2"/>
          </rPr>
          <t xml:space="preserve">
2011 actual number now academy</t>
        </r>
      </text>
    </comment>
  </commentList>
</comments>
</file>

<file path=xl/comments5.xml><?xml version="1.0" encoding="utf-8"?>
<comments xmlns="http://schemas.openxmlformats.org/spreadsheetml/2006/main">
  <authors>
    <author>Goodacre, Kelly</author>
  </authors>
  <commentList>
    <comment ref="B8" authorId="0">
      <text>
        <r>
          <rPr>
            <b/>
            <sz val="9"/>
            <color indexed="81"/>
            <rFont val="Tahoma"/>
            <family val="2"/>
          </rPr>
          <t>Goodacre, Kelly:</t>
        </r>
        <r>
          <rPr>
            <sz val="9"/>
            <color indexed="81"/>
            <rFont val="Tahoma"/>
            <family val="2"/>
          </rPr>
          <t xml:space="preserve">
2400 now 2012</t>
        </r>
      </text>
    </comment>
    <comment ref="B17" authorId="0">
      <text>
        <r>
          <rPr>
            <b/>
            <sz val="9"/>
            <color indexed="81"/>
            <rFont val="Tahoma"/>
            <family val="2"/>
          </rPr>
          <t>Goodacre, Kelly:</t>
        </r>
        <r>
          <rPr>
            <sz val="9"/>
            <color indexed="81"/>
            <rFont val="Tahoma"/>
            <family val="2"/>
          </rPr>
          <t xml:space="preserve">
was 3525 now 2011</t>
        </r>
      </text>
    </comment>
  </commentList>
</comments>
</file>

<file path=xl/comments6.xml><?xml version="1.0" encoding="utf-8"?>
<comments xmlns="http://schemas.openxmlformats.org/spreadsheetml/2006/main">
  <authors>
    <author>Goodacre, Kelly</author>
  </authors>
  <commentList>
    <comment ref="P84" authorId="0">
      <text>
        <r>
          <rPr>
            <b/>
            <sz val="9"/>
            <color indexed="81"/>
            <rFont val="Tahoma"/>
            <family val="2"/>
          </rPr>
          <t>Goodacre, Kelly:</t>
        </r>
        <r>
          <rPr>
            <sz val="9"/>
            <color indexed="81"/>
            <rFont val="Tahoma"/>
            <family val="2"/>
          </rPr>
          <t xml:space="preserve">
one-off correction 2014-15</t>
        </r>
      </text>
    </comment>
  </commentList>
</comments>
</file>

<file path=xl/sharedStrings.xml><?xml version="1.0" encoding="utf-8"?>
<sst xmlns="http://schemas.openxmlformats.org/spreadsheetml/2006/main" count="12953" uniqueCount="1475">
  <si>
    <t>Primary</t>
  </si>
  <si>
    <t>Secondary</t>
  </si>
  <si>
    <t>Ashgate Nursery</t>
  </si>
  <si>
    <t>Castle Nursery</t>
  </si>
  <si>
    <t>Central Nursery</t>
  </si>
  <si>
    <t>Harrington Nursery</t>
  </si>
  <si>
    <t>Lord St Nursery</t>
  </si>
  <si>
    <t>Stonehill Nursery</t>
  </si>
  <si>
    <t>Walbrook Nursery</t>
  </si>
  <si>
    <t>Whitecross Nursery</t>
  </si>
  <si>
    <t>Allenton Community Primary School</t>
  </si>
  <si>
    <t>Alvaston Infant and Nursery School</t>
  </si>
  <si>
    <t>Alvaston Junior Community School</t>
  </si>
  <si>
    <t>Arboretum Primary School</t>
  </si>
  <si>
    <t>Ash Croft Primary School</t>
  </si>
  <si>
    <t>Ashgate Primary School</t>
  </si>
  <si>
    <t>Asterdale Primary School</t>
  </si>
  <si>
    <t>Beaufort Community Primary School</t>
  </si>
  <si>
    <t>Becket Primary School</t>
  </si>
  <si>
    <t>Bishop Lonsdale Church of England (Aided) Primary School</t>
  </si>
  <si>
    <t>Borrow Wood Primary School</t>
  </si>
  <si>
    <t>Brackensdale Infant School</t>
  </si>
  <si>
    <t>Brackensdale Junior School</t>
  </si>
  <si>
    <t>Brookfield Primary School</t>
  </si>
  <si>
    <t>Carlyle Infant School</t>
  </si>
  <si>
    <t>Cavendish Close Infant School</t>
  </si>
  <si>
    <t>Cavendish Close Junior School</t>
  </si>
  <si>
    <t>Chaddesden Park Primary School</t>
  </si>
  <si>
    <t>Chellaston Infant School</t>
  </si>
  <si>
    <t>Chellaston Junior School</t>
  </si>
  <si>
    <t>Cherry Tree Hill Primary School</t>
  </si>
  <si>
    <t>Dale Community Primary School</t>
  </si>
  <si>
    <t>Derwent Community School</t>
  </si>
  <si>
    <t>Firs Estate Primary School</t>
  </si>
  <si>
    <t>Gayton Community Junior School</t>
  </si>
  <si>
    <t>Griffe Field Primary School</t>
  </si>
  <si>
    <t>Hardwick Primary School</t>
  </si>
  <si>
    <t>Lakeside Community Primary School</t>
  </si>
  <si>
    <t>Lawn Primary School</t>
  </si>
  <si>
    <t>Markeaton Primary School</t>
  </si>
  <si>
    <t>Meadow Farm Community Primary School</t>
  </si>
  <si>
    <t>Mickleover Primary School</t>
  </si>
  <si>
    <t>Landau Forte Academy Moorhead</t>
  </si>
  <si>
    <t>Osmaston Primary School</t>
  </si>
  <si>
    <t>Oakwood Junior School</t>
  </si>
  <si>
    <t>Parkview Primary School</t>
  </si>
  <si>
    <t>Pear Tree Community Junior School</t>
  </si>
  <si>
    <t>Pear Tree Infant School</t>
  </si>
  <si>
    <t>Portway Infant School</t>
  </si>
  <si>
    <t>Portway Junior School</t>
  </si>
  <si>
    <t>Ravensdale Junior School</t>
  </si>
  <si>
    <t>Redwood Primary School</t>
  </si>
  <si>
    <t>Reigate Primary School</t>
  </si>
  <si>
    <t>Ridgeway Infant School</t>
  </si>
  <si>
    <t>Roe Farm Primary School</t>
  </si>
  <si>
    <t>Rosehill Infant and Nursery School</t>
  </si>
  <si>
    <t>Shelton Infant School</t>
  </si>
  <si>
    <t>Shelton Junior School</t>
  </si>
  <si>
    <t>Silverhill Primary School</t>
  </si>
  <si>
    <t>Springfield Primary School</t>
  </si>
  <si>
    <t>St Alban's Catholic Primary School</t>
  </si>
  <si>
    <t>St Chad's Church of England (Controlled) Nursery and Infant School</t>
  </si>
  <si>
    <t>St George's Catholic Voluntary Academy</t>
  </si>
  <si>
    <t>St James' Church of England (Aided) Infant School and Nursery</t>
  </si>
  <si>
    <t>St John Fisher Catholic Voluntary Academy</t>
  </si>
  <si>
    <t>Village Primary School</t>
  </si>
  <si>
    <t>Walter Evans Church of England (Aided) Primary School</t>
  </si>
  <si>
    <t>Wren Park Primary School</t>
  </si>
  <si>
    <t>da Vinci Community College</t>
  </si>
  <si>
    <t>Lees Brook Community Sports College</t>
  </si>
  <si>
    <t>Littleover Community School</t>
  </si>
  <si>
    <t>Merrill College</t>
  </si>
  <si>
    <t>Saint Benedict Catholic Voluntary Academy</t>
  </si>
  <si>
    <t>Allestree Woodlands School</t>
  </si>
  <si>
    <t>West Park School</t>
  </si>
  <si>
    <t>Chellaston Academy</t>
  </si>
  <si>
    <t>Rates</t>
  </si>
  <si>
    <t>Amount per secondary pupil £</t>
  </si>
  <si>
    <t>Amount per KS3 pupil £</t>
  </si>
  <si>
    <t>Amount per KS4 pupil £</t>
  </si>
  <si>
    <t>Per pupil (all prim &amp; sec pupils)</t>
  </si>
  <si>
    <t>DfE Number</t>
  </si>
  <si>
    <t>Primary pupils R to Yr6</t>
  </si>
  <si>
    <t>KS3 pupils</t>
  </si>
  <si>
    <t>KS4 pupils</t>
  </si>
  <si>
    <t>Total NOR</t>
  </si>
  <si>
    <t>Higher Needs Primary pupils R to Yr6</t>
  </si>
  <si>
    <t>Higher Needs KS3 pupils</t>
  </si>
  <si>
    <t>Higher Needs KS4 pupils</t>
  </si>
  <si>
    <t>Net Primary pupils R to Yr6</t>
  </si>
  <si>
    <t>Net KS3 pupils</t>
  </si>
  <si>
    <t>Net KS4 pupils</t>
  </si>
  <si>
    <t>Net NOR</t>
  </si>
  <si>
    <t>1) Basic Entitlement - Age Weighted Pupil Funding (AWPU) £</t>
  </si>
  <si>
    <t>Alvaston Junior School</t>
  </si>
  <si>
    <t>Bishop Lonsdale Church of England Aided Primary School</t>
  </si>
  <si>
    <t>Wyndham Primary Academy</t>
  </si>
  <si>
    <t>Chaddesden Park Primary</t>
  </si>
  <si>
    <t>Derby St Chad's CE (VC) Nursery and Infant School</t>
  </si>
  <si>
    <t>Grampian Primary Academy</t>
  </si>
  <si>
    <t>Homefields Primary School</t>
  </si>
  <si>
    <t>Oakwood Infant and Nursery School</t>
  </si>
  <si>
    <t>Ravensdale Infant and Nursery School</t>
  </si>
  <si>
    <t>St James' Church of England Aided Infant School</t>
  </si>
  <si>
    <t>St James' Church of England Aided Junior School</t>
  </si>
  <si>
    <t>St Joseph's Catholic Primary School, Derby</t>
  </si>
  <si>
    <t>St Mary's Catholic Primary School and Nursery</t>
  </si>
  <si>
    <t>St Peter's Church of England Aided Junior School</t>
  </si>
  <si>
    <t>St Werburgh's Church of England VA Primary School</t>
  </si>
  <si>
    <t>Walter Evans Church of England Aided Primary School</t>
  </si>
  <si>
    <t>Total Primary</t>
  </si>
  <si>
    <t>Derby Moor Community Sports College</t>
  </si>
  <si>
    <t>Murray Park School</t>
  </si>
  <si>
    <t>Noel Baker Community School and Language College</t>
  </si>
  <si>
    <t>The Bemrose School</t>
  </si>
  <si>
    <t>Total Secondary</t>
  </si>
  <si>
    <t>All Schools</t>
  </si>
  <si>
    <t>All</t>
  </si>
  <si>
    <t>School</t>
  </si>
  <si>
    <t>DfE No</t>
  </si>
  <si>
    <t>IDACI Band 1 0.2 - 0.25</t>
  </si>
  <si>
    <t>IDACI Band 2 0.25 - 0.3</t>
  </si>
  <si>
    <t>IDACI Band 3 0.3 - 0.4</t>
  </si>
  <si>
    <t>IDACI Band 4 0.4 - 0.5</t>
  </si>
  <si>
    <t>IDACI Band 5 0.5 - 0.6</t>
  </si>
  <si>
    <t>IDACI Band 6 0.6 -1.0</t>
  </si>
  <si>
    <t>Chaddesden Park Junior School</t>
  </si>
  <si>
    <t>Pre MFG Total</t>
  </si>
  <si>
    <t>MFG</t>
  </si>
  <si>
    <t>Deprivation £</t>
  </si>
  <si>
    <t>LAC £</t>
  </si>
  <si>
    <t>LCHI SEN £</t>
  </si>
  <si>
    <t>EAL £</t>
  </si>
  <si>
    <t>Mobility £</t>
  </si>
  <si>
    <t>Lump Sum £</t>
  </si>
  <si>
    <t>Split Site £</t>
  </si>
  <si>
    <t>PFI £</t>
  </si>
  <si>
    <t>City of Derby Academy / Sinfin Community School</t>
  </si>
  <si>
    <t>AWPU inc delegated Budget £</t>
  </si>
  <si>
    <t>Net School budget</t>
  </si>
  <si>
    <t>Budget before De-Delegation</t>
  </si>
  <si>
    <t>KS1 Class Factor</t>
  </si>
  <si>
    <t>ERS</t>
  </si>
  <si>
    <t>TA Hours</t>
  </si>
  <si>
    <t>Sixth Form</t>
  </si>
  <si>
    <t>Nursery</t>
  </si>
  <si>
    <t>Contingency</t>
  </si>
  <si>
    <t>Total</t>
  </si>
  <si>
    <t>Kingsmead</t>
  </si>
  <si>
    <t>Derby City Pupil Numbers</t>
  </si>
  <si>
    <t>Other LA Pupil Numbers</t>
  </si>
  <si>
    <t>Total Pupil Numbers</t>
  </si>
  <si>
    <t>Pre-16 Students</t>
  </si>
  <si>
    <t>Band 1</t>
  </si>
  <si>
    <t>Band 2</t>
  </si>
  <si>
    <t>Band 3</t>
  </si>
  <si>
    <t>Band 4</t>
  </si>
  <si>
    <t>Band 5</t>
  </si>
  <si>
    <t>Band 6</t>
  </si>
  <si>
    <t>Place Funding</t>
  </si>
  <si>
    <t>Top Up Funding DCC</t>
  </si>
  <si>
    <t>Residential Provision</t>
  </si>
  <si>
    <t>PFI</t>
  </si>
  <si>
    <t>Sub Total DCC</t>
  </si>
  <si>
    <t>Top Up Funding Other LA</t>
  </si>
  <si>
    <t>Total School Funding</t>
  </si>
  <si>
    <t>Total Places</t>
  </si>
  <si>
    <t>DCC Pre 16</t>
  </si>
  <si>
    <t>Other LA Pre 16</t>
  </si>
  <si>
    <t>Yr1-2</t>
  </si>
  <si>
    <t>Yr3-6</t>
  </si>
  <si>
    <t>Yr7+</t>
  </si>
  <si>
    <t>Post 16 Students</t>
  </si>
  <si>
    <t>DCC Post 16</t>
  </si>
  <si>
    <t>Other LA Post 16</t>
  </si>
  <si>
    <t>Sub Total</t>
  </si>
  <si>
    <t>Total DCC</t>
  </si>
  <si>
    <t>Total Other LA</t>
  </si>
  <si>
    <t>Derby City Places</t>
  </si>
  <si>
    <t>Other LA Places</t>
  </si>
  <si>
    <t>Top Up Funding</t>
  </si>
  <si>
    <t>Other</t>
  </si>
  <si>
    <t>Derby City</t>
  </si>
  <si>
    <t>Other LA Top Up</t>
  </si>
  <si>
    <t>Total Pre 16 Places</t>
  </si>
  <si>
    <t>Total Post 16 Places</t>
  </si>
  <si>
    <t>Total School Places</t>
  </si>
  <si>
    <t>EAL</t>
  </si>
  <si>
    <t>Breadsall Hill Top Primary School</t>
  </si>
  <si>
    <t>TA</t>
  </si>
  <si>
    <t>Setting Type</t>
  </si>
  <si>
    <t>E200201</t>
  </si>
  <si>
    <t>S</t>
  </si>
  <si>
    <t>E200401</t>
  </si>
  <si>
    <t>E100101</t>
  </si>
  <si>
    <t>M</t>
  </si>
  <si>
    <t>E200701</t>
  </si>
  <si>
    <t>E200801</t>
  </si>
  <si>
    <t>E200901</t>
  </si>
  <si>
    <t>E201001</t>
  </si>
  <si>
    <t>E201201</t>
  </si>
  <si>
    <t>E201401</t>
  </si>
  <si>
    <t>E201601</t>
  </si>
  <si>
    <t>E201801</t>
  </si>
  <si>
    <t>E201901</t>
  </si>
  <si>
    <t>E100201</t>
  </si>
  <si>
    <t>E202001</t>
  </si>
  <si>
    <t>E100301</t>
  </si>
  <si>
    <t>E202201</t>
  </si>
  <si>
    <t>E202601</t>
  </si>
  <si>
    <t>E202901</t>
  </si>
  <si>
    <t>E203001</t>
  </si>
  <si>
    <t>E203301</t>
  </si>
  <si>
    <t>E203401</t>
  </si>
  <si>
    <t>E100401</t>
  </si>
  <si>
    <t>E203501</t>
  </si>
  <si>
    <t>E203601</t>
  </si>
  <si>
    <t>E100501</t>
  </si>
  <si>
    <t>E203901</t>
  </si>
  <si>
    <t>E204201</t>
  </si>
  <si>
    <t>E204701</t>
  </si>
  <si>
    <t>E204901</t>
  </si>
  <si>
    <t>E205401</t>
  </si>
  <si>
    <t>E205601</t>
  </si>
  <si>
    <t>E205801</t>
  </si>
  <si>
    <t>E206001</t>
  </si>
  <si>
    <t>E206101</t>
  </si>
  <si>
    <t>E206201</t>
  </si>
  <si>
    <t>E206501</t>
  </si>
  <si>
    <t>E206701</t>
  </si>
  <si>
    <t>E206801</t>
  </si>
  <si>
    <t>E207001</t>
  </si>
  <si>
    <t>E207401</t>
  </si>
  <si>
    <t>E100601</t>
  </si>
  <si>
    <t>E204501</t>
  </si>
  <si>
    <t>E100701</t>
  </si>
  <si>
    <t>E207801</t>
  </si>
  <si>
    <t>E100801</t>
  </si>
  <si>
    <t>Ace Nursery</t>
  </si>
  <si>
    <t>DE23 8DH</t>
  </si>
  <si>
    <t>D</t>
  </si>
  <si>
    <t>An-Noor Nursery</t>
  </si>
  <si>
    <t>EY362920</t>
  </si>
  <si>
    <t>Becket Sure Start Children's Centre</t>
  </si>
  <si>
    <t>DE22 3WR</t>
  </si>
  <si>
    <t>EY380753</t>
  </si>
  <si>
    <t>Best Start Sinfin</t>
  </si>
  <si>
    <t>EY467568</t>
  </si>
  <si>
    <t>Best Start Sunnyhill</t>
  </si>
  <si>
    <t>EY467617</t>
  </si>
  <si>
    <t>Best Start Arboretum</t>
  </si>
  <si>
    <t>Bizzy Kidz</t>
  </si>
  <si>
    <t>EY450983</t>
  </si>
  <si>
    <t>Boulton Lane Park Pre-School Playgroup</t>
  </si>
  <si>
    <t>DE24 0BD</t>
  </si>
  <si>
    <t>P</t>
  </si>
  <si>
    <t>Bramble Brook Pre-School  Playgroup</t>
  </si>
  <si>
    <t>DE3 9HD</t>
  </si>
  <si>
    <t>EY282068</t>
  </si>
  <si>
    <t>Busy Bees Pre-School</t>
  </si>
  <si>
    <t>DE22 2HE</t>
  </si>
  <si>
    <t>Busy Bees-Derby, Heatherton</t>
  </si>
  <si>
    <t>DE23 3TZ</t>
  </si>
  <si>
    <t>Carlton Private Day Nursery</t>
  </si>
  <si>
    <t>DE22 1GQ</t>
  </si>
  <si>
    <t>Childcare @ St James Centre</t>
  </si>
  <si>
    <t>EY396374</t>
  </si>
  <si>
    <t>Chuckles Pre-School Playgroup</t>
  </si>
  <si>
    <t>DE24 0RU</t>
  </si>
  <si>
    <t>Creative Steps (E Moore &amp; S Patton T/A)</t>
  </si>
  <si>
    <t>Derby Asian Women's Training Association Ltd</t>
  </si>
  <si>
    <t>EY471750</t>
  </si>
  <si>
    <t>EY260966</t>
  </si>
  <si>
    <t>EY240000</t>
  </si>
  <si>
    <t>EY350863</t>
  </si>
  <si>
    <t>New6</t>
  </si>
  <si>
    <t>EY336463</t>
  </si>
  <si>
    <t>EY251518</t>
  </si>
  <si>
    <t>EY369088</t>
  </si>
  <si>
    <t>EY464494</t>
  </si>
  <si>
    <t>EY340934</t>
  </si>
  <si>
    <t>EY225750</t>
  </si>
  <si>
    <t>EY360259</t>
  </si>
  <si>
    <t>EY268223</t>
  </si>
  <si>
    <t>EY278371</t>
  </si>
  <si>
    <t>EY347944</t>
  </si>
  <si>
    <t>EY335566</t>
  </si>
  <si>
    <t>EY299849</t>
  </si>
  <si>
    <t>EY318345</t>
  </si>
  <si>
    <t>Derby High School</t>
  </si>
  <si>
    <t>EY240925</t>
  </si>
  <si>
    <t>Derby Montessori School</t>
  </si>
  <si>
    <t>DE22 3LN</t>
  </si>
  <si>
    <t>EY218880</t>
  </si>
  <si>
    <t>Diamond Day PDN</t>
  </si>
  <si>
    <t>EY421215</t>
  </si>
  <si>
    <t>Elvaston Lane Pre-School Playgroup</t>
  </si>
  <si>
    <t>DE24 0PE</t>
  </si>
  <si>
    <t>Emmanuel School</t>
  </si>
  <si>
    <t>DE22 1FP</t>
  </si>
  <si>
    <t>EY345674</t>
  </si>
  <si>
    <t>Field Lane Playgroup Ltd</t>
  </si>
  <si>
    <t>DE24 0GW</t>
  </si>
  <si>
    <t>EY307423</t>
  </si>
  <si>
    <t>First Friends Private Day Nursery</t>
  </si>
  <si>
    <t>DE21 6HP</t>
  </si>
  <si>
    <t>First Steps Early Years Centre</t>
  </si>
  <si>
    <t>EY440848</t>
  </si>
  <si>
    <t>Heatherton Pre-School</t>
  </si>
  <si>
    <t>EY406182</t>
  </si>
  <si>
    <t>Homelands Early Years Centre</t>
  </si>
  <si>
    <t>EY440937</t>
  </si>
  <si>
    <t>Horwood Avenue Pre-School</t>
  </si>
  <si>
    <t>DE22 3PB</t>
  </si>
  <si>
    <t>Jack N Jill Nursery</t>
  </si>
  <si>
    <t>DE1 1RY</t>
  </si>
  <si>
    <t>EY384884</t>
  </si>
  <si>
    <t>King George V Pre-School</t>
  </si>
  <si>
    <t>DE23 6GT</t>
  </si>
  <si>
    <t>Kingfisher Day Nursery</t>
  </si>
  <si>
    <t>EY285324</t>
  </si>
  <si>
    <t>Kingfisher Day Nurser Pre-School And A</t>
  </si>
  <si>
    <t>EY285337</t>
  </si>
  <si>
    <t>Kingfisher Day Nursery (2)</t>
  </si>
  <si>
    <t>EY371448</t>
  </si>
  <si>
    <t>La Petite Academy</t>
  </si>
  <si>
    <t>DE23 1DG</t>
  </si>
  <si>
    <t>Leapfrog Day Nursery(1)</t>
  </si>
  <si>
    <t>DE21 2SF</t>
  </si>
  <si>
    <t>Leapfrogs Pre School</t>
  </si>
  <si>
    <t>DE73 6UT</t>
  </si>
  <si>
    <t>Little Acorns Nursery</t>
  </si>
  <si>
    <t>DE22 3LX</t>
  </si>
  <si>
    <t>Little Oaks</t>
  </si>
  <si>
    <t>EY425466</t>
  </si>
  <si>
    <t>Little Oaks Nursery and Out of School Club</t>
  </si>
  <si>
    <t>EY467587</t>
  </si>
  <si>
    <t>Little Poppies Pre-School ( Royal British</t>
  </si>
  <si>
    <t>DE3 9GB</t>
  </si>
  <si>
    <t>EY371611</t>
  </si>
  <si>
    <t>Little Scholars Private Day Nursery(1) Sunnyhill</t>
  </si>
  <si>
    <t>DE23 1GQ</t>
  </si>
  <si>
    <t>Little Scholars Private Day Nursery(2) Littleover</t>
  </si>
  <si>
    <t>DE23 3EY</t>
  </si>
  <si>
    <t>Littlesteps Pre- School</t>
  </si>
  <si>
    <t>DE23 6EP</t>
  </si>
  <si>
    <t>EY385725</t>
  </si>
  <si>
    <t>Little Steps Playschool C.I.C</t>
  </si>
  <si>
    <t>EY471706</t>
  </si>
  <si>
    <t>Mary Poppins Day Nursery</t>
  </si>
  <si>
    <t>DE3 9AJ</t>
  </si>
  <si>
    <t>Mickleover Methodist Playgroup</t>
  </si>
  <si>
    <t>DE3 9GH</t>
  </si>
  <si>
    <t>Oak House Nursery</t>
  </si>
  <si>
    <t>DE3 9FN</t>
  </si>
  <si>
    <t>EY304261</t>
  </si>
  <si>
    <t>Oaktree Day Nursery</t>
  </si>
  <si>
    <t>DE21 6ND</t>
  </si>
  <si>
    <t>Orchard Day Nursery And Nursery Scho</t>
  </si>
  <si>
    <t>DE73 5SB</t>
  </si>
  <si>
    <t>Orchard Nursery School(1)</t>
  </si>
  <si>
    <t>DE73 6RF</t>
  </si>
  <si>
    <t>Park Playgroup (the)</t>
  </si>
  <si>
    <t>DE21 6LN</t>
  </si>
  <si>
    <t>Play &amp; Learn</t>
  </si>
  <si>
    <t>DE23 6HB</t>
  </si>
  <si>
    <t>EY284120</t>
  </si>
  <si>
    <t>Play Corner - Day Nursery</t>
  </si>
  <si>
    <t>EY331291</t>
  </si>
  <si>
    <t>Playaway Nursery</t>
  </si>
  <si>
    <t>DE22 3HX</t>
  </si>
  <si>
    <t>EY261314</t>
  </si>
  <si>
    <t>Playdays Opportunity Group</t>
  </si>
  <si>
    <t>DE24 9RJ</t>
  </si>
  <si>
    <t>Positive Steps Childcare</t>
  </si>
  <si>
    <t>EY370198</t>
  </si>
  <si>
    <t>DE24 8AJ</t>
  </si>
  <si>
    <t>Pride Park Day Nursery</t>
  </si>
  <si>
    <t>EY283730</t>
  </si>
  <si>
    <t>Riverside Day Nursery - Asquith Court</t>
  </si>
  <si>
    <t>DE24 8HX</t>
  </si>
  <si>
    <t>EY283239</t>
  </si>
  <si>
    <t>Rosehill Early Years Centre</t>
  </si>
  <si>
    <t>EY440893</t>
  </si>
  <si>
    <t>Royal School For The Deaf</t>
  </si>
  <si>
    <t>DE22 3BH</t>
  </si>
  <si>
    <t>Rydale Childrens Centre P D N</t>
  </si>
  <si>
    <t>DE22 4EN</t>
  </si>
  <si>
    <t>EY370254</t>
  </si>
  <si>
    <t>Shelton Lock Pre-School</t>
  </si>
  <si>
    <t>DE24 9EJ</t>
  </si>
  <si>
    <t>EY347673</t>
  </si>
  <si>
    <t>Silver Trees Private Day Nursery</t>
  </si>
  <si>
    <t>DE22 3AD</t>
  </si>
  <si>
    <t>EY282326</t>
  </si>
  <si>
    <t>Sinfin Community Childcare</t>
  </si>
  <si>
    <t>DE24 9HG</t>
  </si>
  <si>
    <t>EY279508</t>
  </si>
  <si>
    <t>Sinfin Community Childcare at SCILLS Community Centre</t>
  </si>
  <si>
    <t>EY456892</t>
  </si>
  <si>
    <t>St Andrew's Pre-School Playgroup</t>
  </si>
  <si>
    <t>DE23 7PX</t>
  </si>
  <si>
    <t>St Edmunds Pre-School And Playgroup</t>
  </si>
  <si>
    <t>DE22 2NF</t>
  </si>
  <si>
    <t>St Joseph's R. C. Pre-School</t>
  </si>
  <si>
    <t>DE23 6SB</t>
  </si>
  <si>
    <t>St Paul's Church Hall Pre-School</t>
  </si>
  <si>
    <t>EY395637</t>
  </si>
  <si>
    <t>Sure Start Derwent Stepping Stones</t>
  </si>
  <si>
    <t>DE21 6AH</t>
  </si>
  <si>
    <t>EY330097</t>
  </si>
  <si>
    <t>The Cottage Private Day Nursery(1)</t>
  </si>
  <si>
    <t>DE22 3PD</t>
  </si>
  <si>
    <t>EY100960</t>
  </si>
  <si>
    <t>The Cottage Private Day Nursery(3)</t>
  </si>
  <si>
    <t>The Light House</t>
  </si>
  <si>
    <t>DE21 6AL</t>
  </si>
  <si>
    <t>EY359739</t>
  </si>
  <si>
    <t>The Orchard Garden Private Day Nurser</t>
  </si>
  <si>
    <t>DE1 1RX</t>
  </si>
  <si>
    <t>EY103452</t>
  </si>
  <si>
    <t>Tiny Tots Day Nursery</t>
  </si>
  <si>
    <t>DE24 0JP</t>
  </si>
  <si>
    <t>Treetops Private Day Nursery</t>
  </si>
  <si>
    <t>DE21 2DF</t>
  </si>
  <si>
    <t>Village Learning Centre Creche</t>
  </si>
  <si>
    <t>EY467205</t>
  </si>
  <si>
    <t>White House Kids Club</t>
  </si>
  <si>
    <t>DE72 3HB</t>
  </si>
  <si>
    <t>EY393352</t>
  </si>
  <si>
    <t>Whitehouse Day Nursery Limited</t>
  </si>
  <si>
    <t>EY431769</t>
  </si>
  <si>
    <t>White House Day Nursery Alvaston</t>
  </si>
  <si>
    <t>EY452684</t>
  </si>
  <si>
    <t>Woodlands Private Day Nursery</t>
  </si>
  <si>
    <t>DE22 1BJ</t>
  </si>
  <si>
    <t>ERS Other LA Top up</t>
  </si>
  <si>
    <t>Cottons Farm Primary School</t>
  </si>
  <si>
    <t>City of Derby Academy</t>
  </si>
  <si>
    <t>Landau Forte College</t>
  </si>
  <si>
    <t>Al Madinah</t>
  </si>
  <si>
    <t>Cotton's Farm Primary School</t>
  </si>
  <si>
    <t>Factor</t>
  </si>
  <si>
    <t>Description</t>
  </si>
  <si>
    <t>Number of Pupils</t>
  </si>
  <si>
    <t>Sub total (£)</t>
  </si>
  <si>
    <t>1) Basic Entitlement - Age Weighted Pupil Funding (AWPU)</t>
  </si>
  <si>
    <t>Primary (including reception)</t>
  </si>
  <si>
    <t>Primary amount per pupil</t>
  </si>
  <si>
    <t>Secondary amount per pupil</t>
  </si>
  <si>
    <t>Number of eligible primary pupils</t>
  </si>
  <si>
    <t>Number of eligible secondary pupils</t>
  </si>
  <si>
    <t>2) Deprivation</t>
  </si>
  <si>
    <t>FSM Ever 6</t>
  </si>
  <si>
    <t>Amount per pupil</t>
  </si>
  <si>
    <t>Total (£)</t>
  </si>
  <si>
    <t>3) Looked After Children (LAC)</t>
  </si>
  <si>
    <t>4) Low cost, high incidence SEN (Prior Attainment)</t>
  </si>
  <si>
    <t>5) English as an Additional Language</t>
  </si>
  <si>
    <t>Primary pupils EAL funded for first 3 years in Statutory Education</t>
  </si>
  <si>
    <t>Secondary pupils EAL funded for first 3 years in Statutory Education</t>
  </si>
  <si>
    <t>6) Mobility</t>
  </si>
  <si>
    <t>Primary pupils included in the October School Census who did not start in August or September (Last 3 academic years)</t>
  </si>
  <si>
    <t>Secondary pupils included in the October School Census who did not start in August or September (Last 3 academic years)</t>
  </si>
  <si>
    <t>Amount of lump sum</t>
  </si>
  <si>
    <t>Number</t>
  </si>
  <si>
    <t>7) Lump Sum</t>
  </si>
  <si>
    <t>Amount of split site funding</t>
  </si>
  <si>
    <t>8) Split Site</t>
  </si>
  <si>
    <t>Amount of PFI funding</t>
  </si>
  <si>
    <t>Minimum Funding Guarantee (-1.5%)</t>
  </si>
  <si>
    <t>Minimum Funding Guarantee</t>
  </si>
  <si>
    <t>CAP</t>
  </si>
  <si>
    <t>Additional Funding</t>
  </si>
  <si>
    <t>TA Hours funding (£)</t>
  </si>
  <si>
    <t>TA Hours out of catchment funding £</t>
  </si>
  <si>
    <t>DfE No or Ofsted ID</t>
  </si>
  <si>
    <t>1. Base Rate(s) per hour, per provider type.   Setting Type</t>
  </si>
  <si>
    <t>Amount (£)</t>
  </si>
  <si>
    <t>Number of units</t>
  </si>
  <si>
    <t>Anticipated Total Budget (£)</t>
  </si>
  <si>
    <t>per hour</t>
  </si>
  <si>
    <t>S = Stand Alone Maintained Nursery School</t>
  </si>
  <si>
    <t>P = Pre School</t>
  </si>
  <si>
    <t>D = Day Nursery</t>
  </si>
  <si>
    <t>Deprivation (Mandatory) Supplement</t>
  </si>
  <si>
    <t>Unit</t>
  </si>
  <si>
    <t>IMD</t>
  </si>
  <si>
    <t>Vulnerable Children</t>
  </si>
  <si>
    <t>Quality Supplements</t>
  </si>
  <si>
    <t xml:space="preserve">Unit </t>
  </si>
  <si>
    <t>lump sum</t>
  </si>
  <si>
    <t>3. Other formula
factors and lump sums (if applicable)</t>
  </si>
  <si>
    <t>Base for Stand Alone Maintained Nurseries</t>
  </si>
  <si>
    <t>ERS for Stand Alone Maintained Nurseries</t>
  </si>
  <si>
    <t>TA Hours for Stand Alone Maintained Nurseries</t>
  </si>
  <si>
    <t>Indicative Sixth Form (not yet known)</t>
  </si>
  <si>
    <t>All Specials</t>
  </si>
  <si>
    <t>DFE</t>
  </si>
  <si>
    <t>Places</t>
  </si>
  <si>
    <t>Rate</t>
  </si>
  <si>
    <t>Residential Places</t>
  </si>
  <si>
    <t>CLICK ON THE ARROW BUTTON TO SELECT YOUR SCHOOL FROM THE LIST</t>
  </si>
  <si>
    <t>ALL</t>
  </si>
  <si>
    <t>Place led funding - Special Schools Post 16</t>
  </si>
  <si>
    <t>See separate breakdown sheet</t>
  </si>
  <si>
    <t>Ivy House School</t>
  </si>
  <si>
    <t>E400101</t>
  </si>
  <si>
    <t>St Andrew's School</t>
  </si>
  <si>
    <t>E400201</t>
  </si>
  <si>
    <t>St Clare's School</t>
  </si>
  <si>
    <t>E400301</t>
  </si>
  <si>
    <t>St Giles' School</t>
  </si>
  <si>
    <t>E400401</t>
  </si>
  <si>
    <t>E400501</t>
  </si>
  <si>
    <t>KS3/4 PRU</t>
  </si>
  <si>
    <t>KS1/2 PRU</t>
  </si>
  <si>
    <t>E500101</t>
  </si>
  <si>
    <t>E500202</t>
  </si>
  <si>
    <t>E400601</t>
  </si>
  <si>
    <t>Figures not yet confirmed</t>
  </si>
  <si>
    <t>RATES</t>
  </si>
  <si>
    <t>ERS Pupils</t>
  </si>
  <si>
    <t>Derby City Childminding Network - AW</t>
  </si>
  <si>
    <t>Derby City Childminding Network - AR</t>
  </si>
  <si>
    <t>Derby City Childminding Network - AJH</t>
  </si>
  <si>
    <t>Derby City Childminding Network - DK</t>
  </si>
  <si>
    <t>Derby City Childminding Network - JMS</t>
  </si>
  <si>
    <t>Derby City Childminding Network - KW</t>
  </si>
  <si>
    <t>Derby City Childminding Network - LKD</t>
  </si>
  <si>
    <t>Derby City Childminding Network - RW</t>
  </si>
  <si>
    <t>Derby City Childminding Network - RSW</t>
  </si>
  <si>
    <t>Derby City Childminding Network - RP</t>
  </si>
  <si>
    <t>Derby City Childminding Network - SLB</t>
  </si>
  <si>
    <t>Derby City Childminding Network - TLA</t>
  </si>
  <si>
    <t>Derby City Childminding Network - WJW</t>
  </si>
  <si>
    <t>TA Hours OOC</t>
  </si>
  <si>
    <t>ERS - Other</t>
  </si>
  <si>
    <t>Number of Pupils (Net of High Needs Places)</t>
  </si>
  <si>
    <t>Academy</t>
  </si>
  <si>
    <t>Notional SEN %</t>
  </si>
  <si>
    <t>Notional SEN within School Budget £</t>
  </si>
  <si>
    <t>See Separate breakdown</t>
  </si>
  <si>
    <t xml:space="preserve">Per LAC child </t>
  </si>
  <si>
    <t>Secondary pupils not achieving KS2 level 4 English or Maths</t>
  </si>
  <si>
    <t>£100K Primary £150K Secondary</t>
  </si>
  <si>
    <t>KS1 Class Factor (Teacher required for 1:30 pupils ratio)</t>
  </si>
  <si>
    <t>PFI to be paid back to the LA</t>
  </si>
  <si>
    <t xml:space="preserve">Place led funding - Special Schools Pre 16 </t>
  </si>
  <si>
    <t>Indicative ERS Pupils Top up funding</t>
  </si>
  <si>
    <t>ERS Place Rate</t>
  </si>
  <si>
    <t xml:space="preserve">Place led funding - ERS Pre 16 </t>
  </si>
  <si>
    <t>Place led funding - ERS Post 16</t>
  </si>
  <si>
    <t>Including both Pre 16 &amp; Post 16 Funding</t>
  </si>
  <si>
    <t>ERS Pupil Top up funding</t>
  </si>
  <si>
    <t>M = Maintained Nursery at a School / Academy</t>
  </si>
  <si>
    <t>Total Nursery</t>
  </si>
  <si>
    <t>St Martins School including Horizons</t>
  </si>
  <si>
    <t>Key Stage 3</t>
  </si>
  <si>
    <t>Key Stage 4</t>
  </si>
  <si>
    <t>Please select your School or Nursery Setting Name in the cell below</t>
  </si>
  <si>
    <t>Derby City Childminding Network - CM</t>
  </si>
  <si>
    <t>Derby City Childminding Network - CP</t>
  </si>
  <si>
    <t>Derby City Childminding Network - SM</t>
  </si>
  <si>
    <t>Derby City Childminding Network - PW</t>
  </si>
  <si>
    <t>Derby City Childminding Network - SJT</t>
  </si>
  <si>
    <t>Derby City Childminding Network - JA</t>
  </si>
  <si>
    <t>Derby City Childminding Network - ZB</t>
  </si>
  <si>
    <t>E202101</t>
  </si>
  <si>
    <t>Landau Forte College (Fox Street)</t>
  </si>
  <si>
    <t>*Please note that High Needs top up funding follows the pupil, therefore funding will be adjusted in year where there are pupil movements</t>
  </si>
  <si>
    <t>High Needs Funding from Derby City / EFA*</t>
  </si>
  <si>
    <r>
      <t>Other LA Top up funding</t>
    </r>
    <r>
      <rPr>
        <sz val="12"/>
        <rFont val="Arial"/>
        <family val="2"/>
      </rPr>
      <t xml:space="preserve"> (Income not Budget)</t>
    </r>
    <r>
      <rPr>
        <b/>
        <sz val="12"/>
        <rFont val="Arial"/>
        <family val="2"/>
      </rPr>
      <t>*</t>
    </r>
  </si>
  <si>
    <t>Derby City Pupils Top up funding Pre &amp; Post 16*</t>
  </si>
  <si>
    <t>Please select your school in the cell below</t>
  </si>
  <si>
    <t>High Needs Funding from Derby City LA / EFA*</t>
  </si>
  <si>
    <t>Derby City Pupils Top up funding Pre 16*</t>
  </si>
  <si>
    <t>Derby City Pupils Top up funding Post 16*</t>
  </si>
  <si>
    <t>No.of Pupils</t>
  </si>
  <si>
    <t>*Please note Early Years budgets are adjusted for actual hour take up in year</t>
  </si>
  <si>
    <t xml:space="preserve">Indicative Sixth Form </t>
  </si>
  <si>
    <t>Total Delegated SEN funding within the School Budget</t>
  </si>
  <si>
    <t>Secondary KS3 amount per pupil</t>
  </si>
  <si>
    <t>Secondary KS4 amount per pupil</t>
  </si>
  <si>
    <t>Rates 14-15 Adj</t>
  </si>
  <si>
    <t>Rates 15-16</t>
  </si>
  <si>
    <t>Delegated SEN %</t>
  </si>
  <si>
    <t>Delegated SEN funding within School Budget £</t>
  </si>
  <si>
    <t>% of NOR</t>
  </si>
  <si>
    <t>Mobility is calculated after deducting 10% threshold level</t>
  </si>
  <si>
    <t>Primary Rate</t>
  </si>
  <si>
    <t>Secondary Rate</t>
  </si>
  <si>
    <t>Contingencies (SIFD &amp; Contingencies)</t>
  </si>
  <si>
    <t>FSM</t>
  </si>
  <si>
    <t>Insurance</t>
  </si>
  <si>
    <t>Licences/Subscriptions</t>
  </si>
  <si>
    <t>Staff Costs Supply</t>
  </si>
  <si>
    <t>Behaviour Support</t>
  </si>
  <si>
    <t>Museums</t>
  </si>
  <si>
    <t>Support UAG and Bilingual</t>
  </si>
  <si>
    <t>Primary net NOR</t>
  </si>
  <si>
    <t>Secondary Net NOR</t>
  </si>
  <si>
    <t>LA Services De-delegated from maintained schools</t>
  </si>
  <si>
    <t>LA Services to be Invoiced to non maintained schools</t>
  </si>
  <si>
    <t xml:space="preserve">TA Hours </t>
  </si>
  <si>
    <t>Other LA</t>
  </si>
  <si>
    <t>Band 5 Plus</t>
  </si>
  <si>
    <t>Band 5 plus</t>
  </si>
  <si>
    <t>Hours</t>
  </si>
  <si>
    <t>Maintained</t>
  </si>
  <si>
    <t>E200101</t>
  </si>
  <si>
    <t>E200501</t>
  </si>
  <si>
    <t>E201501</t>
  </si>
  <si>
    <t>E201701</t>
  </si>
  <si>
    <t>E202401</t>
  </si>
  <si>
    <t>SP</t>
  </si>
  <si>
    <t>E202501</t>
  </si>
  <si>
    <t>E202801</t>
  </si>
  <si>
    <t>E203101</t>
  </si>
  <si>
    <t>E203701</t>
  </si>
  <si>
    <t>E203801</t>
  </si>
  <si>
    <t>LB</t>
  </si>
  <si>
    <t>E204001</t>
  </si>
  <si>
    <t>Oakwood Infant School</t>
  </si>
  <si>
    <t>E204801</t>
  </si>
  <si>
    <t>E205301</t>
  </si>
  <si>
    <t>E205501</t>
  </si>
  <si>
    <t>E205901</t>
  </si>
  <si>
    <t>E206401</t>
  </si>
  <si>
    <t>E206601</t>
  </si>
  <si>
    <t>E207101</t>
  </si>
  <si>
    <t>E207301</t>
  </si>
  <si>
    <t>St Joseph's Catholic Primary School</t>
  </si>
  <si>
    <t>St Mary's Catholic Primary School</t>
  </si>
  <si>
    <t>E207501</t>
  </si>
  <si>
    <t>E207901</t>
  </si>
  <si>
    <t>E300101</t>
  </si>
  <si>
    <t>Bemrose School</t>
  </si>
  <si>
    <t>E300301</t>
  </si>
  <si>
    <t>LD</t>
  </si>
  <si>
    <t>E300401</t>
  </si>
  <si>
    <t>E300601</t>
  </si>
  <si>
    <t>E300801</t>
  </si>
  <si>
    <t>Murray Park Community School</t>
  </si>
  <si>
    <t>E300901</t>
  </si>
  <si>
    <t>Harrington Nursery School</t>
  </si>
  <si>
    <t>Lord Street Nursery</t>
  </si>
  <si>
    <t>Quality</t>
  </si>
  <si>
    <t>ERS Provision</t>
  </si>
  <si>
    <t>2015/2016 Budget</t>
  </si>
  <si>
    <t>PRE-16 PLACES</t>
  </si>
  <si>
    <t>DfE</t>
  </si>
  <si>
    <t>Band 5 +</t>
  </si>
  <si>
    <t>POST-16 PLACES</t>
  </si>
  <si>
    <t>Lees Brook</t>
  </si>
  <si>
    <t>Saint Benedict</t>
  </si>
  <si>
    <t>Grand Totals</t>
  </si>
  <si>
    <t>Maintained Nurseries Only</t>
  </si>
  <si>
    <t>Original Formula Template</t>
  </si>
  <si>
    <t>PUPIL LED BASE AMOUNT</t>
  </si>
  <si>
    <t>DEPRIVATION FUNDING</t>
  </si>
  <si>
    <t>VULNERABLE CHILDREN FUNDING</t>
  </si>
  <si>
    <t>CATERING</t>
  </si>
  <si>
    <t>STANDALONE BASE</t>
  </si>
  <si>
    <t>FORMULA BUDGET</t>
  </si>
  <si>
    <t>Schools with Nursery Classes</t>
  </si>
  <si>
    <t>Cost Centre</t>
  </si>
  <si>
    <t>DCSF No</t>
  </si>
  <si>
    <t>Max No of Places</t>
  </si>
  <si>
    <t>Max No of Hours</t>
  </si>
  <si>
    <t>Est Spring</t>
  </si>
  <si>
    <t>Reported Hours</t>
  </si>
  <si>
    <t>Hour Check</t>
  </si>
  <si>
    <t>FORMULA HOURS</t>
  </si>
  <si>
    <t>Type Hrly Rate</t>
  </si>
  <si>
    <t>Hrly Rate Funding</t>
  </si>
  <si>
    <t>Summer</t>
  </si>
  <si>
    <t>Autumn</t>
  </si>
  <si>
    <t>Spring</t>
  </si>
  <si>
    <t>Unit Cost</t>
  </si>
  <si>
    <t>Total Deprivation Funding</t>
  </si>
  <si>
    <t>Total Vulnerable Children Funding</t>
  </si>
  <si>
    <t>Total ERS Funding</t>
  </si>
  <si>
    <t>Total Catering Funding</t>
  </si>
  <si>
    <t>Total TA Funding</t>
  </si>
  <si>
    <t>Number per Setting</t>
  </si>
  <si>
    <t>Amount</t>
  </si>
  <si>
    <t>Total Base Funding</t>
  </si>
  <si>
    <t>Total EAL Funding</t>
  </si>
  <si>
    <t>Total Single Formula Budget</t>
  </si>
  <si>
    <t>Indicative Budget 2015-16</t>
  </si>
  <si>
    <t>PAN</t>
  </si>
  <si>
    <t>Bemrose</t>
  </si>
  <si>
    <t>Bishop Lonsdale Church of England (Aided) Primary School 3525 then 2011 dfe</t>
  </si>
  <si>
    <t>E201301</t>
  </si>
  <si>
    <t>Grampian Primary School /Academy</t>
  </si>
  <si>
    <t>E203201</t>
  </si>
  <si>
    <t>Homefields Primary</t>
  </si>
  <si>
    <t>Maintained Subtotal</t>
  </si>
  <si>
    <t>PVI Nurseries</t>
  </si>
  <si>
    <t>Post Code</t>
  </si>
  <si>
    <t>OFSTED ID</t>
  </si>
  <si>
    <t>No of Pupils' Hours</t>
  </si>
  <si>
    <t>Total Graduate Leader Funding</t>
  </si>
  <si>
    <t>Number of Pupils' Hours</t>
  </si>
  <si>
    <t>Formula Budget before MFG and CAP</t>
  </si>
  <si>
    <t>Austin Community Enterprise Ltd (ACE) Nursery 2</t>
  </si>
  <si>
    <t>new Summer 14</t>
  </si>
  <si>
    <t>EY466545</t>
  </si>
  <si>
    <t>EY467609</t>
  </si>
  <si>
    <t>EY470666</t>
  </si>
  <si>
    <t>Creative Steps Pre-School</t>
  </si>
  <si>
    <t>EY477987</t>
  </si>
  <si>
    <t>Derby City Childminding Network - Aiden James Allen</t>
  </si>
  <si>
    <t>EY432228</t>
  </si>
  <si>
    <t>Derby City Childminding Network - Alison Whiteman</t>
  </si>
  <si>
    <t>Derby City Childminding Network - Amanda Reeves</t>
  </si>
  <si>
    <t>Derby City Childminding Network - Angela Kirkley</t>
  </si>
  <si>
    <t>DE3 9LN</t>
  </si>
  <si>
    <t>AK</t>
  </si>
  <si>
    <t>Derby City Childminding Network - Angela Jane Hatton</t>
  </si>
  <si>
    <t>Derby City Childminding Network - Barbara Gill Wells</t>
  </si>
  <si>
    <t>DE21 2QJ</t>
  </si>
  <si>
    <t>Derby City Childminding Network - Caroline Tomlinson</t>
  </si>
  <si>
    <t>EY463636</t>
  </si>
  <si>
    <t>p</t>
  </si>
  <si>
    <t xml:space="preserve">Derby City Childminding Network - Celia Murfin </t>
  </si>
  <si>
    <t>EY421552</t>
  </si>
  <si>
    <t>Derby City Childminding Network - Cheryll Lesley Haywood-Phillips</t>
  </si>
  <si>
    <t>Derby City Childminding Network - Claire-Ellen Oakley</t>
  </si>
  <si>
    <t>EY412756</t>
  </si>
  <si>
    <t>Derby City Childminding Network - Debra Kydd</t>
  </si>
  <si>
    <t>Derby City Childminding Network - Donna Gladwin</t>
  </si>
  <si>
    <t>Derby City Childminding Network - Emma Louise Strange</t>
  </si>
  <si>
    <t>ELS</t>
  </si>
  <si>
    <t>Derby City Childminding Network - Gillian Ruth Haywood</t>
  </si>
  <si>
    <t>EY303699</t>
  </si>
  <si>
    <t>Derby City Childminding Network - Helen Marie Samuels</t>
  </si>
  <si>
    <t>Derby City Childminding Network - Hilary Gail Smyth</t>
  </si>
  <si>
    <t>EY407775</t>
  </si>
  <si>
    <t>Derby City Childminding Network - Jacqueline Anne Berry</t>
  </si>
  <si>
    <t>EY370868</t>
  </si>
  <si>
    <t>Derby City Childminding Network - Jennifer Apaya</t>
  </si>
  <si>
    <t>Derby City Childminding Network - Jennifer Kelly</t>
  </si>
  <si>
    <t>EY477127</t>
  </si>
  <si>
    <t>Derby City Childminding Network - Judith Deakin</t>
  </si>
  <si>
    <t>Derby City Childminding Network - Julie Christine Heathcote</t>
  </si>
  <si>
    <t>Derby City Childminding Network - Joanne Margaret Shakespeare</t>
  </si>
  <si>
    <t>Derby City Childminding Network - Joanne Nolan</t>
  </si>
  <si>
    <t>JN</t>
  </si>
  <si>
    <t>Derby City Childminding Network - KA</t>
  </si>
  <si>
    <t>EY334731</t>
  </si>
  <si>
    <t>Derby City Childminding Network - Kay Walker</t>
  </si>
  <si>
    <t>Derby City Childminding Network - Kerry Jehane Derbyshire</t>
  </si>
  <si>
    <t>EY405755</t>
  </si>
  <si>
    <t>Derby City Childminding Network - Lloyd Kay Dawn</t>
  </si>
  <si>
    <t>Derby City Childminding Network - Lorraine Duthie</t>
  </si>
  <si>
    <t>Derby City Childminding Network - Lousie Michelle Griffiths</t>
  </si>
  <si>
    <t>Derby City Childminding Network - Lynnette Learmonth</t>
  </si>
  <si>
    <t>EY463605</t>
  </si>
  <si>
    <t>Derby City Childminding Network - Michelle Elizabeth Hemmings</t>
  </si>
  <si>
    <t>Derby City Childminding Network - Michelle Morrison</t>
  </si>
  <si>
    <t>EY357686</t>
  </si>
  <si>
    <t>Derby City Childminding Network - Natalie Tia Bowles</t>
  </si>
  <si>
    <t>NTB</t>
  </si>
  <si>
    <t>Derby City Childminding Network - Nicola Caroline Johnson</t>
  </si>
  <si>
    <t>EY396733</t>
  </si>
  <si>
    <t>Derby City Childminding Network - Paul Steven Massey</t>
  </si>
  <si>
    <t>EY405054</t>
  </si>
  <si>
    <t>Derby City Childminding Network - Peter Wells</t>
  </si>
  <si>
    <t>Derby City Childminding Network - Phillipa Chambers</t>
  </si>
  <si>
    <t>EY453657</t>
  </si>
  <si>
    <t>Derby City Childminding Network - Rachel Wiggins</t>
  </si>
  <si>
    <t>Derby City Childminding Network - Rebecca Anne Cotton</t>
  </si>
  <si>
    <t>EY393682</t>
  </si>
  <si>
    <t>Derby City Childminding Network - Rebecca Jane Fulleylove</t>
  </si>
  <si>
    <t>EY395288</t>
  </si>
  <si>
    <t>Derby City Childminding Network - Rebecca Sarah Wall</t>
  </si>
  <si>
    <t>Derby City Childminding Network - Rosalyn Phillips</t>
  </si>
  <si>
    <t>Derby City Childminding Network - Rosie Stevens</t>
  </si>
  <si>
    <t>Derby City Childminding Network - Samantha Anne Fisher</t>
  </si>
  <si>
    <t>EY406938</t>
  </si>
  <si>
    <t>Derby City Childminding Network - Sandra White</t>
  </si>
  <si>
    <t>Derby City Childminding Network - Sara Mycroft</t>
  </si>
  <si>
    <t>Derby City Childminding Network - Sarah Helen Cooper</t>
  </si>
  <si>
    <t>Derby City Childminding Network - Sharron Julie Taylor</t>
  </si>
  <si>
    <t>Derby City Childminding Network - Susie Catherine Vere</t>
  </si>
  <si>
    <t>Derby City Childminding Network - Suzette Louise Bryden</t>
  </si>
  <si>
    <t>Derby City Childminding Network - Susan Theresa McPhee</t>
  </si>
  <si>
    <t>Derby City Childminding Network - Tamasine Louise Ashforth</t>
  </si>
  <si>
    <t>Derby City Childminding Network - Urszula Ksiazek</t>
  </si>
  <si>
    <t>Derby City Childminding Network - Wendy Jane Wheawall</t>
  </si>
  <si>
    <t>Derby City Childminding Network - Wendy Lorraine Anne Wright</t>
  </si>
  <si>
    <t>EY464682</t>
  </si>
  <si>
    <t>Derby City Childminding Network - Zahida Parveen</t>
  </si>
  <si>
    <t>EY380277</t>
  </si>
  <si>
    <t>Derby City Childminding Network - Zena Brotherson</t>
  </si>
  <si>
    <t>Derby Montessori</t>
  </si>
  <si>
    <t>EY476012</t>
  </si>
  <si>
    <t>Derwent Stepping Stones At Brackensdale</t>
  </si>
  <si>
    <t>EY460372</t>
  </si>
  <si>
    <t>First Friends Pre School CIC</t>
  </si>
  <si>
    <t>EY475427</t>
  </si>
  <si>
    <t>Fun Time Nursery Limited</t>
  </si>
  <si>
    <t>EY478943</t>
  </si>
  <si>
    <t>ended</t>
  </si>
  <si>
    <t>Incredible Kids</t>
  </si>
  <si>
    <t>EY477956</t>
  </si>
  <si>
    <t>Little Stars</t>
  </si>
  <si>
    <t>Lord St Nursery Pre School</t>
  </si>
  <si>
    <t>EY441899</t>
  </si>
  <si>
    <t>Playcorner Nursery</t>
  </si>
  <si>
    <t>EY474393</t>
  </si>
  <si>
    <t>Pride at Arboretum</t>
  </si>
  <si>
    <t>EY461565</t>
  </si>
  <si>
    <t>Pride at Sunnyhill</t>
  </si>
  <si>
    <t>EY461568</t>
  </si>
  <si>
    <t>EY472250</t>
  </si>
  <si>
    <t>Scallywags Nursery</t>
  </si>
  <si>
    <t>EY481412</t>
  </si>
  <si>
    <t>Schools Out</t>
  </si>
  <si>
    <t>EY466991</t>
  </si>
  <si>
    <t>The Cottage Private Day Nursery Uttoxeter Road</t>
  </si>
  <si>
    <t>DE3 9AX</t>
  </si>
  <si>
    <t>TCPDNU</t>
  </si>
  <si>
    <t>WPDN</t>
  </si>
  <si>
    <t>Unallocated</t>
  </si>
  <si>
    <t>PVI Subtotal</t>
  </si>
  <si>
    <t>Summary PVI</t>
  </si>
  <si>
    <t>Dep</t>
  </si>
  <si>
    <t>Vuln</t>
  </si>
  <si>
    <r>
      <t xml:space="preserve">TOTAL FUNDING FOR EARLY YEARS SINGLE FUNDING FORMULA </t>
    </r>
    <r>
      <rPr>
        <sz val="12"/>
        <rFont val="Arial"/>
        <family val="2"/>
      </rPr>
      <t xml:space="preserve">excluding Rates* </t>
    </r>
  </si>
  <si>
    <t>Amount per Primary Pupil</t>
  </si>
  <si>
    <t>Final Data Oct 2014</t>
  </si>
  <si>
    <t>original</t>
  </si>
  <si>
    <t>change</t>
  </si>
  <si>
    <t>KS3</t>
  </si>
  <si>
    <t>KS4</t>
  </si>
  <si>
    <t>2014-15</t>
  </si>
  <si>
    <t>Change</t>
  </si>
  <si>
    <t>2014-15 Primary Net NOR</t>
  </si>
  <si>
    <t>2014-15 KS3 Net NOR</t>
  </si>
  <si>
    <t>2014-15 KS4 Net NOR</t>
  </si>
  <si>
    <t>Primary NOR change</t>
  </si>
  <si>
    <t>KS3 NOR change</t>
  </si>
  <si>
    <t>KS4 NOR change</t>
  </si>
  <si>
    <t>Al-Madinah</t>
  </si>
  <si>
    <t>New</t>
  </si>
  <si>
    <t>Total All Through School</t>
  </si>
  <si>
    <t>Total All Through</t>
  </si>
  <si>
    <t>Academies</t>
  </si>
  <si>
    <t>Landau &amp; Al Madinah</t>
  </si>
  <si>
    <t>AWPU</t>
  </si>
  <si>
    <t>Net change</t>
  </si>
  <si>
    <t>%</t>
  </si>
  <si>
    <t>Variance</t>
  </si>
  <si>
    <t>Automatic</t>
  </si>
  <si>
    <t>IMS Data after EFA cleansing</t>
  </si>
  <si>
    <t>national curriculum year group</t>
  </si>
  <si>
    <t>total
R-yr6</t>
  </si>
  <si>
    <t>total
KS3</t>
  </si>
  <si>
    <t>total
KS4</t>
  </si>
  <si>
    <t>total
pre 16</t>
  </si>
  <si>
    <t>total
post 16</t>
  </si>
  <si>
    <t>total
all pupils</t>
  </si>
  <si>
    <t>phase</t>
  </si>
  <si>
    <t>CC</t>
  </si>
  <si>
    <t>school</t>
  </si>
  <si>
    <t>R</t>
  </si>
  <si>
    <t>EFA adjusted R</t>
  </si>
  <si>
    <t>EFA Adjustment Yr 1-2</t>
  </si>
  <si>
    <t>EFA Adjustment Yr 3-6</t>
  </si>
  <si>
    <t>EFA Adjustment KS3</t>
  </si>
  <si>
    <t>EFA Adjustment KS4</t>
  </si>
  <si>
    <t>Yr 1-2</t>
  </si>
  <si>
    <t>Yr 3-6</t>
  </si>
  <si>
    <t>Post 16</t>
  </si>
  <si>
    <t>ALL Pre 16</t>
  </si>
  <si>
    <t>Al-Madinah School</t>
  </si>
  <si>
    <t>E200301</t>
  </si>
  <si>
    <t>N</t>
  </si>
  <si>
    <t>E200601</t>
  </si>
  <si>
    <t>Central Community Nursery</t>
  </si>
  <si>
    <t>da Vinci Community School</t>
  </si>
  <si>
    <t>AP</t>
  </si>
  <si>
    <t>Derby Pride Academy</t>
  </si>
  <si>
    <t>Kingsmead School</t>
  </si>
  <si>
    <t>Landau Forte Moorhead Academy</t>
  </si>
  <si>
    <t>Lees Brook Community School</t>
  </si>
  <si>
    <t>Lord Street Community Nursery</t>
  </si>
  <si>
    <t>Merrill Academy</t>
  </si>
  <si>
    <t xml:space="preserve">Newton's Walk </t>
  </si>
  <si>
    <t>Noel-Baker School</t>
  </si>
  <si>
    <t>E205001</t>
  </si>
  <si>
    <t>E205101</t>
  </si>
  <si>
    <t>E205201</t>
  </si>
  <si>
    <t>Ravensdale Infant School</t>
  </si>
  <si>
    <t>Saint Benedict A Catholic Voluntary Academy</t>
  </si>
  <si>
    <t>E206301</t>
  </si>
  <si>
    <t>E206901</t>
  </si>
  <si>
    <t>St James' Church of England (Aided) Junior School</t>
  </si>
  <si>
    <t>E207201</t>
  </si>
  <si>
    <t>St Martins School</t>
  </si>
  <si>
    <t>St Peter's Church of England (Aided) Junior School</t>
  </si>
  <si>
    <t>E207601</t>
  </si>
  <si>
    <t>St Werburgh's Church of England (Aided) Primary School</t>
  </si>
  <si>
    <t>Kingsmead PRU</t>
  </si>
  <si>
    <t>Whitecross Nursery School</t>
  </si>
  <si>
    <t>total</t>
  </si>
  <si>
    <t>Includes "current" and "main" registered pupils only</t>
  </si>
  <si>
    <t>no. of</t>
  </si>
  <si>
    <t>EFA Adjustment Yr 2-5</t>
  </si>
  <si>
    <t>Yr 1</t>
  </si>
  <si>
    <t>Yr 2-5</t>
  </si>
  <si>
    <t>All through</t>
  </si>
  <si>
    <t>Special</t>
  </si>
  <si>
    <t>PRU</t>
  </si>
  <si>
    <t>Less Nursery Reception</t>
  </si>
  <si>
    <t>Les Special</t>
  </si>
  <si>
    <t>Less PRU</t>
  </si>
  <si>
    <t>Schools Block</t>
  </si>
  <si>
    <t>All data columns updated for final EFA Data Dec 2013</t>
  </si>
  <si>
    <t>Primary excl HN</t>
  </si>
  <si>
    <t>Secondary exc HN</t>
  </si>
  <si>
    <t>Ever6_Pri</t>
  </si>
  <si>
    <t>Ever6_sec</t>
  </si>
  <si>
    <t>Primary FSM Ever 6</t>
  </si>
  <si>
    <t>Secondary FSM Ever 6</t>
  </si>
  <si>
    <t>Primary IDACI Band 1 0.2 - 0.25</t>
  </si>
  <si>
    <t>Secondary IDACI Band 1 0.2 - 0.25</t>
  </si>
  <si>
    <t>Primary IDACI Band 2 0.25 - 0.3</t>
  </si>
  <si>
    <t>Secondary IDACI Band 2 0.25 - 0.3</t>
  </si>
  <si>
    <t>Primary IDACI Band 3 0.3 - 0.4</t>
  </si>
  <si>
    <t>Secondary IDACI Band 3 0.3 - 0.4</t>
  </si>
  <si>
    <t>Primary IDACI Band 4 0.4 - 0.5</t>
  </si>
  <si>
    <t>Secondary IDACI Band 4 0.4 - 0.5</t>
  </si>
  <si>
    <t>Primary IDACI Band 5 0.5 - 0.6</t>
  </si>
  <si>
    <t>Secondary IDACI Band 5 0.5 - 0.6</t>
  </si>
  <si>
    <t>Primary IDACI Band 6 0.6 -1.0</t>
  </si>
  <si>
    <t>Secondary IDACI Band 6 0.6 -1.0</t>
  </si>
  <si>
    <t>Primary EAL 3</t>
  </si>
  <si>
    <t>Secondary EAL 3</t>
  </si>
  <si>
    <t>Primary Mobility</t>
  </si>
  <si>
    <t>Secondary Mobility</t>
  </si>
  <si>
    <t>Primary Threshold Calc</t>
  </si>
  <si>
    <t>Secondary Threshold Calc</t>
  </si>
  <si>
    <t>LAC any</t>
  </si>
  <si>
    <t>LAC 6</t>
  </si>
  <si>
    <t>Secondary Low Prior Attainment</t>
  </si>
  <si>
    <t>Breadsall Hill Top Junior School</t>
  </si>
  <si>
    <t>Grampian Primary School</t>
  </si>
  <si>
    <t>Moorhead Primary Academy</t>
  </si>
  <si>
    <t>City of Derby / Sinfin Community School</t>
  </si>
  <si>
    <t>Sinfin Primary School</t>
  </si>
  <si>
    <t>Woodlands School</t>
  </si>
  <si>
    <t>Derby LA Schools &amp; Recoupment Academies</t>
  </si>
  <si>
    <t>Previous version used before final data known</t>
  </si>
  <si>
    <t>Deprivation Factor</t>
  </si>
  <si>
    <t>Amount per primary pupil £</t>
  </si>
  <si>
    <t>Final data Oct 2014</t>
  </si>
  <si>
    <t xml:space="preserve">FSM Ever 6 </t>
  </si>
  <si>
    <t>Primary Deprivation based on FSM Ever 6 £</t>
  </si>
  <si>
    <t>Secondary Deprivation based on FSM Ever 6 £</t>
  </si>
  <si>
    <t>Primary Deprivation based on IDACI £</t>
  </si>
  <si>
    <t>Secondary Deprivation based on IDACI £</t>
  </si>
  <si>
    <t>2) Total Deprivation based on FSM Ever6 &amp; IDACI  £</t>
  </si>
  <si>
    <t>Sinfin Community School</t>
  </si>
  <si>
    <t>The Bemrose School Primary</t>
  </si>
  <si>
    <t>The Bemrose School Secondary</t>
  </si>
  <si>
    <t>Unts</t>
  </si>
  <si>
    <t>Prim</t>
  </si>
  <si>
    <t>Sec</t>
  </si>
  <si>
    <t>Idaci 1</t>
  </si>
  <si>
    <t>Idaci 2</t>
  </si>
  <si>
    <t>Idaci 3</t>
  </si>
  <si>
    <t>Idaci 4</t>
  </si>
  <si>
    <t>Idaci 5</t>
  </si>
  <si>
    <t>Idaci 6</t>
  </si>
  <si>
    <t>ok</t>
  </si>
  <si>
    <t>LAC numbers</t>
  </si>
  <si>
    <t>3) Looked After Children (LAC) £</t>
  </si>
  <si>
    <t>Units</t>
  </si>
  <si>
    <t>LCHI SEN - Number of Secondary pupils not achieving Level 4 in English or Maths</t>
  </si>
  <si>
    <t>4) Low cost, high incidence SEN £</t>
  </si>
  <si>
    <t>Balances to APT when Al Madinah secondary is adjusted</t>
  </si>
  <si>
    <t>Primary EAL 3 pupil numbers</t>
  </si>
  <si>
    <t>Secondary EAL 3 pupil numbers</t>
  </si>
  <si>
    <t>Primary English as an Additional Language £</t>
  </si>
  <si>
    <t>Secondary English as an Additional Language £</t>
  </si>
  <si>
    <t>5) English as an Additional Language £</t>
  </si>
  <si>
    <t>Balances to APT wihout Al Madinah &amp; Breadsall</t>
  </si>
  <si>
    <t>Primary Mobility £</t>
  </si>
  <si>
    <t>Secondary Mobility £</t>
  </si>
  <si>
    <t>6) Mobility £</t>
  </si>
  <si>
    <t>reduce to zero as none in Oct 2013</t>
  </si>
  <si>
    <t>reduce to zero next year as none in Oct 2013 or Oct 2014</t>
  </si>
  <si>
    <t>reduced to zero as none in Oct 2013</t>
  </si>
  <si>
    <t>City of Derby (was Sinfin Community School)</t>
  </si>
  <si>
    <t>Reason for adjustments</t>
  </si>
  <si>
    <t>Became academy adjust %</t>
  </si>
  <si>
    <t>Grampian</t>
  </si>
  <si>
    <t>Merrill</t>
  </si>
  <si>
    <t>Merged school adjust %</t>
  </si>
  <si>
    <t>Breadsall Hilltop</t>
  </si>
  <si>
    <t>City of Derby</t>
  </si>
  <si>
    <t>Bishop</t>
  </si>
  <si>
    <t>APT</t>
  </si>
  <si>
    <t>Amount per primary school £</t>
  </si>
  <si>
    <t>Amount per secondary school £</t>
  </si>
  <si>
    <t>7) Lump Sum £</t>
  </si>
  <si>
    <t>Down as a secondary school in APT in error</t>
  </si>
  <si>
    <t>Correct</t>
  </si>
  <si>
    <t>8) Split Site £</t>
  </si>
  <si>
    <t>10) PFI Funding £</t>
  </si>
  <si>
    <t>For APT</t>
  </si>
  <si>
    <t>9) Total Rates £</t>
  </si>
  <si>
    <t>2014-15 Adj</t>
  </si>
  <si>
    <t>2013-14 Adj</t>
  </si>
  <si>
    <t>2012-13 School</t>
  </si>
  <si>
    <t>2012-13 LA</t>
  </si>
  <si>
    <t>2011-12</t>
  </si>
  <si>
    <t>2010-11</t>
  </si>
  <si>
    <t>2015-16</t>
  </si>
  <si>
    <t>8311014</t>
  </si>
  <si>
    <t>8311017</t>
  </si>
  <si>
    <t>8311006</t>
  </si>
  <si>
    <t>8311008</t>
  </si>
  <si>
    <t>8311005</t>
  </si>
  <si>
    <t>8311010</t>
  </si>
  <si>
    <t>8311009</t>
  </si>
  <si>
    <t>8311015</t>
  </si>
  <si>
    <t>8312400</t>
  </si>
  <si>
    <t>8312443</t>
  </si>
  <si>
    <t>8312442</t>
  </si>
  <si>
    <t>8312629</t>
  </si>
  <si>
    <t>8312509</t>
  </si>
  <si>
    <t>8312005</t>
  </si>
  <si>
    <t>8312464</t>
  </si>
  <si>
    <t>8312004</t>
  </si>
  <si>
    <t>8312405</t>
  </si>
  <si>
    <t>8313525</t>
  </si>
  <si>
    <t>Non DCC Academy from 01/06/2014</t>
  </si>
  <si>
    <t>8315201</t>
  </si>
  <si>
    <t>8312007</t>
  </si>
  <si>
    <t>Non DCC Academy from 01/09/2012</t>
  </si>
  <si>
    <t>8312433</t>
  </si>
  <si>
    <t>8312432</t>
  </si>
  <si>
    <t>8312447</t>
  </si>
  <si>
    <t>8312512</t>
  </si>
  <si>
    <t>8312456</t>
  </si>
  <si>
    <t>8312449</t>
  </si>
  <si>
    <t>8312448</t>
  </si>
  <si>
    <t>8312467</t>
  </si>
  <si>
    <t>8312455</t>
  </si>
  <si>
    <t>8315203</t>
  </si>
  <si>
    <t>Bank Account school from at least 01/04/2009</t>
  </si>
  <si>
    <t>8312451</t>
  </si>
  <si>
    <t>8312409</t>
  </si>
  <si>
    <t>8313158</t>
  </si>
  <si>
    <t>8312619</t>
  </si>
  <si>
    <t>8312518</t>
  </si>
  <si>
    <t>8312457</t>
  </si>
  <si>
    <t>8312010</t>
  </si>
  <si>
    <t>Non DCC Academy from 01/12/2012</t>
  </si>
  <si>
    <t>8312002</t>
  </si>
  <si>
    <t>8313544</t>
  </si>
  <si>
    <t>8312006</t>
  </si>
  <si>
    <t>8312434</t>
  </si>
  <si>
    <t>8312522</t>
  </si>
  <si>
    <t>8312436</t>
  </si>
  <si>
    <t>8312452</t>
  </si>
  <si>
    <t>8312627</t>
  </si>
  <si>
    <t>8312009</t>
  </si>
  <si>
    <t>8312473</t>
  </si>
  <si>
    <t>8312471</t>
  </si>
  <si>
    <t>8312420</t>
  </si>
  <si>
    <t>8312003</t>
  </si>
  <si>
    <t>Walter Evans Church of England Aided Primary Schoo</t>
  </si>
  <si>
    <t>8312423</t>
  </si>
  <si>
    <t>8312424</t>
  </si>
  <si>
    <t>8312439</t>
  </si>
  <si>
    <t>8312440</t>
  </si>
  <si>
    <t>8312462</t>
  </si>
  <si>
    <t>St Alban's Catholic Primary School, Chaddesden, De</t>
  </si>
  <si>
    <t>8312463</t>
  </si>
  <si>
    <t>8312505</t>
  </si>
  <si>
    <t>8312000</t>
  </si>
  <si>
    <t>Ridgeway Infant School orange = school, Blue = LA</t>
  </si>
  <si>
    <t>8312458</t>
  </si>
  <si>
    <t>Bank Account school from 01/04/2013</t>
  </si>
  <si>
    <t>8312001</t>
  </si>
  <si>
    <t>8312429</t>
  </si>
  <si>
    <t>8312444</t>
  </si>
  <si>
    <t>8315209</t>
  </si>
  <si>
    <t>8312469</t>
  </si>
  <si>
    <t>8312430</t>
  </si>
  <si>
    <t>8312466</t>
  </si>
  <si>
    <t>8313543</t>
  </si>
  <si>
    <t>8313531</t>
  </si>
  <si>
    <t>St John Fisher Primary Academy</t>
  </si>
  <si>
    <t>8313526</t>
  </si>
  <si>
    <t>8313535</t>
  </si>
  <si>
    <t>8312008</t>
  </si>
  <si>
    <t>St Georgeâs Catholic Voluntary Academy</t>
  </si>
  <si>
    <t>8313542</t>
  </si>
  <si>
    <t>8313528</t>
  </si>
  <si>
    <t>8313534</t>
  </si>
  <si>
    <t>8313532</t>
  </si>
  <si>
    <t>Saint Bendict CVA</t>
  </si>
  <si>
    <t>8313546</t>
  </si>
  <si>
    <t>Bank Account school from 01/04/2012</t>
  </si>
  <si>
    <t>8313530</t>
  </si>
  <si>
    <t>8312459</t>
  </si>
  <si>
    <t>KS1-2 PRU Newton's Walk</t>
  </si>
  <si>
    <t>8314000</t>
  </si>
  <si>
    <t>Breadsall Hilltop Primary School</t>
  </si>
  <si>
    <t>Bishop Lonsdale Church of England Aided Primary Sc</t>
  </si>
  <si>
    <t>8315402</t>
  </si>
  <si>
    <t>Non DCC Academy from 01/12/2010 &amp; Prior to that Bank Account School from at least 01/04/2009</t>
  </si>
  <si>
    <t>8314608</t>
  </si>
  <si>
    <t>8314178</t>
  </si>
  <si>
    <t>Bank Account school from 01/04/2010</t>
  </si>
  <si>
    <t>Non DCC Free AP Academy</t>
  </si>
  <si>
    <t>KS3-4 PRU Kingsmead</t>
  </si>
  <si>
    <t>8316905</t>
  </si>
  <si>
    <t>Non DCC NR Academy</t>
  </si>
  <si>
    <t>8314181</t>
  </si>
  <si>
    <t>Non DCC Academy from 01/09/2011</t>
  </si>
  <si>
    <t>8314182</t>
  </si>
  <si>
    <t>8314001</t>
  </si>
  <si>
    <t>Non DCC Academy from 01/01/2013 &amp; Prior to that Bank Account School from at least 01/04/2009</t>
  </si>
  <si>
    <t>8315406</t>
  </si>
  <si>
    <t>Bank Account School from at least 01/04/2009</t>
  </si>
  <si>
    <t>8315407</t>
  </si>
  <si>
    <t>8314607</t>
  </si>
  <si>
    <t xml:space="preserve">Non DCC Academy from 01/09/2012 </t>
  </si>
  <si>
    <t>The City of Derby Academy (was Sinfin Community School)</t>
  </si>
  <si>
    <t>8314002</t>
  </si>
  <si>
    <t>Non DCC Academy from 01/06/2013</t>
  </si>
  <si>
    <t>8315412</t>
  </si>
  <si>
    <t>Non DCC Academy from 01/04/2011 &amp; Prior to that Bank Account School from at least 01/04/2009</t>
  </si>
  <si>
    <t>8315414</t>
  </si>
  <si>
    <t>Non Academy DCC from 01/03/2012 and Bank Account School from at least 01/04/2009</t>
  </si>
  <si>
    <t>8314177</t>
  </si>
  <si>
    <t>Schools Block excludes Nurseries &amp; PRU</t>
  </si>
  <si>
    <t>133. Some formula factors (for example, rates and PFI) may be based on actual cost and these costs can change after budgets have been determined. Authorities are no longer allowed to change delegated budgets in-year, and so in these situations, the adjustments relating to that year should be made retrospectively to the following year’s budget. Authorities would need to notify the EFA of any changes relating to academies (other than for rates) so that they can apply similar adjustments if necessary. For rates, authorities can if they wish announce that rates will be funded on actuals and handle payments for maintained schools centrally where they have done so previously; the effect of the adjustment would then be carried forward to the following year’s DSG. Recoupment for rates will continue to be based on the amounts for which academies have actually been invoiced.</t>
  </si>
  <si>
    <t>Less Other Exclusions</t>
  </si>
  <si>
    <t>MFG Protected Level</t>
  </si>
  <si>
    <t>2015/16 NOR</t>
  </si>
  <si>
    <t>Less 2015-16 Rates</t>
  </si>
  <si>
    <t>MFG + No CAP</t>
  </si>
  <si>
    <t>Guaranteed Level of funding</t>
  </si>
  <si>
    <t>0% = Full Cap</t>
  </si>
  <si>
    <t>0.5% CAP</t>
  </si>
  <si>
    <t>1% CAP</t>
  </si>
  <si>
    <t>1.5% CAP</t>
  </si>
  <si>
    <t>2% CAP</t>
  </si>
  <si>
    <t>No CAP</t>
  </si>
  <si>
    <t>No cap = Gainers</t>
  </si>
  <si>
    <t>no mfg or cap</t>
  </si>
  <si>
    <t>Updated for Oct 2014 NOR</t>
  </si>
  <si>
    <t>Updated for Allenton Academy Jan 2015</t>
  </si>
  <si>
    <t>De-delegated Budget</t>
  </si>
  <si>
    <t>New academy</t>
  </si>
  <si>
    <t>Free School</t>
  </si>
  <si>
    <t>Non Receoupment Academy</t>
  </si>
  <si>
    <t>Non Maintained</t>
  </si>
  <si>
    <t>Just maintained</t>
  </si>
  <si>
    <t>Updated</t>
  </si>
  <si>
    <t>De-Delegation Summary 2015-16</t>
  </si>
  <si>
    <t>Increase</t>
  </si>
  <si>
    <t>Staff Costs Supply - Maternity £18.33 &amp; Trade Union £2.81</t>
  </si>
  <si>
    <t>Bemrose classed as Secondary</t>
  </si>
  <si>
    <t>Pending</t>
  </si>
  <si>
    <t>New Academy pooling</t>
  </si>
  <si>
    <t>Behaviour Support - Secondary Hard to Place &amp; Support for Inclusion</t>
  </si>
  <si>
    <t>Actual 2014-15</t>
  </si>
  <si>
    <t>De-Delegation Summary if same Rates per pupil  as 2014-15</t>
  </si>
  <si>
    <t>Amount £</t>
  </si>
  <si>
    <t>NOR Oct 13</t>
  </si>
  <si>
    <t>Support Inclusion</t>
  </si>
  <si>
    <t>bemrose is secondary for all pupils</t>
  </si>
  <si>
    <t>Proposed Schools Forum Feb 2015</t>
  </si>
  <si>
    <t>2014-15 Notional SEN</t>
  </si>
  <si>
    <t>2015-16 Notional SEN</t>
  </si>
  <si>
    <t>Primary NOR</t>
  </si>
  <si>
    <t>KS3 NOR</t>
  </si>
  <si>
    <t>KS4 NOR</t>
  </si>
  <si>
    <t>NSEN AWPU</t>
  </si>
  <si>
    <t>NSEN DEP</t>
  </si>
  <si>
    <t>LAC</t>
  </si>
  <si>
    <t>NSEN LAC</t>
  </si>
  <si>
    <t>LCHI SEN</t>
  </si>
  <si>
    <t>NSEN LCHI SEN</t>
  </si>
  <si>
    <t>NSEN EAL</t>
  </si>
  <si>
    <t>Mobility</t>
  </si>
  <si>
    <t>NSEN Mobility</t>
  </si>
  <si>
    <t>Total Notional SEN</t>
  </si>
  <si>
    <t>Per APT</t>
  </si>
  <si>
    <t>Primary Pupil</t>
  </si>
  <si>
    <t>2014-15 Level NSEN</t>
  </si>
  <si>
    <t>KS3 Pupil</t>
  </si>
  <si>
    <t>Al Madinah &amp; Landau Forte</t>
  </si>
  <si>
    <t>KS4 Pupil</t>
  </si>
  <si>
    <t>Pupil Numbers / Factor increase</t>
  </si>
  <si>
    <t>2015-16 Level NSEN</t>
  </si>
  <si>
    <t>No Cap</t>
  </si>
  <si>
    <t>De-delegation tbc</t>
  </si>
  <si>
    <t xml:space="preserve">TA &amp; OOC TA Hours </t>
  </si>
  <si>
    <t>Schools with Nurseries</t>
  </si>
  <si>
    <t>Lookup</t>
  </si>
  <si>
    <t>New Academy - no delegation</t>
  </si>
  <si>
    <t>2012 new number</t>
  </si>
  <si>
    <t>2011 new number</t>
  </si>
  <si>
    <t>ALL School Block</t>
  </si>
  <si>
    <t>Excluding Landau &amp; Al Madinah</t>
  </si>
  <si>
    <t>Exlcuding Al Madinah</t>
  </si>
  <si>
    <t>For comparison Final APT 2014-15</t>
  </si>
  <si>
    <t>Less Amalgamated Lsum</t>
  </si>
  <si>
    <t>Bemrose Primary change</t>
  </si>
  <si>
    <t>Noel Baker PFI</t>
  </si>
  <si>
    <t>1.5% reduction MFG + CAP removal</t>
  </si>
  <si>
    <t>Add Landau</t>
  </si>
  <si>
    <t>Add Al-Madinah</t>
  </si>
  <si>
    <t>Before change</t>
  </si>
  <si>
    <t>Baseline</t>
  </si>
  <si>
    <t>APT recoupment</t>
  </si>
  <si>
    <t>link to tabs</t>
  </si>
  <si>
    <t>variance</t>
  </si>
  <si>
    <t>New APT</t>
  </si>
  <si>
    <t>Adjustments made:</t>
  </si>
  <si>
    <t>Bemrose Primary numbers</t>
  </si>
  <si>
    <t>Reason</t>
  </si>
  <si>
    <t>Adjustment to Mobility for schools changing status</t>
  </si>
  <si>
    <t>Rates, removal prior year arge adustments (as shouldn't be many)</t>
  </si>
  <si>
    <t>MFG &amp; CAP (per APT)</t>
  </si>
  <si>
    <t>Add Al Madinah</t>
  </si>
  <si>
    <t>PVI Nursery</t>
  </si>
  <si>
    <t>Stand Alone Nursery</t>
  </si>
  <si>
    <t>Total ALL</t>
  </si>
  <si>
    <t>High Needs</t>
  </si>
  <si>
    <t>Academies &amp; other non maintained Schools - to be confirmed</t>
  </si>
  <si>
    <t>FSM E6</t>
  </si>
  <si>
    <t>IDACI 1</t>
  </si>
  <si>
    <t>IDACI 2</t>
  </si>
  <si>
    <t>IDACI 3</t>
  </si>
  <si>
    <t>IDACI 4</t>
  </si>
  <si>
    <t>IDACI 5</t>
  </si>
  <si>
    <t>IDACI 6</t>
  </si>
  <si>
    <t>Adj</t>
  </si>
  <si>
    <t>Schools Block Total excluding Rates</t>
  </si>
  <si>
    <t>School Budget INCLUDING Early Years, Schools Block and High Needs (excl other LA Top up), KS1 Class Factor, Contingency, &amp; INCLUDING RATES</t>
  </si>
  <si>
    <t>School Budget INCLUDING Early Years, Schools Block and High Needs (excl other LA Top up), KS1 Class Factor, Contingency, &amp; EXCLUDING RATES</t>
  </si>
  <si>
    <t>School Budget INCLUDING Early Years, Schools Block and High Needs (excl other LA Top up), KS1 Class Factor, Contingency, &amp; EXCLUDING RATES &amp; Sixth Form</t>
  </si>
  <si>
    <t>School Budget INCLUDING Early Years, Schools Block and High Needs (excl other LA Top up), KS1 Class Factor, Contingency, &amp; INCLUDING RATES, &amp; excluding Sixth form</t>
  </si>
  <si>
    <t>Derby City Childminding Network - SCV</t>
  </si>
  <si>
    <t>Derby City Childminding Network - AK</t>
  </si>
  <si>
    <t>Derby City Childminding Network - BGW</t>
  </si>
  <si>
    <t>Derby City Childminding Network - CT</t>
  </si>
  <si>
    <t>Derby City Childminding Network - DG</t>
  </si>
  <si>
    <t>Derby City Childminding Network - ELS</t>
  </si>
  <si>
    <t>Derby City Childminding Network - GRH</t>
  </si>
  <si>
    <t>Derby City Childminding Network - HMS</t>
  </si>
  <si>
    <t>Derby City Childminding Network - HGS</t>
  </si>
  <si>
    <t>Derby City Childminding Network - JAB</t>
  </si>
  <si>
    <t>Derby City Childminding Network - JK</t>
  </si>
  <si>
    <t>Derby City Childminding Network - JN</t>
  </si>
  <si>
    <t>Derby City Childminding Network - JD</t>
  </si>
  <si>
    <t>Derby City Childminding Network - JCH</t>
  </si>
  <si>
    <t>Derby City Childminding Network - KJD</t>
  </si>
  <si>
    <t>Derby City Childminding Network - LB</t>
  </si>
  <si>
    <t>Derby City Childminding Network - LD</t>
  </si>
  <si>
    <t>Derby City Childminding Network - LMG</t>
  </si>
  <si>
    <t>Derby City Childminding Network - LL</t>
  </si>
  <si>
    <t>Derby City Childminding Network - MEH</t>
  </si>
  <si>
    <t>Derby City Childminding Network - MM</t>
  </si>
  <si>
    <t>Derby City Childminding Network - NTB</t>
  </si>
  <si>
    <t>Derby City Childminding Network - NCJ</t>
  </si>
  <si>
    <t>Derby City Childminding Network - PSM</t>
  </si>
  <si>
    <t>Derby City Childminding Network - PC</t>
  </si>
  <si>
    <t>Derby City Childminding Network - RS</t>
  </si>
  <si>
    <t>Derby City Childminding Network - SAF</t>
  </si>
  <si>
    <t>Derby City Childminding Network - UK</t>
  </si>
  <si>
    <t>Derby City Childminding Network - AJA</t>
  </si>
  <si>
    <t>Derby City Childminding Network - RAC</t>
  </si>
  <si>
    <t>Derby City Childminding Network - RJF</t>
  </si>
  <si>
    <t>Derby City Childminding Network - WLAW</t>
  </si>
  <si>
    <t>Derby City Childminding Network - ZP</t>
  </si>
  <si>
    <t>Derby City Childminding Network - SW</t>
  </si>
  <si>
    <t>Derby City Childminding Network - SHC</t>
  </si>
  <si>
    <t>De-delegation - see separate breakdown</t>
  </si>
  <si>
    <t>Prim Net NOR</t>
  </si>
  <si>
    <t>Sec Net NOR</t>
  </si>
  <si>
    <t>Behaviour Support - Secondary Hard to Place &amp; Support to Inclusion</t>
  </si>
  <si>
    <t>Pre 16</t>
  </si>
  <si>
    <t>Top up</t>
  </si>
  <si>
    <t>Derby City Childminding Network - STM</t>
  </si>
  <si>
    <t>KS1-2</t>
  </si>
  <si>
    <t>KS3-4</t>
  </si>
  <si>
    <t>Graduate Leader (per application process)</t>
  </si>
  <si>
    <t>Names</t>
  </si>
  <si>
    <t>Akaal Primary School</t>
  </si>
  <si>
    <t>New Free School 2015/16</t>
  </si>
  <si>
    <t>pending academy</t>
  </si>
  <si>
    <t>Reigate Park Primary School</t>
  </si>
  <si>
    <t>Pending Academy</t>
  </si>
  <si>
    <t>Derby Manufacturing UTC</t>
  </si>
  <si>
    <t>Proposed Schools Forum 2016</t>
  </si>
  <si>
    <t>2016-17</t>
  </si>
  <si>
    <t>increase by</t>
  </si>
  <si>
    <t>add £0.94 to balance?</t>
  </si>
  <si>
    <t>FSM - tbc</t>
  </si>
  <si>
    <t>add £2.63 to balance?</t>
  </si>
  <si>
    <r>
      <t xml:space="preserve">Support UAG and Bilingual - </t>
    </r>
    <r>
      <rPr>
        <sz val="10"/>
        <color rgb="FFFF0000"/>
        <rFont val="Arial"/>
        <family val="2"/>
      </rPr>
      <t>Language centre funded differently</t>
    </r>
  </si>
  <si>
    <t>decrease - no longer providing??</t>
  </si>
  <si>
    <t>Behaviour Support - KS1-2 PRU, Secondary Hard to Place &amp; Support for Inclusion</t>
  </si>
  <si>
    <t>changed as removed QSP</t>
  </si>
  <si>
    <t>Museums  tbc</t>
  </si>
  <si>
    <t>8312014</t>
  </si>
  <si>
    <t>2015/16 Funding (before De-delegation)</t>
  </si>
  <si>
    <t>Less 2016/17 Lump Sum + 2015-16 amalgamating lump sum</t>
  </si>
  <si>
    <t>Net Funding for 2015/16</t>
  </si>
  <si>
    <t>2015-16 MFG Baseline per Pupil to agree to APT</t>
  </si>
  <si>
    <t>2016/17 NOR</t>
  </si>
  <si>
    <t>2016/17 Funding Exc MFG</t>
  </si>
  <si>
    <t>Less 2016-17 Rates</t>
  </si>
  <si>
    <t xml:space="preserve">Less 2016/17 Lump Sum inc amalgamating </t>
  </si>
  <si>
    <t>Net 2016/17 Funding</t>
  </si>
  <si>
    <t>2016-17 Base Funding per Pupil to agree to APT</t>
  </si>
  <si>
    <t>based on 2015+2%</t>
  </si>
  <si>
    <t>Changes done in 2015 FY</t>
  </si>
  <si>
    <t>Rates 16-17</t>
  </si>
  <si>
    <t>rates 15-16 adj</t>
  </si>
  <si>
    <t>2015-16 Adj</t>
  </si>
  <si>
    <t>closed</t>
  </si>
  <si>
    <t>Derby Manufactuing UTC</t>
  </si>
  <si>
    <t>Non DCC Free School - School has rates relief - bill for Sept to March 2016 = £14,775.</t>
  </si>
  <si>
    <t>Inflation</t>
  </si>
  <si>
    <t>Allocate Secondary lump sum allocation for an all through school</t>
  </si>
  <si>
    <t>reduced to zero as none in Oct 2013, change is only due to change of school status - 55% still seems too high a figure</t>
  </si>
  <si>
    <t>Allenton</t>
  </si>
  <si>
    <t>Derby Manufacturing College UTC</t>
  </si>
  <si>
    <t>Derby Manufacturign UTC</t>
  </si>
  <si>
    <t>AWPU Adjustment figure</t>
  </si>
  <si>
    <t>NOR</t>
  </si>
  <si>
    <t>before AWPU added</t>
  </si>
  <si>
    <t>2015-16 AWPU</t>
  </si>
  <si>
    <t xml:space="preserve">2016-17 Rates inflated by 2% &amp; 15-16 adjustments £ </t>
  </si>
  <si>
    <t>Schools with Nurseries excl Rates, TA, ERS</t>
  </si>
  <si>
    <t>AWPU before change</t>
  </si>
  <si>
    <t>MFG before change</t>
  </si>
  <si>
    <t>Budget before De-delegation before change</t>
  </si>
  <si>
    <t>New Free School - no delegation</t>
  </si>
  <si>
    <t>2015-16 final value</t>
  </si>
  <si>
    <t>2016-17 value before changes made</t>
  </si>
  <si>
    <t>Available funding from automatic MFG 1.5% reduction</t>
  </si>
  <si>
    <t>Sub Total Schools</t>
  </si>
  <si>
    <t>PVI Quality Factor</t>
  </si>
  <si>
    <t>Schools &amp; PVI</t>
  </si>
  <si>
    <t>Stand Alone Rates</t>
  </si>
  <si>
    <t>Stand Alone TA Hours</t>
  </si>
  <si>
    <t>Stand Alone ERS</t>
  </si>
  <si>
    <t>Total Nursery incl HN's</t>
  </si>
  <si>
    <t>2016-17 before any changes</t>
  </si>
  <si>
    <t>All Through</t>
  </si>
  <si>
    <t>For comparison Final APT 2015-16</t>
  </si>
  <si>
    <t>If left as 2015-16 values and FTE</t>
  </si>
  <si>
    <t>2016-17 after any changes</t>
  </si>
  <si>
    <t>2016-17 APT</t>
  </si>
  <si>
    <t>Before Akaal</t>
  </si>
  <si>
    <t>Akaal</t>
  </si>
  <si>
    <t>checked to formula</t>
  </si>
  <si>
    <t xml:space="preserve">Before </t>
  </si>
  <si>
    <t>Cheeky Monkeys Childcare</t>
  </si>
  <si>
    <t>Derby City Childminding Network - AM</t>
  </si>
  <si>
    <t>Derby City Childminding Network - ALB</t>
  </si>
  <si>
    <t>Derby City Childminding Network - BS</t>
  </si>
  <si>
    <t>Derby City Childminding Network - CLW</t>
  </si>
  <si>
    <t>Derby City Childminding Network - ECA</t>
  </si>
  <si>
    <t>Derby City Childminding Network - FJM</t>
  </si>
  <si>
    <t>Derby City Childminding Network - JTM</t>
  </si>
  <si>
    <t>Derby City Childminding Network - LS</t>
  </si>
  <si>
    <t>Derby City Childminding Network - LM</t>
  </si>
  <si>
    <t>Derby City Childminding Network - LO</t>
  </si>
  <si>
    <t>Derby City Childminding Network - REE</t>
  </si>
  <si>
    <t>Derby City Childminding Network - RLB</t>
  </si>
  <si>
    <t>Derby City Childminding Network - YW</t>
  </si>
  <si>
    <t>Derby City Childminding Network - ZH</t>
  </si>
  <si>
    <t>Derwent Little Learners (only does 2 year old)</t>
  </si>
  <si>
    <t xml:space="preserve">Derwent Stepping Stones At Beaufort </t>
  </si>
  <si>
    <t>Beaufort</t>
  </si>
  <si>
    <t>Derwent Stepping Stones At Bramblebrook</t>
  </si>
  <si>
    <t xml:space="preserve">Derwent Stepping Stones At Reigate </t>
  </si>
  <si>
    <t>Little Explorers at Breadsall Hilltop</t>
  </si>
  <si>
    <t>Little Owls Playgroup</t>
  </si>
  <si>
    <t>Osmaston Family Project</t>
  </si>
  <si>
    <t>Sunny Days Nursery</t>
  </si>
  <si>
    <t>Twinkling Stars Care And Education Ltd</t>
  </si>
  <si>
    <t>Walbrook Nursery 2 year olds only</t>
  </si>
  <si>
    <t>Derby City Childminding Network - CO</t>
  </si>
  <si>
    <t>Derby City Childminding Network - CLH</t>
  </si>
  <si>
    <t xml:space="preserve">Balances to APT </t>
  </si>
  <si>
    <t>Adjustments - based on 85%</t>
  </si>
  <si>
    <t>Including Previous Non Recoupment Schools</t>
  </si>
  <si>
    <t>copy from mobility AS &amp; AT</t>
  </si>
  <si>
    <t>Special School Estimates 2016-2017 (at 2015-16 banding rates</t>
  </si>
  <si>
    <t>Other Adjustments</t>
  </si>
  <si>
    <t>Early Years Single Formula 2016-17</t>
  </si>
  <si>
    <t>6% increase PVI</t>
  </si>
  <si>
    <t>update</t>
  </si>
  <si>
    <t>same</t>
  </si>
  <si>
    <t>CONFIRMATION FROM ALISON RE: PVI HOURLY RATES</t>
  </si>
  <si>
    <t>3% increase schools</t>
  </si>
  <si>
    <t>based on 2015/16 actual at Autumn Term pro rata for estimated hours change</t>
  </si>
  <si>
    <t>Est Summer</t>
  </si>
  <si>
    <t>Est Autumn</t>
  </si>
  <si>
    <t>Derby City Childminding Network - Abderrahmane Morchid</t>
  </si>
  <si>
    <t>Derby City Childminding Network - Andrea Louise Banyard</t>
  </si>
  <si>
    <t>Derby City Childminding Network - Bally Sanghera</t>
  </si>
  <si>
    <t>Derby City Childminding Network - Claire Louise Winfield</t>
  </si>
  <si>
    <t>Derby City Childminding Network - Emilie Celine Astley</t>
  </si>
  <si>
    <t>Derby City Childminding Network - Fiona Jean Meek</t>
  </si>
  <si>
    <t xml:space="preserve">Derby City Childminding Network - Joanne Tracy Mycroft </t>
  </si>
  <si>
    <t>Derby City Childminding Network - Rachel Leandre Blount</t>
  </si>
  <si>
    <t>Derby City Childminding Network - Leanne Stevenson</t>
  </si>
  <si>
    <t>Derby City Childminding Network - Lilian Mazengo</t>
  </si>
  <si>
    <t xml:space="preserve">Derby City Childminding Network - Louanna Oliver </t>
  </si>
  <si>
    <t>Derby City Childminding Network - Rachel Elizabeth Eagles</t>
  </si>
  <si>
    <t>Derby City Childminding Network - Stella Louise Bayliss</t>
  </si>
  <si>
    <t>Derby City Childminding Network - Yolande Wosik</t>
  </si>
  <si>
    <t>Derby City Childminding Network - Zarida Hussain</t>
  </si>
  <si>
    <t>PVI 6% costs</t>
  </si>
  <si>
    <t>Schools 3% costs</t>
  </si>
  <si>
    <t>updated</t>
  </si>
  <si>
    <t>Stand Alone Rates 2016-17 &amp; 2015-16 adj</t>
  </si>
  <si>
    <t>Derby City Childminding Network - C</t>
  </si>
  <si>
    <t>Derby City Childminding Network - K</t>
  </si>
  <si>
    <t>Derby City Childminding Network - WLW</t>
  </si>
  <si>
    <t>Ivy House</t>
  </si>
  <si>
    <t>St Andrews</t>
  </si>
  <si>
    <t>St Clares</t>
  </si>
  <si>
    <t>St Giles</t>
  </si>
  <si>
    <t>St Martins</t>
  </si>
  <si>
    <t>KS 1/2 PRU</t>
  </si>
  <si>
    <t>KS 3/4 PRU</t>
  </si>
  <si>
    <t>Allestree Woodlands Community School</t>
  </si>
  <si>
    <t>Lees Brook Community KS3</t>
  </si>
  <si>
    <t>Lees Brook Community KS4</t>
  </si>
  <si>
    <t>Saint Benedict Catholic School KS3</t>
  </si>
  <si>
    <t>Saint Benedict Catholic School KS4</t>
  </si>
  <si>
    <t>Springfield</t>
  </si>
  <si>
    <t>The Bemrose Community School KS3</t>
  </si>
  <si>
    <t>The Bemrose Community School KS4</t>
  </si>
  <si>
    <t>Becket Primary</t>
  </si>
  <si>
    <t>Lakeside Community Primary</t>
  </si>
  <si>
    <t>Early Years</t>
  </si>
  <si>
    <t>Early Years, Schools and High Needs Block Formula Budgets 2016/17</t>
  </si>
  <si>
    <t>Early Years Nursery Funding 2016/17</t>
  </si>
  <si>
    <t>May 2016 Term Hours</t>
  </si>
  <si>
    <t>Oct 2016 Term Hours</t>
  </si>
  <si>
    <t>Jan 2017 Term Hours</t>
  </si>
  <si>
    <t>May 2016 Term Unit Hours</t>
  </si>
  <si>
    <t>Oct 2016 Term Unit Hours</t>
  </si>
  <si>
    <t>Jan 2017 Term Unit Hours</t>
  </si>
  <si>
    <t>Schools Block Funding 2016/17</t>
  </si>
  <si>
    <t>De-delegation from Maintained Schools 2016-17</t>
  </si>
  <si>
    <t>High Needs Formula Budget 2016/17</t>
  </si>
  <si>
    <t>RATES 2016-17 (Including previous year adjustments)</t>
  </si>
  <si>
    <t>High Needs Formula Indicative 2016/17</t>
  </si>
  <si>
    <t>CFR code E23</t>
  </si>
  <si>
    <t>CFR Code E28</t>
  </si>
  <si>
    <t>CFR code E19</t>
  </si>
  <si>
    <t>CFR code E27</t>
  </si>
  <si>
    <t>CFR Code I01</t>
  </si>
  <si>
    <t>Place led funding - Alternative Provision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</si>
</sst>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quot;£&quot;#,##0"/>
    <numFmt numFmtId="6" formatCode="&quot;£&quot;#,##0;[Red]\-&quot;£&quot;#,##0"/>
    <numFmt numFmtId="8" formatCode="&quot;£&quot;#,##0.00;[Red]\-&quot;£&quot;#,##0.00"/>
    <numFmt numFmtId="44" formatCode="_-&quot;£&quot;* #,##0.00_-;\-&quot;£&quot;* #,##0.00_-;_-&quot;£&quot;* &quot;-&quot;??_-;_-@_-"/>
    <numFmt numFmtId="43" formatCode="_-* #,##0.00_-;\-* #,##0.00_-;_-* &quot;-&quot;??_-;_-@_-"/>
    <numFmt numFmtId="164" formatCode="&quot;£&quot;#,##0"/>
    <numFmt numFmtId="165" formatCode="&quot;£&quot;#,##0.00"/>
    <numFmt numFmtId="166" formatCode="#,##0_ ;[Red]\-#,##0\ "/>
    <numFmt numFmtId="167" formatCode="_(&quot;$&quot;* #,##0.00_);_(&quot;$&quot;* \(#,##0.00\);_(&quot;$&quot;* &quot;-&quot;??_);_(@_)"/>
    <numFmt numFmtId="168" formatCode="#,##0.0000"/>
    <numFmt numFmtId="169" formatCode="#,##0.00_ ;[Red]\-#,##0.00\ "/>
    <numFmt numFmtId="170" formatCode="_-* #,##0_-;\-* #,##0_-;_-* &quot;-&quot;??_-;_-@_-"/>
    <numFmt numFmtId="171" formatCode="#,##0.0000000000"/>
    <numFmt numFmtId="172" formatCode="#,##0.000000"/>
    <numFmt numFmtId="173" formatCode="0.0%"/>
    <numFmt numFmtId="174" formatCode="0.0"/>
    <numFmt numFmtId="175" formatCode="#,##0.00000"/>
    <numFmt numFmtId="176" formatCode="#,##0.00000000"/>
    <numFmt numFmtId="177" formatCode="#,##0.000"/>
    <numFmt numFmtId="178" formatCode="0.00000"/>
    <numFmt numFmtId="179" formatCode="#,##0;\(#,##0\)"/>
  </numFmts>
  <fonts count="41" x14ac:knownFonts="1">
    <font>
      <sz val="10"/>
      <color theme="1"/>
      <name val="Arial"/>
      <family val="2"/>
    </font>
    <font>
      <sz val="10"/>
      <color theme="1"/>
      <name val="Arial"/>
      <family val="2"/>
    </font>
    <font>
      <b/>
      <sz val="10"/>
      <color theme="1"/>
      <name val="Arial"/>
      <family val="2"/>
    </font>
    <font>
      <b/>
      <sz val="12"/>
      <name val="Arial"/>
      <family val="2"/>
    </font>
    <font>
      <sz val="10"/>
      <color indexed="8"/>
      <name val="Arial"/>
      <family val="2"/>
    </font>
    <font>
      <b/>
      <sz val="10"/>
      <name val="Arial"/>
      <family val="2"/>
    </font>
    <font>
      <sz val="12"/>
      <name val="Arial"/>
      <family val="2"/>
    </font>
    <font>
      <sz val="10"/>
      <name val="Arial"/>
      <family val="2"/>
    </font>
    <font>
      <b/>
      <sz val="8"/>
      <name val="Arial"/>
      <family val="2"/>
    </font>
    <font>
      <sz val="8"/>
      <name val="Arial"/>
      <family val="2"/>
    </font>
    <font>
      <sz val="9"/>
      <color indexed="81"/>
      <name val="Tahoma"/>
      <family val="2"/>
    </font>
    <font>
      <b/>
      <sz val="9"/>
      <color indexed="81"/>
      <name val="Tahoma"/>
      <family val="2"/>
    </font>
    <font>
      <sz val="11"/>
      <name val="Calibri"/>
      <family val="2"/>
      <scheme val="minor"/>
    </font>
    <font>
      <sz val="10"/>
      <color indexed="21"/>
      <name val="System"/>
      <family val="2"/>
    </font>
    <font>
      <sz val="9"/>
      <color indexed="18"/>
      <name val="Arial"/>
      <family val="2"/>
    </font>
    <font>
      <sz val="10"/>
      <color indexed="18"/>
      <name val="System"/>
      <family val="2"/>
    </font>
    <font>
      <i/>
      <sz val="10"/>
      <color indexed="17"/>
      <name val="System"/>
      <family val="2"/>
    </font>
    <font>
      <sz val="11"/>
      <color indexed="8"/>
      <name val="Calibri"/>
      <family val="2"/>
    </font>
    <font>
      <sz val="11"/>
      <color theme="1"/>
      <name val="Calibri"/>
      <family val="2"/>
      <scheme val="minor"/>
    </font>
    <font>
      <sz val="10"/>
      <color indexed="14"/>
      <name val="System"/>
      <family val="2"/>
    </font>
    <font>
      <sz val="9"/>
      <name val="Arial"/>
      <family val="2"/>
    </font>
    <font>
      <sz val="10"/>
      <color indexed="17"/>
      <name val="System"/>
      <family val="2"/>
    </font>
    <font>
      <b/>
      <sz val="11"/>
      <color theme="1"/>
      <name val="Calibri"/>
      <family val="2"/>
      <scheme val="minor"/>
    </font>
    <font>
      <b/>
      <sz val="11"/>
      <name val="Calibri"/>
      <family val="2"/>
      <scheme val="minor"/>
    </font>
    <font>
      <sz val="10"/>
      <color rgb="FFFF0000"/>
      <name val="Arial"/>
      <family val="2"/>
    </font>
    <font>
      <sz val="10"/>
      <name val="Arial"/>
      <family val="2"/>
    </font>
    <font>
      <b/>
      <sz val="10"/>
      <color indexed="23"/>
      <name val="Arial"/>
      <family val="2"/>
    </font>
    <font>
      <sz val="10"/>
      <color indexed="23"/>
      <name val="Arial"/>
      <family val="2"/>
    </font>
    <font>
      <b/>
      <sz val="10"/>
      <color indexed="55"/>
      <name val="Arial"/>
      <family val="2"/>
    </font>
    <font>
      <sz val="10"/>
      <color indexed="55"/>
      <name val="Arial"/>
      <family val="2"/>
    </font>
    <font>
      <sz val="12"/>
      <color indexed="55"/>
      <name val="Arial"/>
      <family val="2"/>
    </font>
    <font>
      <sz val="12"/>
      <color theme="1"/>
      <name val="Calibri"/>
      <family val="2"/>
      <scheme val="minor"/>
    </font>
    <font>
      <b/>
      <sz val="11"/>
      <name val="Arial"/>
      <family val="2"/>
    </font>
    <font>
      <b/>
      <sz val="11"/>
      <color indexed="48"/>
      <name val="Arial"/>
      <family val="2"/>
    </font>
    <font>
      <sz val="10"/>
      <name val="Arial"/>
      <family val="2"/>
    </font>
    <font>
      <b/>
      <sz val="8"/>
      <color indexed="81"/>
      <name val="Tahoma"/>
      <family val="2"/>
    </font>
    <font>
      <sz val="8"/>
      <color indexed="81"/>
      <name val="Tahoma"/>
      <family val="2"/>
    </font>
    <font>
      <sz val="8"/>
      <color indexed="10"/>
      <name val="Arial"/>
      <family val="2"/>
    </font>
    <font>
      <b/>
      <sz val="8"/>
      <color indexed="10"/>
      <name val="Arial"/>
      <family val="2"/>
    </font>
    <font>
      <b/>
      <sz val="11"/>
      <color theme="1"/>
      <name val="Arial"/>
      <family val="2"/>
    </font>
    <font>
      <sz val="10"/>
      <color indexed="9"/>
      <name val="Arial"/>
      <family val="2"/>
    </font>
  </fonts>
  <fills count="4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indexed="42"/>
        <bgColor indexed="64"/>
      </patternFill>
    </fill>
    <fill>
      <patternFill patternType="solid">
        <fgColor rgb="FFFFC000"/>
        <bgColor indexed="64"/>
      </patternFill>
    </fill>
    <fill>
      <patternFill patternType="solid">
        <fgColor indexed="43"/>
        <bgColor indexed="64"/>
      </patternFill>
    </fill>
    <fill>
      <patternFill patternType="solid">
        <fgColor indexed="45"/>
        <bgColor indexed="64"/>
      </patternFill>
    </fill>
    <fill>
      <patternFill patternType="solid">
        <fgColor theme="8" tint="0.39997558519241921"/>
        <bgColor indexed="64"/>
      </patternFill>
    </fill>
    <fill>
      <patternFill patternType="solid">
        <fgColor indexed="11"/>
        <bgColor indexed="64"/>
      </patternFill>
    </fill>
    <fill>
      <patternFill patternType="solid">
        <fgColor theme="0"/>
        <bgColor indexed="64"/>
      </patternFill>
    </fill>
    <fill>
      <patternFill patternType="solid">
        <fgColor indexed="5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indexed="4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39E739"/>
        <bgColor indexed="64"/>
      </patternFill>
    </fill>
    <fill>
      <patternFill patternType="solid">
        <fgColor rgb="FF72E5FC"/>
        <bgColor indexed="64"/>
      </patternFill>
    </fill>
    <fill>
      <patternFill patternType="solid">
        <fgColor theme="0" tint="-4.9989318521683403E-2"/>
        <bgColor indexed="64"/>
      </patternFill>
    </fill>
    <fill>
      <patternFill patternType="solid">
        <fgColor rgb="FFC3A9BF"/>
        <bgColor indexed="64"/>
      </patternFill>
    </fill>
    <fill>
      <patternFill patternType="solid">
        <fgColor rgb="FFCCFFFF"/>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D9D9D7"/>
        <bgColor indexed="64"/>
      </patternFill>
    </fill>
    <fill>
      <patternFill patternType="gray125">
        <fgColor indexed="8"/>
        <bgColor indexed="43"/>
      </patternFill>
    </fill>
    <fill>
      <patternFill patternType="solid">
        <fgColor indexed="42"/>
        <bgColor indexed="8"/>
      </patternFill>
    </fill>
    <fill>
      <patternFill patternType="solid">
        <fgColor theme="6" tint="0.79998168889431442"/>
        <bgColor indexed="64"/>
      </patternFill>
    </fill>
    <fill>
      <patternFill patternType="solid">
        <fgColor rgb="FFFF0000"/>
        <bgColor indexed="64"/>
      </patternFill>
    </fill>
    <fill>
      <patternFill patternType="solid">
        <fgColor theme="6" tint="0.39997558519241921"/>
        <bgColor indexed="64"/>
      </patternFill>
    </fill>
    <fill>
      <patternFill patternType="solid">
        <fgColor indexed="13"/>
        <bgColor indexed="64"/>
      </patternFill>
    </fill>
    <fill>
      <patternFill patternType="solid">
        <fgColor indexed="1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indexed="21"/>
        <bgColor indexed="64"/>
      </patternFill>
    </fill>
  </fills>
  <borders count="12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13"/>
      </top>
      <bottom style="thin">
        <color indexed="13"/>
      </bottom>
      <diagonal/>
    </border>
    <border>
      <left/>
      <right style="medium">
        <color indexed="33"/>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hair">
        <color indexed="64"/>
      </top>
      <bottom style="hair">
        <color indexed="64"/>
      </bottom>
      <diagonal/>
    </border>
    <border>
      <left/>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medium">
        <color indexed="64"/>
      </left>
      <right/>
      <top style="thin">
        <color indexed="64"/>
      </top>
      <bottom/>
      <diagonal/>
    </border>
    <border>
      <left style="medium">
        <color indexed="64"/>
      </left>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hair">
        <color indexed="64"/>
      </left>
      <right/>
      <top/>
      <bottom style="hair">
        <color indexed="64"/>
      </bottom>
      <diagonal/>
    </border>
    <border>
      <left style="hair">
        <color indexed="64"/>
      </left>
      <right style="medium">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hair">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hair">
        <color indexed="64"/>
      </left>
      <right/>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23"/>
      </right>
      <top/>
      <bottom style="thin">
        <color indexed="23"/>
      </bottom>
      <diagonal/>
    </border>
  </borders>
  <cellStyleXfs count="55">
    <xf numFmtId="0" fontId="0" fillId="0" borderId="0"/>
    <xf numFmtId="0" fontId="7" fillId="0" borderId="0"/>
    <xf numFmtId="9" fontId="7" fillId="0" borderId="0" applyFont="0" applyFill="0" applyBorder="0" applyAlignment="0" applyProtection="0"/>
    <xf numFmtId="0" fontId="7" fillId="0" borderId="0"/>
    <xf numFmtId="0" fontId="8" fillId="0" borderId="0">
      <alignment horizontal="center" vertical="center" wrapText="1"/>
    </xf>
    <xf numFmtId="0" fontId="9" fillId="0" borderId="20">
      <alignment horizontal="center" vertical="center" wrapText="1"/>
    </xf>
    <xf numFmtId="0" fontId="8" fillId="0" borderId="0">
      <alignment horizontal="left" wrapText="1"/>
    </xf>
    <xf numFmtId="0" fontId="9" fillId="0" borderId="0">
      <alignment horizontal="left" vertical="center"/>
    </xf>
    <xf numFmtId="0" fontId="9" fillId="0" borderId="0">
      <alignment horizontal="center" vertical="center"/>
    </xf>
    <xf numFmtId="3" fontId="9" fillId="0" borderId="0">
      <alignment horizontal="right"/>
    </xf>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3" fillId="0" borderId="0" applyNumberFormat="0" applyFill="0" applyBorder="0" applyAlignment="0" applyProtection="0">
      <protection locked="0"/>
    </xf>
    <xf numFmtId="1" fontId="14" fillId="0" borderId="0" applyNumberFormat="0" applyFill="0" applyBorder="0" applyAlignment="0" applyProtection="0"/>
    <xf numFmtId="1" fontId="15" fillId="0" borderId="0" applyNumberFormat="0" applyFill="0" applyBorder="0" applyAlignment="0" applyProtection="0"/>
    <xf numFmtId="10" fontId="16" fillId="0" borderId="21" applyFill="0" applyAlignment="0" applyProtection="0">
      <protection locked="0"/>
    </xf>
    <xf numFmtId="0" fontId="17" fillId="0" borderId="0"/>
    <xf numFmtId="0" fontId="7" fillId="0" borderId="0"/>
    <xf numFmtId="0" fontId="18" fillId="0" borderId="0"/>
    <xf numFmtId="9" fontId="7" fillId="0" borderId="0" applyFont="0" applyFill="0" applyBorder="0" applyAlignment="0" applyProtection="0"/>
    <xf numFmtId="1" fontId="19" fillId="0" borderId="22" applyNumberFormat="0" applyFill="0" applyBorder="0" applyAlignment="0" applyProtection="0"/>
    <xf numFmtId="0" fontId="7" fillId="0" borderId="0"/>
    <xf numFmtId="0" fontId="9" fillId="0" borderId="23" applyBorder="0">
      <alignment horizontal="right"/>
    </xf>
    <xf numFmtId="167" fontId="7" fillId="0" borderId="0"/>
    <xf numFmtId="167" fontId="7" fillId="0" borderId="0"/>
    <xf numFmtId="167" fontId="7" fillId="0" borderId="0"/>
    <xf numFmtId="0" fontId="20" fillId="0" borderId="0" applyNumberFormat="0" applyFill="0" applyBorder="0" applyAlignment="0" applyProtection="0"/>
    <xf numFmtId="0" fontId="21" fillId="0" borderId="0" applyNumberFormat="0" applyFill="0" applyBorder="0" applyAlignment="0" applyProtection="0"/>
    <xf numFmtId="0" fontId="1" fillId="0" borderId="0"/>
    <xf numFmtId="0" fontId="1" fillId="0" borderId="0"/>
    <xf numFmtId="0" fontId="7" fillId="0" borderId="0"/>
    <xf numFmtId="0" fontId="4" fillId="0" borderId="0"/>
    <xf numFmtId="0" fontId="7" fillId="0" borderId="0"/>
    <xf numFmtId="0" fontId="25" fillId="0" borderId="0"/>
    <xf numFmtId="0" fontId="1"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34" fillId="0" borderId="0"/>
    <xf numFmtId="0" fontId="4" fillId="0" borderId="0"/>
    <xf numFmtId="0" fontId="1" fillId="0" borderId="0"/>
    <xf numFmtId="0" fontId="7" fillId="0" borderId="0"/>
    <xf numFmtId="43" fontId="1" fillId="0" borderId="0" applyFont="0" applyFill="0" applyBorder="0" applyAlignment="0" applyProtection="0"/>
    <xf numFmtId="9" fontId="1" fillId="0" borderId="0" applyFont="0" applyFill="0" applyBorder="0" applyAlignment="0" applyProtection="0"/>
  </cellStyleXfs>
  <cellXfs count="1257">
    <xf numFmtId="0" fontId="0" fillId="0" borderId="0" xfId="0"/>
    <xf numFmtId="3" fontId="5" fillId="0" borderId="0" xfId="0" applyNumberFormat="1" applyFont="1" applyFill="1"/>
    <xf numFmtId="0" fontId="0" fillId="0" borderId="0" xfId="0" applyNumberFormat="1" applyFill="1"/>
    <xf numFmtId="164" fontId="7" fillId="0" borderId="0" xfId="0" applyNumberFormat="1" applyFont="1" applyFill="1"/>
    <xf numFmtId="164" fontId="0" fillId="0" borderId="0" xfId="0" applyNumberFormat="1" applyFill="1"/>
    <xf numFmtId="3" fontId="5" fillId="0" borderId="0" xfId="0" applyNumberFormat="1" applyFont="1" applyFill="1" applyAlignment="1">
      <alignment horizontal="center" wrapText="1"/>
    </xf>
    <xf numFmtId="0" fontId="5" fillId="0" borderId="0" xfId="0" applyNumberFormat="1" applyFont="1" applyFill="1" applyAlignment="1">
      <alignment horizontal="center" wrapText="1"/>
    </xf>
    <xf numFmtId="3" fontId="7" fillId="0" borderId="0" xfId="0" applyNumberFormat="1" applyFont="1" applyFill="1" applyAlignment="1">
      <alignment horizontal="center" wrapText="1"/>
    </xf>
    <xf numFmtId="3" fontId="5" fillId="0" borderId="0" xfId="0" applyNumberFormat="1" applyFont="1" applyFill="1" applyBorder="1" applyAlignment="1">
      <alignment horizontal="center" vertical="center" wrapText="1"/>
    </xf>
    <xf numFmtId="3" fontId="7" fillId="0" borderId="0" xfId="0" applyNumberFormat="1" applyFont="1" applyFill="1"/>
    <xf numFmtId="0" fontId="7" fillId="0" borderId="0" xfId="0" applyNumberFormat="1" applyFont="1" applyFill="1"/>
    <xf numFmtId="3" fontId="0" fillId="0" borderId="0" xfId="0" applyNumberFormat="1" applyFill="1"/>
    <xf numFmtId="0" fontId="7" fillId="0" borderId="0" xfId="0" applyFont="1" applyFill="1" applyProtection="1">
      <protection locked="0"/>
    </xf>
    <xf numFmtId="3" fontId="5" fillId="0" borderId="0" xfId="0" applyNumberFormat="1" applyFont="1" applyFill="1" applyAlignment="1">
      <alignment horizontal="left" wrapText="1"/>
    </xf>
    <xf numFmtId="166" fontId="0" fillId="0" borderId="0" xfId="0" applyNumberFormat="1" applyFill="1" applyBorder="1"/>
    <xf numFmtId="166" fontId="5" fillId="0" borderId="0" xfId="0" applyNumberFormat="1" applyFont="1" applyFill="1" applyBorder="1" applyAlignment="1">
      <alignment horizontal="center" vertical="center" wrapText="1"/>
    </xf>
    <xf numFmtId="166" fontId="0" fillId="0" borderId="0" xfId="0" applyNumberFormat="1" applyFill="1"/>
    <xf numFmtId="4" fontId="0" fillId="0" borderId="0" xfId="0" applyNumberFormat="1"/>
    <xf numFmtId="165" fontId="7" fillId="0" borderId="0" xfId="0" applyNumberFormat="1" applyFont="1" applyFill="1"/>
    <xf numFmtId="165" fontId="0" fillId="0" borderId="0" xfId="0" applyNumberFormat="1" applyFill="1"/>
    <xf numFmtId="0" fontId="0" fillId="0" borderId="0" xfId="0" applyNumberFormat="1" applyFill="1" applyAlignment="1">
      <alignment wrapText="1"/>
    </xf>
    <xf numFmtId="4" fontId="0" fillId="0" borderId="0" xfId="0" applyNumberFormat="1" applyFill="1"/>
    <xf numFmtId="0" fontId="0" fillId="0" borderId="0" xfId="0" applyFill="1" applyBorder="1"/>
    <xf numFmtId="3" fontId="0" fillId="0" borderId="0" xfId="0" applyNumberFormat="1" applyFill="1" applyBorder="1"/>
    <xf numFmtId="3" fontId="5" fillId="0" borderId="0" xfId="0" applyNumberFormat="1" applyFont="1" applyFill="1" applyBorder="1"/>
    <xf numFmtId="3" fontId="7" fillId="0" borderId="0" xfId="0" applyNumberFormat="1" applyFont="1" applyFill="1" applyBorder="1"/>
    <xf numFmtId="0" fontId="7" fillId="0" borderId="0" xfId="0" applyNumberFormat="1" applyFont="1" applyFill="1" applyBorder="1"/>
    <xf numFmtId="0" fontId="7" fillId="6" borderId="0" xfId="0" applyNumberFormat="1" applyFont="1" applyFill="1"/>
    <xf numFmtId="0" fontId="0" fillId="6" borderId="28" xfId="0" applyFill="1" applyBorder="1" applyAlignment="1">
      <alignment horizontal="right" vertical="center"/>
    </xf>
    <xf numFmtId="3" fontId="2" fillId="0" borderId="0" xfId="0" applyNumberFormat="1" applyFont="1" applyFill="1"/>
    <xf numFmtId="0" fontId="0" fillId="0" borderId="0" xfId="0" applyFill="1"/>
    <xf numFmtId="4" fontId="7" fillId="0" borderId="0" xfId="0" applyNumberFormat="1" applyFont="1" applyFill="1"/>
    <xf numFmtId="164" fontId="7" fillId="0" borderId="0" xfId="0" applyNumberFormat="1" applyFont="1" applyFill="1" applyAlignment="1">
      <alignment horizontal="right"/>
    </xf>
    <xf numFmtId="0" fontId="0" fillId="6" borderId="0" xfId="0" applyFill="1"/>
    <xf numFmtId="3" fontId="5"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wrapText="1"/>
    </xf>
    <xf numFmtId="0" fontId="5" fillId="0" borderId="0" xfId="0" applyNumberFormat="1" applyFont="1" applyFill="1" applyBorder="1" applyAlignment="1">
      <alignment horizontal="center" vertical="center" wrapText="1"/>
    </xf>
    <xf numFmtId="0" fontId="0" fillId="0" borderId="0" xfId="0" applyFill="1" applyBorder="1" applyAlignment="1">
      <alignment horizontal="right" vertical="center"/>
    </xf>
    <xf numFmtId="0" fontId="23" fillId="0" borderId="0" xfId="0" applyFont="1" applyFill="1"/>
    <xf numFmtId="0" fontId="23" fillId="0" borderId="0" xfId="0" applyFont="1" applyFill="1" applyAlignment="1">
      <alignment vertical="top" wrapText="1"/>
    </xf>
    <xf numFmtId="0" fontId="12" fillId="0" borderId="0" xfId="0" applyFont="1" applyFill="1" applyBorder="1" applyAlignment="1">
      <alignment vertical="top" wrapText="1"/>
    </xf>
    <xf numFmtId="3" fontId="12" fillId="0" borderId="0" xfId="0" applyNumberFormat="1" applyFont="1" applyFill="1" applyAlignment="1">
      <alignment vertical="top" wrapText="1"/>
    </xf>
    <xf numFmtId="0" fontId="12" fillId="0" borderId="0" xfId="0" applyFont="1" applyFill="1" applyAlignment="1">
      <alignment vertical="top" wrapText="1"/>
    </xf>
    <xf numFmtId="0" fontId="12" fillId="0" borderId="0" xfId="0" applyFont="1" applyFill="1"/>
    <xf numFmtId="3" fontId="12" fillId="0" borderId="0" xfId="0" applyNumberFormat="1" applyFont="1" applyFill="1"/>
    <xf numFmtId="0" fontId="12" fillId="0" borderId="0" xfId="0" applyFont="1" applyFill="1" applyBorder="1"/>
    <xf numFmtId="0" fontId="12" fillId="0" borderId="0" xfId="0" applyFont="1" applyFill="1" applyBorder="1" applyAlignment="1">
      <alignment horizontal="center"/>
    </xf>
    <xf numFmtId="3" fontId="12" fillId="0" borderId="23" xfId="0" applyNumberFormat="1" applyFont="1" applyFill="1" applyBorder="1" applyAlignment="1">
      <alignment horizontal="center"/>
    </xf>
    <xf numFmtId="3" fontId="12" fillId="0" borderId="0" xfId="0" applyNumberFormat="1" applyFont="1" applyFill="1" applyBorder="1" applyAlignment="1">
      <alignment horizontal="center"/>
    </xf>
    <xf numFmtId="0" fontId="7" fillId="0" borderId="0" xfId="1"/>
    <xf numFmtId="0" fontId="7" fillId="0" borderId="0" xfId="1" applyFill="1" applyBorder="1"/>
    <xf numFmtId="0" fontId="7" fillId="0" borderId="0" xfId="1" applyBorder="1"/>
    <xf numFmtId="0" fontId="7" fillId="0" borderId="18" xfId="1" applyBorder="1"/>
    <xf numFmtId="0" fontId="7" fillId="0" borderId="0" xfId="0" applyFont="1" applyFill="1" applyBorder="1"/>
    <xf numFmtId="0" fontId="7" fillId="0" borderId="0" xfId="1" applyFont="1" applyFill="1" applyBorder="1" applyAlignment="1">
      <alignment vertical="center"/>
    </xf>
    <xf numFmtId="0" fontId="2" fillId="0" borderId="0" xfId="0" applyFont="1" applyFill="1"/>
    <xf numFmtId="0" fontId="0" fillId="0" borderId="0" xfId="0" applyAlignment="1">
      <alignment wrapText="1"/>
    </xf>
    <xf numFmtId="0" fontId="25" fillId="0" borderId="1" xfId="39" applyBorder="1"/>
    <xf numFmtId="0" fontId="25" fillId="0" borderId="0" xfId="39"/>
    <xf numFmtId="0" fontId="25" fillId="0" borderId="0" xfId="39" applyBorder="1"/>
    <xf numFmtId="3" fontId="25" fillId="0" borderId="4" xfId="39" applyNumberFormat="1" applyBorder="1"/>
    <xf numFmtId="0" fontId="5" fillId="0" borderId="3" xfId="39" applyFont="1" applyBorder="1" applyAlignment="1">
      <alignment horizontal="right"/>
    </xf>
    <xf numFmtId="3" fontId="25" fillId="15" borderId="4" xfId="39" applyNumberFormat="1" applyFill="1" applyBorder="1"/>
    <xf numFmtId="0" fontId="5" fillId="0" borderId="0" xfId="39" applyFont="1" applyFill="1" applyBorder="1" applyAlignment="1">
      <alignment horizontal="left"/>
    </xf>
    <xf numFmtId="0" fontId="5" fillId="0" borderId="0" xfId="39" applyFont="1" applyBorder="1" applyAlignment="1">
      <alignment horizontal="right"/>
    </xf>
    <xf numFmtId="0" fontId="5" fillId="0" borderId="3" xfId="39" applyFont="1" applyBorder="1"/>
    <xf numFmtId="0" fontId="25" fillId="0" borderId="0" xfId="39" applyFill="1" applyBorder="1"/>
    <xf numFmtId="3" fontId="25" fillId="0" borderId="0" xfId="39" applyNumberFormat="1"/>
    <xf numFmtId="0" fontId="3" fillId="0" borderId="30" xfId="39" applyFont="1" applyFill="1" applyBorder="1" applyAlignment="1"/>
    <xf numFmtId="0" fontId="3" fillId="0" borderId="2" xfId="39" applyFont="1" applyFill="1" applyBorder="1" applyAlignment="1"/>
    <xf numFmtId="0" fontId="5" fillId="0" borderId="0" xfId="39" applyFont="1" applyBorder="1"/>
    <xf numFmtId="0" fontId="6" fillId="17" borderId="30" xfId="39" applyFont="1" applyFill="1" applyBorder="1" applyAlignment="1">
      <alignment horizontal="center" vertical="center" wrapText="1"/>
    </xf>
    <xf numFmtId="0" fontId="6" fillId="0" borderId="0" xfId="39" applyFont="1"/>
    <xf numFmtId="2" fontId="7" fillId="0" borderId="0" xfId="36" applyNumberFormat="1" applyFill="1" applyBorder="1" applyAlignment="1">
      <alignment horizontal="right" vertical="center"/>
    </xf>
    <xf numFmtId="0" fontId="7" fillId="0" borderId="0" xfId="1" applyFont="1"/>
    <xf numFmtId="0" fontId="7" fillId="0" borderId="0" xfId="1" applyNumberFormat="1" applyFont="1" applyFill="1" applyAlignment="1">
      <alignment horizontal="center"/>
    </xf>
    <xf numFmtId="0" fontId="25" fillId="0" borderId="0" xfId="39" applyAlignment="1">
      <alignment horizontal="left"/>
    </xf>
    <xf numFmtId="0" fontId="7" fillId="0" borderId="0" xfId="37" applyNumberFormat="1" applyFont="1" applyFill="1" applyBorder="1" applyAlignment="1">
      <alignment horizontal="right" wrapText="1"/>
    </xf>
    <xf numFmtId="0" fontId="7" fillId="0" borderId="0" xfId="36" applyNumberFormat="1" applyFont="1" applyFill="1" applyBorder="1" applyAlignment="1">
      <alignment horizontal="right" vertical="center"/>
    </xf>
    <xf numFmtId="0" fontId="4" fillId="0" borderId="0" xfId="37" applyNumberFormat="1" applyFont="1" applyFill="1" applyBorder="1" applyAlignment="1">
      <alignment wrapText="1"/>
    </xf>
    <xf numFmtId="0" fontId="24" fillId="0" borderId="0" xfId="34" applyFont="1" applyFill="1" applyBorder="1"/>
    <xf numFmtId="0" fontId="25" fillId="15" borderId="4" xfId="39" applyFill="1" applyBorder="1" applyAlignment="1">
      <alignment horizontal="center"/>
    </xf>
    <xf numFmtId="0" fontId="7" fillId="0" borderId="0" xfId="1" applyFill="1" applyBorder="1" applyAlignment="1">
      <alignment horizontal="center" vertical="center"/>
    </xf>
    <xf numFmtId="164" fontId="3" fillId="7" borderId="14" xfId="39" applyNumberFormat="1" applyFont="1" applyFill="1" applyBorder="1" applyAlignment="1">
      <alignment horizontal="center" vertical="center"/>
    </xf>
    <xf numFmtId="0" fontId="3" fillId="7" borderId="7" xfId="39" applyFont="1" applyFill="1" applyBorder="1"/>
    <xf numFmtId="0" fontId="5" fillId="7" borderId="14" xfId="39" applyFont="1" applyFill="1" applyBorder="1"/>
    <xf numFmtId="164" fontId="6" fillId="17" borderId="9" xfId="39" applyNumberFormat="1" applyFont="1" applyFill="1" applyBorder="1" applyAlignment="1">
      <alignment horizontal="center"/>
    </xf>
    <xf numFmtId="164" fontId="3" fillId="0" borderId="15" xfId="39" applyNumberFormat="1" applyFont="1" applyFill="1" applyBorder="1" applyAlignment="1">
      <alignment horizontal="center" vertical="center"/>
    </xf>
    <xf numFmtId="0" fontId="6" fillId="17" borderId="7" xfId="39" applyFont="1" applyFill="1" applyBorder="1" applyAlignment="1">
      <alignment horizontal="center" vertical="center" wrapText="1"/>
    </xf>
    <xf numFmtId="0" fontId="6" fillId="17" borderId="66" xfId="39" applyFont="1" applyFill="1" applyBorder="1" applyAlignment="1">
      <alignment horizontal="center" vertical="center" wrapText="1"/>
    </xf>
    <xf numFmtId="6" fontId="6" fillId="0" borderId="67" xfId="39" applyNumberFormat="1" applyFont="1" applyBorder="1" applyAlignment="1">
      <alignment horizontal="center" vertical="center" wrapText="1"/>
    </xf>
    <xf numFmtId="0" fontId="5" fillId="14" borderId="9" xfId="39" applyFont="1" applyFill="1" applyBorder="1" applyAlignment="1" applyProtection="1">
      <alignment horizontal="center"/>
      <protection locked="0"/>
    </xf>
    <xf numFmtId="0" fontId="6" fillId="17" borderId="61" xfId="39" applyFont="1" applyFill="1" applyBorder="1" applyAlignment="1">
      <alignment horizontal="center" vertical="center" wrapText="1"/>
    </xf>
    <xf numFmtId="0" fontId="6" fillId="0" borderId="69" xfId="39" applyFont="1" applyBorder="1" applyAlignment="1">
      <alignment horizontal="center" vertical="center"/>
    </xf>
    <xf numFmtId="6" fontId="6" fillId="0" borderId="61" xfId="39" applyNumberFormat="1" applyFont="1" applyBorder="1" applyAlignment="1">
      <alignment horizontal="center" vertical="center" wrapText="1"/>
    </xf>
    <xf numFmtId="0" fontId="3" fillId="0" borderId="60" xfId="39" applyFont="1" applyBorder="1" applyAlignment="1">
      <alignment horizontal="left" vertical="center"/>
    </xf>
    <xf numFmtId="0" fontId="3" fillId="0" borderId="15" xfId="39" applyFont="1" applyBorder="1" applyAlignment="1">
      <alignment horizontal="left" vertical="center"/>
    </xf>
    <xf numFmtId="0" fontId="3" fillId="0" borderId="65" xfId="39" applyFont="1" applyBorder="1" applyAlignment="1">
      <alignment horizontal="left" vertical="center"/>
    </xf>
    <xf numFmtId="0" fontId="3" fillId="0" borderId="15" xfId="39" applyFont="1" applyBorder="1" applyAlignment="1">
      <alignment vertical="center"/>
    </xf>
    <xf numFmtId="0" fontId="3" fillId="7" borderId="9" xfId="39" applyFont="1" applyFill="1" applyBorder="1" applyAlignment="1">
      <alignment vertical="center"/>
    </xf>
    <xf numFmtId="0" fontId="6" fillId="17" borderId="9" xfId="39" applyFont="1" applyFill="1" applyBorder="1" applyAlignment="1">
      <alignment horizontal="center" vertical="center" wrapText="1"/>
    </xf>
    <xf numFmtId="0" fontId="7" fillId="17" borderId="9" xfId="39" applyFont="1" applyFill="1" applyBorder="1" applyAlignment="1">
      <alignment horizontal="center" vertical="center" wrapText="1"/>
    </xf>
    <xf numFmtId="0" fontId="7" fillId="17" borderId="7" xfId="39" applyFont="1" applyFill="1" applyBorder="1" applyAlignment="1">
      <alignment horizontal="center" vertical="center" wrapText="1"/>
    </xf>
    <xf numFmtId="0" fontId="7" fillId="17" borderId="66" xfId="39" applyFont="1" applyFill="1" applyBorder="1" applyAlignment="1">
      <alignment horizontal="center" vertical="center" wrapText="1"/>
    </xf>
    <xf numFmtId="0" fontId="7" fillId="0" borderId="0" xfId="39" applyFont="1" applyFill="1" applyBorder="1"/>
    <xf numFmtId="3" fontId="2" fillId="7" borderId="0" xfId="0" applyNumberFormat="1" applyFont="1" applyFill="1"/>
    <xf numFmtId="3" fontId="0" fillId="7" borderId="0" xfId="0" applyNumberFormat="1" applyFill="1"/>
    <xf numFmtId="2" fontId="0" fillId="0" borderId="0" xfId="36" applyNumberFormat="1" applyFont="1" applyFill="1" applyBorder="1" applyAlignment="1">
      <alignment horizontal="right" vertical="center"/>
    </xf>
    <xf numFmtId="0" fontId="7" fillId="0" borderId="0" xfId="1" applyFill="1" applyBorder="1" applyAlignment="1">
      <alignment vertical="center"/>
    </xf>
    <xf numFmtId="0" fontId="7" fillId="0" borderId="0" xfId="23" applyFill="1" applyBorder="1"/>
    <xf numFmtId="0" fontId="7" fillId="0" borderId="0" xfId="34" applyFont="1" applyFill="1" applyBorder="1"/>
    <xf numFmtId="2" fontId="7" fillId="0" borderId="0" xfId="36" applyNumberFormat="1" applyFont="1" applyFill="1" applyBorder="1" applyAlignment="1">
      <alignment horizontal="right" vertical="center"/>
    </xf>
    <xf numFmtId="0" fontId="7" fillId="24" borderId="9" xfId="39" applyFont="1" applyFill="1" applyBorder="1" applyAlignment="1">
      <alignment horizontal="center"/>
    </xf>
    <xf numFmtId="0" fontId="6" fillId="25" borderId="62" xfId="39" applyFont="1" applyFill="1" applyBorder="1" applyAlignment="1">
      <alignment horizontal="center" vertical="center" wrapText="1"/>
    </xf>
    <xf numFmtId="0" fontId="3" fillId="25" borderId="42" xfId="39" applyFont="1" applyFill="1" applyBorder="1" applyAlignment="1">
      <alignment horizontal="left" vertical="center" wrapText="1"/>
    </xf>
    <xf numFmtId="0" fontId="7" fillId="17" borderId="60" xfId="39" applyFont="1" applyFill="1" applyBorder="1" applyAlignment="1">
      <alignment horizontal="center" vertical="center" wrapText="1"/>
    </xf>
    <xf numFmtId="0" fontId="6" fillId="17" borderId="1" xfId="39" applyFont="1" applyFill="1" applyBorder="1" applyAlignment="1">
      <alignment horizontal="center" vertical="center" wrapText="1"/>
    </xf>
    <xf numFmtId="164" fontId="6" fillId="17" borderId="60" xfId="39" applyNumberFormat="1" applyFont="1" applyFill="1" applyBorder="1" applyAlignment="1">
      <alignment horizontal="center"/>
    </xf>
    <xf numFmtId="0" fontId="6" fillId="0" borderId="0" xfId="39" applyFont="1" applyFill="1" applyBorder="1" applyAlignment="1"/>
    <xf numFmtId="0" fontId="25" fillId="0" borderId="1" xfId="39" applyBorder="1" applyProtection="1"/>
    <xf numFmtId="0" fontId="25" fillId="0" borderId="30" xfId="39" applyBorder="1" applyProtection="1"/>
    <xf numFmtId="3" fontId="25" fillId="0" borderId="2" xfId="39" applyNumberFormat="1" applyBorder="1" applyProtection="1"/>
    <xf numFmtId="3" fontId="25" fillId="0" borderId="0" xfId="39" applyNumberFormat="1" applyFill="1" applyBorder="1" applyProtection="1"/>
    <xf numFmtId="0" fontId="7" fillId="0" borderId="0" xfId="39" applyFont="1" applyProtection="1"/>
    <xf numFmtId="0" fontId="25" fillId="0" borderId="0" xfId="39" applyProtection="1"/>
    <xf numFmtId="0" fontId="25" fillId="0" borderId="3" xfId="39" applyBorder="1" applyProtection="1"/>
    <xf numFmtId="0" fontId="25" fillId="0" borderId="0" xfId="39" applyBorder="1" applyProtection="1"/>
    <xf numFmtId="3" fontId="25" fillId="0" borderId="4" xfId="39" applyNumberFormat="1" applyBorder="1" applyProtection="1"/>
    <xf numFmtId="0" fontId="3" fillId="15" borderId="0" xfId="39" applyFont="1" applyFill="1" applyBorder="1" applyAlignment="1" applyProtection="1">
      <alignment horizontal="center"/>
    </xf>
    <xf numFmtId="0" fontId="6" fillId="15" borderId="0" xfId="23" applyFont="1" applyFill="1" applyBorder="1" applyProtection="1"/>
    <xf numFmtId="0" fontId="3" fillId="4" borderId="0" xfId="23" applyFont="1" applyFill="1" applyBorder="1" applyAlignment="1" applyProtection="1">
      <alignment horizontal="center" vertical="center"/>
    </xf>
    <xf numFmtId="0" fontId="3" fillId="0" borderId="0" xfId="23" applyFont="1" applyFill="1" applyBorder="1" applyAlignment="1" applyProtection="1">
      <alignment vertical="center"/>
    </xf>
    <xf numFmtId="0" fontId="3" fillId="3" borderId="9" xfId="23" applyFont="1" applyFill="1" applyBorder="1" applyAlignment="1" applyProtection="1">
      <alignment horizontal="center" vertical="center" wrapText="1"/>
    </xf>
    <xf numFmtId="3" fontId="3" fillId="3" borderId="9" xfId="23" applyNumberFormat="1" applyFont="1" applyFill="1" applyBorder="1" applyAlignment="1" applyProtection="1">
      <alignment horizontal="center" vertical="center"/>
    </xf>
    <xf numFmtId="0" fontId="3" fillId="0" borderId="0" xfId="23" applyFont="1" applyFill="1" applyBorder="1" applyAlignment="1" applyProtection="1">
      <alignment horizontal="center"/>
    </xf>
    <xf numFmtId="0" fontId="6" fillId="0" borderId="0" xfId="23" applyFont="1" applyFill="1" applyBorder="1" applyProtection="1"/>
    <xf numFmtId="0" fontId="3" fillId="4" borderId="9" xfId="23" applyFont="1" applyFill="1" applyBorder="1" applyAlignment="1" applyProtection="1">
      <alignment horizontal="center" vertical="center"/>
    </xf>
    <xf numFmtId="3" fontId="3" fillId="4" borderId="9" xfId="23" applyNumberFormat="1" applyFont="1" applyFill="1" applyBorder="1" applyAlignment="1" applyProtection="1">
      <alignment horizontal="center" vertical="center"/>
    </xf>
    <xf numFmtId="0" fontId="3" fillId="0" borderId="0" xfId="23" applyFont="1" applyFill="1" applyBorder="1" applyAlignment="1" applyProtection="1">
      <alignment horizontal="center" vertical="center"/>
    </xf>
    <xf numFmtId="0" fontId="3" fillId="0" borderId="3" xfId="23" applyFont="1" applyFill="1" applyBorder="1" applyAlignment="1" applyProtection="1">
      <alignment vertical="center"/>
    </xf>
    <xf numFmtId="0" fontId="6" fillId="0" borderId="4" xfId="23" applyFont="1" applyFill="1" applyBorder="1" applyProtection="1"/>
    <xf numFmtId="0" fontId="6" fillId="0" borderId="3" xfId="23" applyFont="1" applyFill="1" applyBorder="1" applyProtection="1"/>
    <xf numFmtId="3" fontId="6" fillId="0" borderId="4" xfId="23" applyNumberFormat="1" applyFont="1" applyFill="1" applyBorder="1" applyProtection="1"/>
    <xf numFmtId="0" fontId="3" fillId="2" borderId="78" xfId="23" applyFont="1" applyFill="1" applyBorder="1" applyAlignment="1" applyProtection="1">
      <alignment horizontal="center" vertical="center" wrapText="1"/>
    </xf>
    <xf numFmtId="17" fontId="3" fillId="2" borderId="76" xfId="23" applyNumberFormat="1" applyFont="1" applyFill="1" applyBorder="1" applyAlignment="1" applyProtection="1">
      <alignment horizontal="center" vertical="center" wrapText="1"/>
    </xf>
    <xf numFmtId="3" fontId="3" fillId="2" borderId="77" xfId="23" applyNumberFormat="1" applyFont="1" applyFill="1" applyBorder="1" applyAlignment="1" applyProtection="1">
      <alignment horizontal="center" wrapText="1"/>
    </xf>
    <xf numFmtId="0" fontId="3" fillId="0" borderId="0" xfId="23" applyFont="1" applyFill="1" applyBorder="1" applyAlignment="1" applyProtection="1">
      <alignment horizontal="center" wrapText="1"/>
    </xf>
    <xf numFmtId="0" fontId="7" fillId="0" borderId="0" xfId="39" applyFont="1" applyBorder="1" applyProtection="1"/>
    <xf numFmtId="0" fontId="6" fillId="0" borderId="48" xfId="23" applyFont="1" applyBorder="1" applyProtection="1"/>
    <xf numFmtId="3" fontId="6" fillId="0" borderId="51" xfId="23" applyNumberFormat="1" applyFont="1" applyFill="1" applyBorder="1" applyAlignment="1" applyProtection="1">
      <alignment horizontal="center" vertical="center"/>
    </xf>
    <xf numFmtId="164" fontId="6" fillId="5" borderId="74" xfId="23" applyNumberFormat="1" applyFont="1" applyFill="1" applyBorder="1" applyAlignment="1" applyProtection="1">
      <alignment horizontal="center"/>
    </xf>
    <xf numFmtId="164" fontId="6" fillId="0" borderId="0" xfId="23" applyNumberFormat="1" applyFont="1" applyFill="1" applyBorder="1" applyAlignment="1" applyProtection="1">
      <alignment horizontal="center"/>
    </xf>
    <xf numFmtId="3" fontId="6" fillId="0" borderId="0" xfId="23" applyNumberFormat="1" applyFont="1" applyFill="1" applyBorder="1" applyAlignment="1" applyProtection="1">
      <alignment horizontal="center" vertical="center"/>
    </xf>
    <xf numFmtId="0" fontId="6" fillId="0" borderId="49" xfId="23" applyFont="1" applyBorder="1" applyProtection="1"/>
    <xf numFmtId="3" fontId="6" fillId="0" borderId="50" xfId="23" applyNumberFormat="1" applyFont="1" applyFill="1" applyBorder="1" applyAlignment="1" applyProtection="1">
      <alignment horizontal="center" vertical="center"/>
    </xf>
    <xf numFmtId="164" fontId="6" fillId="5" borderId="35" xfId="23" applyNumberFormat="1" applyFont="1" applyFill="1" applyBorder="1" applyAlignment="1" applyProtection="1">
      <alignment horizontal="center"/>
    </xf>
    <xf numFmtId="168" fontId="31" fillId="9" borderId="32" xfId="24" applyNumberFormat="1" applyFont="1" applyFill="1" applyBorder="1" applyAlignment="1" applyProtection="1">
      <alignment horizontal="center"/>
    </xf>
    <xf numFmtId="0" fontId="6" fillId="0" borderId="56" xfId="23" applyFont="1" applyBorder="1" applyProtection="1"/>
    <xf numFmtId="164" fontId="6" fillId="5" borderId="71" xfId="23" applyNumberFormat="1" applyFont="1" applyFill="1" applyBorder="1" applyAlignment="1" applyProtection="1">
      <alignment horizontal="center"/>
    </xf>
    <xf numFmtId="0" fontId="3" fillId="11" borderId="7" xfId="23" applyFont="1" applyFill="1" applyBorder="1" applyAlignment="1" applyProtection="1">
      <alignment vertical="center" wrapText="1"/>
    </xf>
    <xf numFmtId="0" fontId="3" fillId="11" borderId="8" xfId="23" applyFont="1" applyFill="1" applyBorder="1" applyAlignment="1" applyProtection="1">
      <alignment horizontal="center" vertical="center" wrapText="1"/>
    </xf>
    <xf numFmtId="0" fontId="3" fillId="11" borderId="75" xfId="23" applyFont="1" applyFill="1" applyBorder="1" applyAlignment="1" applyProtection="1">
      <alignment horizontal="center" vertical="center" wrapText="1"/>
    </xf>
    <xf numFmtId="3" fontId="3" fillId="11" borderId="77" xfId="23" applyNumberFormat="1" applyFont="1" applyFill="1" applyBorder="1" applyAlignment="1" applyProtection="1">
      <alignment horizontal="center" vertical="center" wrapText="1"/>
    </xf>
    <xf numFmtId="0" fontId="3" fillId="0" borderId="0" xfId="23" applyFont="1" applyFill="1" applyBorder="1" applyAlignment="1" applyProtection="1">
      <alignment horizontal="center" vertical="center" wrapText="1"/>
    </xf>
    <xf numFmtId="0" fontId="6" fillId="5" borderId="72" xfId="23" applyFont="1" applyFill="1" applyBorder="1" applyProtection="1"/>
    <xf numFmtId="0" fontId="6" fillId="0" borderId="49" xfId="23" applyFont="1" applyFill="1" applyBorder="1" applyProtection="1"/>
    <xf numFmtId="0" fontId="6" fillId="5" borderId="52" xfId="23" applyFont="1" applyFill="1" applyBorder="1" applyProtection="1"/>
    <xf numFmtId="0" fontId="6" fillId="0" borderId="56" xfId="23" applyFont="1" applyFill="1" applyBorder="1" applyProtection="1"/>
    <xf numFmtId="0" fontId="6" fillId="5" borderId="55" xfId="23" applyFont="1" applyFill="1" applyBorder="1" applyProtection="1"/>
    <xf numFmtId="0" fontId="3" fillId="19" borderId="44" xfId="23" applyFont="1" applyFill="1" applyBorder="1" applyAlignment="1" applyProtection="1">
      <alignment vertical="center" wrapText="1"/>
    </xf>
    <xf numFmtId="0" fontId="3" fillId="19" borderId="76" xfId="23" applyFont="1" applyFill="1" applyBorder="1" applyAlignment="1" applyProtection="1">
      <alignment horizontal="center" vertical="center" wrapText="1"/>
    </xf>
    <xf numFmtId="0" fontId="3" fillId="19" borderId="78" xfId="23" applyFont="1" applyFill="1" applyBorder="1" applyAlignment="1" applyProtection="1">
      <alignment horizontal="center" vertical="center" wrapText="1"/>
    </xf>
    <xf numFmtId="3" fontId="3" fillId="19" borderId="77" xfId="23" applyNumberFormat="1" applyFont="1" applyFill="1" applyBorder="1" applyAlignment="1" applyProtection="1">
      <alignment horizontal="center" vertical="center" wrapText="1"/>
    </xf>
    <xf numFmtId="0" fontId="6" fillId="5" borderId="57" xfId="23" applyFont="1" applyFill="1" applyBorder="1" applyProtection="1"/>
    <xf numFmtId="43" fontId="6" fillId="5" borderId="70" xfId="12" applyFont="1" applyFill="1" applyBorder="1" applyProtection="1"/>
    <xf numFmtId="0" fontId="6" fillId="5" borderId="73" xfId="23" applyFont="1" applyFill="1" applyBorder="1" applyProtection="1"/>
    <xf numFmtId="0" fontId="6" fillId="5" borderId="73" xfId="23" applyFont="1" applyFill="1" applyBorder="1" applyAlignment="1" applyProtection="1">
      <alignment vertical="center" wrapText="1"/>
    </xf>
    <xf numFmtId="0" fontId="6" fillId="5" borderId="53" xfId="23" applyFont="1" applyFill="1" applyBorder="1" applyProtection="1"/>
    <xf numFmtId="43" fontId="6" fillId="5" borderId="54" xfId="12" applyFont="1" applyFill="1" applyBorder="1" applyProtection="1"/>
    <xf numFmtId="0" fontId="7" fillId="0" borderId="55" xfId="23" applyBorder="1" applyAlignment="1" applyProtection="1">
      <alignment vertical="center" wrapText="1"/>
    </xf>
    <xf numFmtId="0" fontId="3" fillId="12" borderId="7" xfId="23" applyFont="1" applyFill="1" applyBorder="1" applyAlignment="1" applyProtection="1">
      <alignment vertical="center" wrapText="1"/>
    </xf>
    <xf numFmtId="0" fontId="3" fillId="12" borderId="76" xfId="23" applyFont="1" applyFill="1" applyBorder="1" applyAlignment="1" applyProtection="1">
      <alignment horizontal="center" vertical="center" wrapText="1"/>
    </xf>
    <xf numFmtId="0" fontId="3" fillId="12" borderId="78" xfId="23" applyFont="1" applyFill="1" applyBorder="1" applyAlignment="1" applyProtection="1">
      <alignment horizontal="center" vertical="center" wrapText="1"/>
    </xf>
    <xf numFmtId="3" fontId="3" fillId="12" borderId="77" xfId="23" applyNumberFormat="1" applyFont="1" applyFill="1" applyBorder="1" applyAlignment="1" applyProtection="1">
      <alignment horizontal="center" vertical="center" wrapText="1"/>
    </xf>
    <xf numFmtId="0" fontId="6" fillId="5" borderId="52" xfId="23" applyFont="1" applyFill="1" applyBorder="1" applyAlignment="1" applyProtection="1">
      <alignment horizontal="center"/>
    </xf>
    <xf numFmtId="0" fontId="7" fillId="15" borderId="0" xfId="39" applyFont="1" applyFill="1" applyBorder="1" applyProtection="1"/>
    <xf numFmtId="0" fontId="3" fillId="7" borderId="7" xfId="23" applyFont="1" applyFill="1" applyBorder="1" applyAlignment="1" applyProtection="1">
      <alignment horizontal="left" vertical="center"/>
    </xf>
    <xf numFmtId="0" fontId="3" fillId="7" borderId="8" xfId="23" applyFont="1" applyFill="1" applyBorder="1" applyProtection="1"/>
    <xf numFmtId="0" fontId="6" fillId="7" borderId="8" xfId="23" applyFont="1" applyFill="1" applyBorder="1" applyAlignment="1" applyProtection="1">
      <alignment vertical="center"/>
    </xf>
    <xf numFmtId="164" fontId="3" fillId="7" borderId="9" xfId="39" applyNumberFormat="1" applyFont="1" applyFill="1" applyBorder="1" applyAlignment="1" applyProtection="1">
      <alignment horizontal="center"/>
    </xf>
    <xf numFmtId="164" fontId="3" fillId="0" borderId="0" xfId="39" applyNumberFormat="1" applyFont="1" applyFill="1" applyBorder="1" applyAlignment="1" applyProtection="1">
      <alignment horizontal="center"/>
    </xf>
    <xf numFmtId="0" fontId="3" fillId="0" borderId="0" xfId="39" applyFont="1" applyFill="1" applyBorder="1" applyAlignment="1" applyProtection="1">
      <alignment horizontal="center" vertical="center"/>
    </xf>
    <xf numFmtId="0" fontId="5" fillId="17" borderId="36" xfId="39" applyFont="1" applyFill="1" applyBorder="1" applyAlignment="1" applyProtection="1">
      <alignment horizontal="center" vertical="center" wrapText="1"/>
    </xf>
    <xf numFmtId="0" fontId="5" fillId="17" borderId="10" xfId="39" applyFont="1" applyFill="1" applyBorder="1" applyAlignment="1" applyProtection="1">
      <alignment horizontal="center" vertical="center" wrapText="1"/>
    </xf>
    <xf numFmtId="0" fontId="5" fillId="17" borderId="47" xfId="39" applyFont="1" applyFill="1" applyBorder="1" applyAlignment="1" applyProtection="1">
      <alignment horizontal="center"/>
    </xf>
    <xf numFmtId="3" fontId="5" fillId="17" borderId="61" xfId="39" applyNumberFormat="1" applyFont="1" applyFill="1" applyBorder="1" applyAlignment="1" applyProtection="1">
      <alignment horizontal="center"/>
    </xf>
    <xf numFmtId="3" fontId="5" fillId="0" borderId="0" xfId="39" applyNumberFormat="1" applyFont="1" applyFill="1" applyBorder="1" applyAlignment="1" applyProtection="1">
      <alignment horizontal="center"/>
    </xf>
    <xf numFmtId="0" fontId="3" fillId="0" borderId="42" xfId="39" applyFont="1" applyBorder="1" applyAlignment="1" applyProtection="1">
      <alignment horizontal="left" vertical="center"/>
    </xf>
    <xf numFmtId="0" fontId="6" fillId="0" borderId="19" xfId="39" applyFont="1" applyBorder="1" applyAlignment="1" applyProtection="1">
      <alignment horizontal="left" wrapText="1"/>
    </xf>
    <xf numFmtId="0" fontId="6" fillId="11" borderId="19" xfId="39" applyFont="1" applyFill="1" applyBorder="1" applyProtection="1"/>
    <xf numFmtId="164" fontId="6" fillId="11" borderId="12" xfId="1" applyNumberFormat="1" applyFont="1" applyFill="1" applyBorder="1" applyAlignment="1" applyProtection="1">
      <alignment horizontal="center"/>
    </xf>
    <xf numFmtId="164" fontId="6" fillId="11" borderId="31" xfId="39" applyNumberFormat="1" applyFont="1" applyFill="1" applyBorder="1" applyAlignment="1" applyProtection="1"/>
    <xf numFmtId="1" fontId="6" fillId="0" borderId="31" xfId="39" applyNumberFormat="1" applyFont="1" applyFill="1" applyBorder="1" applyAlignment="1" applyProtection="1">
      <alignment horizontal="center"/>
    </xf>
    <xf numFmtId="164" fontId="6" fillId="0" borderId="38" xfId="39" applyNumberFormat="1" applyFont="1" applyFill="1" applyBorder="1" applyAlignment="1" applyProtection="1">
      <alignment horizontal="center"/>
    </xf>
    <xf numFmtId="164" fontId="6" fillId="0" borderId="0" xfId="39" applyNumberFormat="1" applyFont="1" applyFill="1" applyBorder="1" applyAlignment="1" applyProtection="1">
      <alignment horizontal="center"/>
    </xf>
    <xf numFmtId="0" fontId="6" fillId="0" borderId="0" xfId="39" applyFont="1" applyProtection="1"/>
    <xf numFmtId="0" fontId="5" fillId="17" borderId="33" xfId="39" applyFont="1" applyFill="1" applyBorder="1" applyAlignment="1" applyProtection="1">
      <alignment horizontal="center"/>
    </xf>
    <xf numFmtId="164" fontId="5" fillId="17" borderId="41" xfId="39" applyNumberFormat="1" applyFont="1" applyFill="1" applyBorder="1" applyAlignment="1" applyProtection="1">
      <alignment horizontal="center"/>
    </xf>
    <xf numFmtId="164" fontId="5" fillId="0" borderId="0" xfId="39" applyNumberFormat="1" applyFont="1" applyFill="1" applyBorder="1" applyAlignment="1" applyProtection="1">
      <alignment horizontal="center"/>
    </xf>
    <xf numFmtId="0" fontId="3" fillId="0" borderId="42" xfId="39" applyFont="1" applyBorder="1" applyProtection="1"/>
    <xf numFmtId="0" fontId="25" fillId="11" borderId="19" xfId="39" applyFill="1" applyBorder="1" applyProtection="1"/>
    <xf numFmtId="164" fontId="25" fillId="11" borderId="31" xfId="39" applyNumberFormat="1" applyFill="1" applyBorder="1" applyAlignment="1" applyProtection="1"/>
    <xf numFmtId="0" fontId="6" fillId="0" borderId="31" xfId="39" applyFont="1" applyBorder="1" applyAlignment="1" applyProtection="1">
      <alignment horizontal="center"/>
    </xf>
    <xf numFmtId="165" fontId="6" fillId="0" borderId="0" xfId="39" applyNumberFormat="1" applyFont="1" applyFill="1" applyBorder="1" applyAlignment="1" applyProtection="1">
      <alignment horizontal="center"/>
    </xf>
    <xf numFmtId="0" fontId="3" fillId="7" borderId="44" xfId="39" applyFont="1" applyFill="1" applyBorder="1" applyAlignment="1" applyProtection="1">
      <alignment horizontal="left" vertical="center"/>
    </xf>
    <xf numFmtId="0" fontId="5" fillId="7" borderId="46" xfId="39" applyFont="1" applyFill="1" applyBorder="1" applyAlignment="1" applyProtection="1">
      <alignment horizontal="center"/>
    </xf>
    <xf numFmtId="164" fontId="3" fillId="7" borderId="14" xfId="39" applyNumberFormat="1" applyFont="1" applyFill="1" applyBorder="1" applyAlignment="1" applyProtection="1">
      <alignment horizontal="center" vertical="center"/>
    </xf>
    <xf numFmtId="164" fontId="6" fillId="15" borderId="0" xfId="23" applyNumberFormat="1" applyFont="1" applyFill="1" applyBorder="1" applyProtection="1"/>
    <xf numFmtId="0" fontId="5" fillId="0" borderId="11" xfId="39" applyFont="1" applyFill="1" applyBorder="1" applyAlignment="1" applyProtection="1">
      <alignment horizontal="center" vertical="center" wrapText="1"/>
    </xf>
    <xf numFmtId="0" fontId="5" fillId="0" borderId="16" xfId="39" applyFont="1" applyFill="1" applyBorder="1" applyAlignment="1" applyProtection="1">
      <alignment horizontal="center"/>
    </xf>
    <xf numFmtId="3" fontId="5" fillId="0" borderId="62" xfId="39" applyNumberFormat="1" applyFont="1" applyFill="1" applyBorder="1" applyAlignment="1" applyProtection="1">
      <alignment horizontal="center"/>
    </xf>
    <xf numFmtId="0" fontId="7" fillId="0" borderId="0" xfId="39" applyFont="1" applyFill="1" applyProtection="1"/>
    <xf numFmtId="0" fontId="25" fillId="0" borderId="0" xfId="39" applyFill="1" applyProtection="1"/>
    <xf numFmtId="0" fontId="5" fillId="17" borderId="11" xfId="39" applyFont="1" applyFill="1" applyBorder="1" applyAlignment="1" applyProtection="1">
      <alignment horizontal="center" vertical="center" wrapText="1"/>
    </xf>
    <xf numFmtId="0" fontId="5" fillId="17" borderId="12" xfId="39" applyFont="1" applyFill="1" applyBorder="1" applyAlignment="1" applyProtection="1">
      <alignment horizontal="center"/>
    </xf>
    <xf numFmtId="0" fontId="3" fillId="20" borderId="42" xfId="39" applyFont="1" applyFill="1" applyBorder="1" applyAlignment="1" applyProtection="1">
      <alignment horizontal="left" wrapText="1"/>
    </xf>
    <xf numFmtId="0" fontId="6" fillId="20" borderId="19" xfId="39" applyFont="1" applyFill="1" applyBorder="1" applyAlignment="1" applyProtection="1">
      <alignment horizontal="left" wrapText="1"/>
    </xf>
    <xf numFmtId="0" fontId="25" fillId="20" borderId="19" xfId="39" applyFill="1" applyBorder="1" applyProtection="1"/>
    <xf numFmtId="164" fontId="6" fillId="20" borderId="12" xfId="1" applyNumberFormat="1" applyFont="1" applyFill="1" applyBorder="1" applyAlignment="1" applyProtection="1">
      <alignment horizontal="center"/>
    </xf>
    <xf numFmtId="164" fontId="25" fillId="20" borderId="31" xfId="39" applyNumberFormat="1" applyFill="1" applyBorder="1" applyAlignment="1" applyProtection="1"/>
    <xf numFmtId="0" fontId="6" fillId="20" borderId="31" xfId="39" applyFont="1" applyFill="1" applyBorder="1" applyAlignment="1" applyProtection="1">
      <alignment horizontal="center"/>
    </xf>
    <xf numFmtId="164" fontId="6" fillId="20" borderId="38" xfId="39" applyNumberFormat="1" applyFont="1" applyFill="1" applyBorder="1" applyAlignment="1" applyProtection="1">
      <alignment horizontal="center"/>
    </xf>
    <xf numFmtId="0" fontId="7" fillId="0" borderId="24" xfId="39" applyFont="1" applyFill="1" applyBorder="1" applyAlignment="1" applyProtection="1">
      <alignment horizontal="left" wrapText="1"/>
    </xf>
    <xf numFmtId="0" fontId="25" fillId="0" borderId="24" xfId="39" applyFill="1" applyBorder="1" applyProtection="1"/>
    <xf numFmtId="164" fontId="3" fillId="0" borderId="30" xfId="39" applyNumberFormat="1" applyFont="1" applyFill="1" applyBorder="1" applyAlignment="1" applyProtection="1">
      <alignment horizontal="center"/>
    </xf>
    <xf numFmtId="164" fontId="25" fillId="0" borderId="25" xfId="39" applyNumberFormat="1" applyFill="1" applyBorder="1" applyAlignment="1" applyProtection="1"/>
    <xf numFmtId="0" fontId="6" fillId="0" borderId="25" xfId="39" applyFont="1" applyFill="1" applyBorder="1" applyAlignment="1" applyProtection="1">
      <alignment horizontal="center"/>
    </xf>
    <xf numFmtId="164" fontId="6" fillId="0" borderId="41" xfId="39" applyNumberFormat="1" applyFont="1" applyFill="1" applyBorder="1" applyAlignment="1" applyProtection="1">
      <alignment horizontal="center"/>
    </xf>
    <xf numFmtId="0" fontId="5" fillId="17" borderId="44" xfId="39" applyFont="1" applyFill="1" applyBorder="1" applyAlignment="1" applyProtection="1">
      <alignment horizontal="center" vertical="center" wrapText="1"/>
    </xf>
    <xf numFmtId="0" fontId="5" fillId="17" borderId="68" xfId="39" applyFont="1" applyFill="1" applyBorder="1" applyAlignment="1" applyProtection="1">
      <alignment horizontal="center" vertical="center" wrapText="1"/>
    </xf>
    <xf numFmtId="0" fontId="25" fillId="17" borderId="68" xfId="39" applyFill="1" applyBorder="1" applyAlignment="1" applyProtection="1">
      <alignment horizontal="center"/>
    </xf>
    <xf numFmtId="164" fontId="5" fillId="17" borderId="66" xfId="39" applyNumberFormat="1" applyFont="1" applyFill="1" applyBorder="1" applyAlignment="1" applyProtection="1">
      <alignment horizontal="center"/>
    </xf>
    <xf numFmtId="164" fontId="6" fillId="0" borderId="0" xfId="23" applyNumberFormat="1" applyFont="1" applyFill="1" applyBorder="1" applyProtection="1"/>
    <xf numFmtId="0" fontId="3" fillId="0" borderId="0" xfId="39" applyFont="1" applyFill="1" applyBorder="1" applyProtection="1"/>
    <xf numFmtId="164" fontId="5" fillId="0" borderId="0" xfId="39" applyNumberFormat="1" applyFont="1" applyFill="1" applyBorder="1" applyProtection="1"/>
    <xf numFmtId="0" fontId="5" fillId="0" borderId="0" xfId="39" applyFont="1" applyFill="1" applyBorder="1" applyProtection="1"/>
    <xf numFmtId="164" fontId="5" fillId="0" borderId="0" xfId="39" applyNumberFormat="1" applyFont="1" applyFill="1" applyBorder="1" applyAlignment="1" applyProtection="1"/>
    <xf numFmtId="0" fontId="5" fillId="0" borderId="0" xfId="39" applyFont="1" applyFill="1" applyBorder="1" applyAlignment="1" applyProtection="1">
      <alignment horizontal="center"/>
    </xf>
    <xf numFmtId="3" fontId="25" fillId="0" borderId="0" xfId="39" applyNumberFormat="1" applyBorder="1" applyProtection="1"/>
    <xf numFmtId="0" fontId="5" fillId="0" borderId="12" xfId="39" applyFont="1" applyBorder="1" applyAlignment="1" applyProtection="1">
      <alignment horizontal="center" vertical="center" wrapText="1"/>
    </xf>
    <xf numFmtId="0" fontId="7" fillId="0" borderId="0" xfId="39" applyFont="1" applyAlignment="1" applyProtection="1">
      <alignment wrapText="1"/>
    </xf>
    <xf numFmtId="0" fontId="25" fillId="0" borderId="0" xfId="39" applyAlignment="1" applyProtection="1">
      <alignment wrapText="1"/>
    </xf>
    <xf numFmtId="0" fontId="6" fillId="0" borderId="20" xfId="39" applyFont="1" applyBorder="1" applyProtection="1"/>
    <xf numFmtId="164" fontId="6" fillId="11" borderId="12" xfId="39" applyNumberFormat="1" applyFont="1" applyFill="1" applyBorder="1" applyAlignment="1" applyProtection="1">
      <alignment horizontal="center"/>
    </xf>
    <xf numFmtId="3" fontId="6" fillId="0" borderId="31" xfId="39" applyNumberFormat="1" applyFont="1" applyFill="1" applyBorder="1" applyAlignment="1" applyProtection="1">
      <alignment horizontal="center"/>
    </xf>
    <xf numFmtId="164" fontId="6" fillId="0" borderId="20" xfId="39" applyNumberFormat="1" applyFont="1" applyFill="1" applyBorder="1" applyAlignment="1" applyProtection="1">
      <alignment horizontal="center"/>
    </xf>
    <xf numFmtId="10" fontId="6" fillId="21" borderId="59" xfId="39" applyNumberFormat="1" applyFont="1" applyFill="1" applyBorder="1" applyAlignment="1" applyProtection="1">
      <alignment horizontal="center"/>
    </xf>
    <xf numFmtId="3" fontId="6" fillId="21" borderId="63" xfId="39" applyNumberFormat="1" applyFont="1" applyFill="1" applyBorder="1" applyAlignment="1" applyProtection="1">
      <alignment horizontal="center"/>
    </xf>
    <xf numFmtId="0" fontId="26" fillId="18" borderId="3" xfId="39" applyFont="1" applyFill="1" applyBorder="1" applyProtection="1"/>
    <xf numFmtId="0" fontId="27" fillId="18" borderId="0" xfId="39" applyFont="1" applyFill="1" applyBorder="1" applyProtection="1"/>
    <xf numFmtId="165" fontId="27" fillId="18" borderId="0" xfId="39" applyNumberFormat="1" applyFont="1" applyFill="1" applyBorder="1" applyAlignment="1" applyProtection="1">
      <alignment horizontal="center"/>
    </xf>
    <xf numFmtId="165" fontId="3" fillId="18" borderId="0" xfId="39" applyNumberFormat="1" applyFont="1" applyFill="1" applyBorder="1" applyAlignment="1" applyProtection="1">
      <alignment horizontal="center"/>
    </xf>
    <xf numFmtId="3" fontId="3" fillId="18" borderId="0" xfId="39" applyNumberFormat="1" applyFont="1" applyFill="1" applyBorder="1" applyAlignment="1" applyProtection="1">
      <alignment horizontal="center"/>
    </xf>
    <xf numFmtId="164" fontId="3" fillId="18" borderId="0" xfId="39" applyNumberFormat="1" applyFont="1" applyFill="1" applyBorder="1" applyAlignment="1" applyProtection="1">
      <alignment horizontal="center"/>
    </xf>
    <xf numFmtId="164" fontId="3" fillId="21" borderId="4" xfId="39" applyNumberFormat="1" applyFont="1" applyFill="1" applyBorder="1" applyAlignment="1" applyProtection="1">
      <alignment horizontal="center"/>
    </xf>
    <xf numFmtId="0" fontId="7" fillId="18" borderId="0" xfId="39" applyFont="1" applyFill="1" applyProtection="1"/>
    <xf numFmtId="0" fontId="5" fillId="17" borderId="39" xfId="39" applyFont="1" applyFill="1" applyBorder="1" applyAlignment="1" applyProtection="1">
      <alignment horizontal="center" vertical="center" wrapText="1"/>
    </xf>
    <xf numFmtId="165" fontId="5" fillId="0" borderId="16" xfId="39" applyNumberFormat="1" applyFont="1" applyBorder="1" applyAlignment="1" applyProtection="1">
      <alignment horizontal="center" wrapText="1"/>
    </xf>
    <xf numFmtId="0" fontId="5" fillId="0" borderId="16" xfId="39" applyFont="1" applyBorder="1" applyAlignment="1" applyProtection="1">
      <alignment horizontal="center" wrapText="1"/>
    </xf>
    <xf numFmtId="3" fontId="5" fillId="0" borderId="18" xfId="39" applyNumberFormat="1" applyFont="1" applyBorder="1" applyAlignment="1" applyProtection="1">
      <alignment horizontal="center"/>
    </xf>
    <xf numFmtId="0" fontId="7" fillId="0" borderId="0" xfId="39" applyFont="1" applyFill="1" applyBorder="1" applyProtection="1"/>
    <xf numFmtId="0" fontId="6" fillId="0" borderId="31" xfId="39" applyFont="1" applyBorder="1" applyAlignment="1" applyProtection="1">
      <alignment horizontal="left"/>
    </xf>
    <xf numFmtId="164" fontId="25" fillId="11" borderId="12" xfId="39" applyNumberFormat="1" applyFill="1" applyBorder="1" applyAlignment="1" applyProtection="1">
      <alignment horizontal="right" wrapText="1"/>
    </xf>
    <xf numFmtId="1" fontId="7" fillId="0" borderId="12" xfId="39" applyNumberFormat="1" applyFont="1" applyFill="1" applyBorder="1" applyAlignment="1" applyProtection="1">
      <alignment horizontal="center"/>
    </xf>
    <xf numFmtId="3" fontId="25" fillId="0" borderId="19" xfId="39" applyNumberFormat="1" applyBorder="1" applyAlignment="1" applyProtection="1">
      <alignment horizontal="center"/>
    </xf>
    <xf numFmtId="3" fontId="25" fillId="21" borderId="59" xfId="39" applyNumberFormat="1" applyFill="1" applyBorder="1" applyAlignment="1" applyProtection="1">
      <alignment horizontal="center"/>
    </xf>
    <xf numFmtId="3" fontId="25" fillId="21" borderId="38" xfId="39" applyNumberFormat="1" applyFill="1" applyBorder="1" applyAlignment="1" applyProtection="1">
      <alignment horizontal="center"/>
    </xf>
    <xf numFmtId="0" fontId="6" fillId="0" borderId="31" xfId="39" applyFont="1" applyFill="1" applyBorder="1" applyAlignment="1" applyProtection="1">
      <alignment horizontal="left"/>
    </xf>
    <xf numFmtId="164" fontId="6" fillId="0" borderId="19" xfId="39" applyNumberFormat="1" applyFont="1" applyBorder="1" applyAlignment="1" applyProtection="1">
      <alignment horizontal="center"/>
    </xf>
    <xf numFmtId="0" fontId="6" fillId="0" borderId="31" xfId="39" applyFont="1" applyBorder="1" applyAlignment="1" applyProtection="1">
      <alignment horizontal="left" wrapText="1"/>
    </xf>
    <xf numFmtId="0" fontId="28" fillId="18" borderId="3" xfId="39" applyFont="1" applyFill="1" applyBorder="1" applyProtection="1"/>
    <xf numFmtId="0" fontId="29" fillId="18" borderId="0" xfId="39" applyFont="1" applyFill="1" applyBorder="1" applyProtection="1"/>
    <xf numFmtId="165" fontId="29" fillId="18" borderId="0" xfId="39" applyNumberFormat="1" applyFont="1" applyFill="1" applyBorder="1" applyProtection="1"/>
    <xf numFmtId="164" fontId="3" fillId="21" borderId="15" xfId="39" applyNumberFormat="1" applyFont="1" applyFill="1" applyBorder="1" applyAlignment="1" applyProtection="1">
      <alignment horizontal="center"/>
    </xf>
    <xf numFmtId="3" fontId="3" fillId="21" borderId="4" xfId="39" applyNumberFormat="1" applyFont="1" applyFill="1" applyBorder="1" applyAlignment="1" applyProtection="1">
      <alignment horizontal="center"/>
    </xf>
    <xf numFmtId="0" fontId="5" fillId="17" borderId="33" xfId="39" applyFont="1" applyFill="1" applyBorder="1" applyAlignment="1" applyProtection="1">
      <alignment horizontal="center" wrapText="1"/>
    </xf>
    <xf numFmtId="164" fontId="5" fillId="17" borderId="24" xfId="39" applyNumberFormat="1" applyFont="1" applyFill="1" applyBorder="1" applyAlignment="1" applyProtection="1">
      <alignment horizontal="center"/>
    </xf>
    <xf numFmtId="3" fontId="5" fillId="21" borderId="58" xfId="39" applyNumberFormat="1" applyFont="1" applyFill="1" applyBorder="1" applyAlignment="1" applyProtection="1">
      <alignment horizontal="center"/>
    </xf>
    <xf numFmtId="3" fontId="5" fillId="21" borderId="41" xfId="39" applyNumberFormat="1" applyFont="1" applyFill="1" applyBorder="1" applyAlignment="1" applyProtection="1">
      <alignment horizontal="center"/>
    </xf>
    <xf numFmtId="0" fontId="6" fillId="0" borderId="19" xfId="39" applyFont="1" applyBorder="1" applyAlignment="1" applyProtection="1">
      <alignment horizontal="center" wrapText="1"/>
    </xf>
    <xf numFmtId="164" fontId="6" fillId="11" borderId="20" xfId="39" applyNumberFormat="1" applyFont="1" applyFill="1" applyBorder="1" applyAlignment="1" applyProtection="1">
      <alignment horizontal="center"/>
    </xf>
    <xf numFmtId="0" fontId="3" fillId="17" borderId="36" xfId="39" applyFont="1" applyFill="1" applyBorder="1" applyAlignment="1" applyProtection="1">
      <alignment horizontal="center" vertical="center" wrapText="1"/>
    </xf>
    <xf numFmtId="0" fontId="3" fillId="17" borderId="10" xfId="39" applyFont="1" applyFill="1" applyBorder="1" applyAlignment="1" applyProtection="1">
      <alignment horizontal="center" vertical="center" wrapText="1"/>
    </xf>
    <xf numFmtId="3" fontId="5" fillId="17" borderId="12" xfId="39" applyNumberFormat="1" applyFont="1" applyFill="1" applyBorder="1" applyAlignment="1" applyProtection="1">
      <alignment horizontal="center" wrapText="1"/>
    </xf>
    <xf numFmtId="0" fontId="3" fillId="0" borderId="37" xfId="39" applyFont="1" applyBorder="1" applyAlignment="1" applyProtection="1">
      <alignment vertical="center" wrapText="1"/>
    </xf>
    <xf numFmtId="0" fontId="6" fillId="0" borderId="20" xfId="39" applyFont="1" applyBorder="1" applyAlignment="1" applyProtection="1">
      <alignment horizontal="center" wrapText="1"/>
    </xf>
    <xf numFmtId="3" fontId="7" fillId="0" borderId="0" xfId="39" applyNumberFormat="1" applyFont="1" applyProtection="1"/>
    <xf numFmtId="0" fontId="5" fillId="17" borderId="12" xfId="39" applyFont="1" applyFill="1" applyBorder="1" applyAlignment="1" applyProtection="1">
      <alignment horizontal="center" wrapText="1"/>
    </xf>
    <xf numFmtId="0" fontId="6" fillId="0" borderId="20" xfId="39" applyFont="1" applyBorder="1" applyAlignment="1" applyProtection="1">
      <alignment horizontal="center" vertical="center" wrapText="1"/>
    </xf>
    <xf numFmtId="0" fontId="25" fillId="11" borderId="31" xfId="39" applyNumberFormat="1" applyFill="1" applyBorder="1" applyAlignment="1" applyProtection="1"/>
    <xf numFmtId="164" fontId="6" fillId="0" borderId="19" xfId="39" applyNumberFormat="1" applyFont="1" applyFill="1" applyBorder="1" applyAlignment="1" applyProtection="1">
      <alignment horizontal="center"/>
    </xf>
    <xf numFmtId="164" fontId="6" fillId="21" borderId="59" xfId="39" applyNumberFormat="1" applyFont="1" applyFill="1" applyBorder="1" applyAlignment="1" applyProtection="1">
      <alignment horizontal="center"/>
    </xf>
    <xf numFmtId="164" fontId="6" fillId="21" borderId="38" xfId="39" applyNumberFormat="1" applyFont="1" applyFill="1" applyBorder="1" applyAlignment="1" applyProtection="1">
      <alignment horizontal="center"/>
    </xf>
    <xf numFmtId="0" fontId="25" fillId="0" borderId="19" xfId="39" applyBorder="1" applyAlignment="1" applyProtection="1">
      <alignment horizontal="left" wrapText="1"/>
    </xf>
    <xf numFmtId="165" fontId="6" fillId="21" borderId="59" xfId="39" applyNumberFormat="1" applyFont="1" applyFill="1" applyBorder="1" applyAlignment="1" applyProtection="1">
      <alignment horizontal="center"/>
    </xf>
    <xf numFmtId="165" fontId="6" fillId="21" borderId="38" xfId="39" applyNumberFormat="1" applyFont="1" applyFill="1" applyBorder="1" applyAlignment="1" applyProtection="1">
      <alignment horizontal="center"/>
    </xf>
    <xf numFmtId="0" fontId="7" fillId="0" borderId="19" xfId="39" applyFont="1" applyBorder="1" applyAlignment="1" applyProtection="1">
      <alignment horizontal="left" wrapText="1"/>
    </xf>
    <xf numFmtId="0" fontId="3" fillId="7" borderId="44" xfId="39" applyFont="1" applyFill="1" applyBorder="1" applyProtection="1"/>
    <xf numFmtId="0" fontId="5" fillId="7" borderId="45" xfId="39" applyFont="1" applyFill="1" applyBorder="1" applyProtection="1"/>
    <xf numFmtId="0" fontId="3" fillId="7" borderId="8" xfId="39" applyNumberFormat="1" applyFont="1" applyFill="1" applyBorder="1" applyAlignment="1" applyProtection="1">
      <alignment horizontal="center"/>
    </xf>
    <xf numFmtId="164" fontId="5" fillId="7" borderId="46" xfId="39" applyNumberFormat="1" applyFont="1" applyFill="1" applyBorder="1" applyAlignment="1" applyProtection="1"/>
    <xf numFmtId="164" fontId="5" fillId="7" borderId="46" xfId="39" applyNumberFormat="1" applyFont="1" applyFill="1" applyBorder="1" applyAlignment="1" applyProtection="1">
      <alignment horizontal="center"/>
    </xf>
    <xf numFmtId="164" fontId="3" fillId="7" borderId="8" xfId="39" applyNumberFormat="1" applyFont="1" applyFill="1" applyBorder="1" applyAlignment="1" applyProtection="1">
      <alignment horizontal="center"/>
    </xf>
    <xf numFmtId="10" fontId="3" fillId="21" borderId="9" xfId="39" applyNumberFormat="1" applyFont="1" applyFill="1" applyBorder="1" applyAlignment="1" applyProtection="1">
      <alignment horizontal="center"/>
    </xf>
    <xf numFmtId="0" fontId="7" fillId="0" borderId="30" xfId="39" applyFont="1" applyBorder="1" applyProtection="1"/>
    <xf numFmtId="164" fontId="25" fillId="0" borderId="30" xfId="39" applyNumberFormat="1" applyBorder="1" applyProtection="1"/>
    <xf numFmtId="3" fontId="25" fillId="0" borderId="30" xfId="39" applyNumberFormat="1" applyFill="1" applyBorder="1" applyProtection="1"/>
    <xf numFmtId="3" fontId="25" fillId="0" borderId="2" xfId="39" applyNumberFormat="1" applyFill="1" applyBorder="1" applyProtection="1"/>
    <xf numFmtId="0" fontId="6" fillId="0" borderId="3" xfId="39" applyFont="1" applyBorder="1" applyProtection="1"/>
    <xf numFmtId="164" fontId="25" fillId="0" borderId="0" xfId="39" applyNumberFormat="1" applyBorder="1" applyProtection="1"/>
    <xf numFmtId="3" fontId="25" fillId="0" borderId="4" xfId="39" applyNumberFormat="1" applyFill="1" applyBorder="1" applyProtection="1"/>
    <xf numFmtId="164" fontId="5" fillId="17" borderId="12" xfId="39" applyNumberFormat="1" applyFont="1" applyFill="1" applyBorder="1" applyAlignment="1" applyProtection="1">
      <alignment horizontal="center"/>
    </xf>
    <xf numFmtId="165" fontId="5" fillId="0" borderId="4" xfId="39" applyNumberFormat="1" applyFont="1" applyFill="1" applyBorder="1" applyAlignment="1" applyProtection="1">
      <alignment horizontal="center"/>
    </xf>
    <xf numFmtId="164" fontId="6" fillId="0" borderId="12" xfId="39" applyNumberFormat="1" applyFont="1" applyFill="1" applyBorder="1" applyAlignment="1" applyProtection="1">
      <alignment horizontal="center"/>
    </xf>
    <xf numFmtId="164" fontId="6" fillId="0" borderId="4" xfId="39" applyNumberFormat="1" applyFont="1" applyFill="1" applyBorder="1" applyAlignment="1" applyProtection="1">
      <alignment horizontal="center"/>
    </xf>
    <xf numFmtId="0" fontId="5" fillId="0" borderId="3" xfId="39" applyFont="1" applyBorder="1" applyAlignment="1" applyProtection="1">
      <alignment horizontal="left" vertical="center"/>
    </xf>
    <xf numFmtId="0" fontId="25" fillId="0" borderId="0" xfId="39" applyFill="1" applyBorder="1" applyProtection="1"/>
    <xf numFmtId="164" fontId="25" fillId="0" borderId="0" xfId="39" applyNumberFormat="1" applyFill="1" applyBorder="1" applyAlignment="1" applyProtection="1"/>
    <xf numFmtId="1" fontId="6" fillId="0" borderId="0" xfId="39" applyNumberFormat="1" applyFont="1" applyFill="1" applyBorder="1" applyAlignment="1" applyProtection="1">
      <alignment horizontal="center"/>
    </xf>
    <xf numFmtId="0" fontId="5" fillId="17" borderId="42" xfId="39" applyFont="1" applyFill="1" applyBorder="1" applyAlignment="1" applyProtection="1">
      <alignment horizontal="center" vertical="center" wrapText="1"/>
    </xf>
    <xf numFmtId="0" fontId="5" fillId="17" borderId="12" xfId="39" applyFont="1" applyFill="1" applyBorder="1" applyAlignment="1" applyProtection="1">
      <alignment horizontal="center" vertical="center" wrapText="1"/>
    </xf>
    <xf numFmtId="165" fontId="6" fillId="0" borderId="4" xfId="39" applyNumberFormat="1" applyFont="1" applyFill="1" applyBorder="1" applyAlignment="1" applyProtection="1">
      <alignment horizontal="center"/>
    </xf>
    <xf numFmtId="0" fontId="7" fillId="15" borderId="0" xfId="23" applyFont="1" applyFill="1" applyProtection="1"/>
    <xf numFmtId="164" fontId="7" fillId="0" borderId="0" xfId="39" applyNumberFormat="1" applyFont="1" applyProtection="1"/>
    <xf numFmtId="0" fontId="5" fillId="0" borderId="3" xfId="39" applyFont="1" applyFill="1" applyBorder="1" applyAlignment="1" applyProtection="1">
      <alignment horizontal="center" vertical="center" wrapText="1"/>
    </xf>
    <xf numFmtId="0" fontId="5" fillId="0" borderId="0" xfId="39" applyFont="1" applyFill="1" applyBorder="1" applyAlignment="1" applyProtection="1">
      <alignment horizontal="center" vertical="center" wrapText="1"/>
    </xf>
    <xf numFmtId="3" fontId="3" fillId="22" borderId="8" xfId="1" applyNumberFormat="1" applyFont="1" applyFill="1" applyBorder="1" applyAlignment="1" applyProtection="1">
      <alignment horizontal="center"/>
    </xf>
    <xf numFmtId="0" fontId="3" fillId="18" borderId="3" xfId="39" applyFont="1" applyFill="1" applyBorder="1" applyProtection="1"/>
    <xf numFmtId="164" fontId="6" fillId="18" borderId="0" xfId="39" applyNumberFormat="1" applyFont="1" applyFill="1" applyBorder="1" applyAlignment="1" applyProtection="1"/>
    <xf numFmtId="0" fontId="6" fillId="18" borderId="0" xfId="39" applyFont="1" applyFill="1" applyBorder="1" applyAlignment="1" applyProtection="1">
      <alignment horizontal="center"/>
    </xf>
    <xf numFmtId="3" fontId="30" fillId="18" borderId="0" xfId="39" applyNumberFormat="1" applyFont="1" applyFill="1" applyBorder="1" applyAlignment="1" applyProtection="1">
      <alignment horizontal="center"/>
    </xf>
    <xf numFmtId="3" fontId="30" fillId="18" borderId="4" xfId="39" applyNumberFormat="1" applyFont="1" applyFill="1" applyBorder="1" applyAlignment="1" applyProtection="1">
      <alignment horizontal="center"/>
    </xf>
    <xf numFmtId="3" fontId="3" fillId="6" borderId="8" xfId="39" applyNumberFormat="1" applyFont="1" applyFill="1" applyBorder="1" applyAlignment="1" applyProtection="1">
      <alignment horizontal="center"/>
    </xf>
    <xf numFmtId="0" fontId="5" fillId="17" borderId="37" xfId="39" applyFont="1" applyFill="1" applyBorder="1" applyAlignment="1" applyProtection="1">
      <alignment horizontal="center" vertical="center" wrapText="1"/>
    </xf>
    <xf numFmtId="3" fontId="5" fillId="17" borderId="33" xfId="39" applyNumberFormat="1" applyFont="1" applyFill="1" applyBorder="1" applyAlignment="1" applyProtection="1">
      <alignment horizontal="center"/>
    </xf>
    <xf numFmtId="0" fontId="5" fillId="0" borderId="5" xfId="39" applyFont="1" applyBorder="1" applyAlignment="1" applyProtection="1">
      <alignment horizontal="left" vertical="center"/>
    </xf>
    <xf numFmtId="0" fontId="25" fillId="0" borderId="13" xfId="39" applyBorder="1" applyAlignment="1" applyProtection="1">
      <alignment horizontal="left" wrapText="1"/>
    </xf>
    <xf numFmtId="0" fontId="25" fillId="0" borderId="13" xfId="39" applyFill="1" applyBorder="1" applyProtection="1"/>
    <xf numFmtId="164" fontId="6" fillId="0" borderId="13" xfId="39" applyNumberFormat="1" applyFont="1" applyFill="1" applyBorder="1" applyAlignment="1" applyProtection="1">
      <alignment horizontal="center"/>
    </xf>
    <xf numFmtId="164" fontId="25" fillId="0" borderId="13" xfId="39" applyNumberFormat="1" applyFill="1" applyBorder="1" applyAlignment="1" applyProtection="1"/>
    <xf numFmtId="1" fontId="6" fillId="0" borderId="13" xfId="39" applyNumberFormat="1" applyFont="1" applyFill="1" applyBorder="1" applyAlignment="1" applyProtection="1">
      <alignment horizontal="center"/>
    </xf>
    <xf numFmtId="3" fontId="6" fillId="0" borderId="13" xfId="39" applyNumberFormat="1" applyFont="1" applyFill="1" applyBorder="1" applyAlignment="1" applyProtection="1">
      <alignment horizontal="center"/>
    </xf>
    <xf numFmtId="164" fontId="6" fillId="0" borderId="6" xfId="39" applyNumberFormat="1" applyFont="1" applyFill="1" applyBorder="1" applyAlignment="1" applyProtection="1">
      <alignment horizontal="center"/>
    </xf>
    <xf numFmtId="3" fontId="25" fillId="0" borderId="0" xfId="39" applyNumberFormat="1" applyFill="1" applyProtection="1"/>
    <xf numFmtId="3" fontId="25" fillId="0" borderId="0" xfId="39" applyNumberFormat="1" applyProtection="1"/>
    <xf numFmtId="3" fontId="5" fillId="21" borderId="65" xfId="39" applyNumberFormat="1" applyFont="1" applyFill="1" applyBorder="1" applyAlignment="1" applyProtection="1">
      <alignment horizontal="center" wrapText="1"/>
    </xf>
    <xf numFmtId="0" fontId="7" fillId="17" borderId="38" xfId="1" applyFont="1" applyFill="1" applyBorder="1" applyAlignment="1" applyProtection="1">
      <alignment wrapText="1"/>
    </xf>
    <xf numFmtId="3" fontId="5" fillId="21" borderId="79" xfId="39" applyNumberFormat="1" applyFont="1" applyFill="1" applyBorder="1" applyAlignment="1" applyProtection="1">
      <alignment horizontal="center" wrapText="1"/>
    </xf>
    <xf numFmtId="0" fontId="3" fillId="0" borderId="3" xfId="39" applyFont="1" applyFill="1" applyBorder="1" applyProtection="1"/>
    <xf numFmtId="164" fontId="3" fillId="21" borderId="31" xfId="39" applyNumberFormat="1" applyFont="1" applyFill="1" applyBorder="1" applyAlignment="1" applyProtection="1">
      <alignment horizontal="center"/>
    </xf>
    <xf numFmtId="0" fontId="5" fillId="0" borderId="33" xfId="39" applyFont="1" applyBorder="1" applyAlignment="1" applyProtection="1">
      <alignment horizontal="center" vertical="center" wrapText="1"/>
    </xf>
    <xf numFmtId="164" fontId="6" fillId="11" borderId="33" xfId="39" applyNumberFormat="1" applyFont="1" applyFill="1" applyBorder="1" applyAlignment="1" applyProtection="1">
      <alignment horizontal="center"/>
    </xf>
    <xf numFmtId="3" fontId="6" fillId="0" borderId="25" xfId="39" applyNumberFormat="1" applyFont="1" applyFill="1" applyBorder="1" applyAlignment="1" applyProtection="1">
      <alignment horizontal="center"/>
    </xf>
    <xf numFmtId="0" fontId="26" fillId="18" borderId="7" xfId="39" applyFont="1" applyFill="1" applyBorder="1" applyProtection="1"/>
    <xf numFmtId="165" fontId="27" fillId="18" borderId="8" xfId="39" applyNumberFormat="1" applyFont="1" applyFill="1" applyBorder="1" applyAlignment="1" applyProtection="1">
      <alignment horizontal="center"/>
    </xf>
    <xf numFmtId="165" fontId="3" fillId="18" borderId="8" xfId="39" applyNumberFormat="1" applyFont="1" applyFill="1" applyBorder="1" applyAlignment="1" applyProtection="1">
      <alignment horizontal="center"/>
    </xf>
    <xf numFmtId="3" fontId="3" fillId="18" borderId="8" xfId="39" applyNumberFormat="1" applyFont="1" applyFill="1" applyBorder="1" applyAlignment="1" applyProtection="1">
      <alignment horizontal="center"/>
    </xf>
    <xf numFmtId="164" fontId="3" fillId="18" borderId="6" xfId="39" applyNumberFormat="1" applyFont="1" applyFill="1" applyBorder="1" applyAlignment="1" applyProtection="1">
      <alignment horizontal="center"/>
    </xf>
    <xf numFmtId="165" fontId="5" fillId="17" borderId="19" xfId="39" applyNumberFormat="1" applyFont="1" applyFill="1" applyBorder="1" applyAlignment="1" applyProtection="1"/>
    <xf numFmtId="165" fontId="5" fillId="17" borderId="31" xfId="39" applyNumberFormat="1" applyFont="1" applyFill="1" applyBorder="1" applyAlignment="1" applyProtection="1"/>
    <xf numFmtId="0" fontId="3" fillId="0" borderId="37" xfId="39" applyFont="1" applyFill="1" applyBorder="1" applyAlignment="1" applyProtection="1">
      <alignment vertical="center" wrapText="1"/>
    </xf>
    <xf numFmtId="0" fontId="3" fillId="0" borderId="43" xfId="39" applyFont="1" applyFill="1" applyBorder="1" applyAlignment="1" applyProtection="1">
      <alignment vertical="center" wrapText="1"/>
    </xf>
    <xf numFmtId="3" fontId="5" fillId="21" borderId="58" xfId="39" applyNumberFormat="1" applyFont="1" applyFill="1" applyBorder="1" applyAlignment="1" applyProtection="1">
      <alignment wrapText="1"/>
    </xf>
    <xf numFmtId="3" fontId="5" fillId="21" borderId="56" xfId="39" applyNumberFormat="1" applyFont="1" applyFill="1" applyBorder="1" applyAlignment="1" applyProtection="1">
      <alignment horizontal="center"/>
    </xf>
    <xf numFmtId="3" fontId="3" fillId="21" borderId="9" xfId="39" applyNumberFormat="1" applyFont="1" applyFill="1" applyBorder="1" applyAlignment="1" applyProtection="1">
      <alignment horizontal="center"/>
    </xf>
    <xf numFmtId="165" fontId="12" fillId="26" borderId="12" xfId="1" applyNumberFormat="1" applyFont="1" applyFill="1" applyBorder="1" applyAlignment="1" applyProtection="1">
      <alignment vertical="center"/>
      <protection locked="0"/>
    </xf>
    <xf numFmtId="165" fontId="12" fillId="26" borderId="12" xfId="12" applyNumberFormat="1" applyFont="1" applyFill="1" applyBorder="1" applyAlignment="1" applyProtection="1">
      <alignment horizontal="right" vertical="center"/>
      <protection locked="0"/>
    </xf>
    <xf numFmtId="0" fontId="0" fillId="0" borderId="0" xfId="0" applyAlignment="1">
      <alignment horizontal="center"/>
    </xf>
    <xf numFmtId="3" fontId="0" fillId="0" borderId="3" xfId="0" applyNumberFormat="1" applyFill="1" applyBorder="1"/>
    <xf numFmtId="164" fontId="3" fillId="0" borderId="9" xfId="39" applyNumberFormat="1" applyFont="1" applyFill="1" applyBorder="1" applyAlignment="1">
      <alignment horizontal="center" vertical="center"/>
    </xf>
    <xf numFmtId="0" fontId="7" fillId="17" borderId="59" xfId="1" applyFont="1" applyFill="1" applyBorder="1" applyAlignment="1" applyProtection="1">
      <alignment wrapText="1"/>
    </xf>
    <xf numFmtId="164" fontId="3" fillId="21" borderId="38" xfId="39" applyNumberFormat="1" applyFont="1" applyFill="1" applyBorder="1" applyAlignment="1" applyProtection="1">
      <alignment horizontal="center"/>
    </xf>
    <xf numFmtId="3" fontId="5" fillId="21" borderId="41" xfId="39" applyNumberFormat="1" applyFont="1" applyFill="1" applyBorder="1" applyAlignment="1" applyProtection="1">
      <alignment wrapText="1"/>
    </xf>
    <xf numFmtId="0" fontId="5" fillId="0" borderId="40" xfId="39" applyFont="1" applyFill="1" applyBorder="1" applyAlignment="1" applyProtection="1">
      <alignment horizontal="center" vertical="center" wrapText="1"/>
    </xf>
    <xf numFmtId="0" fontId="5" fillId="17" borderId="40" xfId="39" applyFont="1" applyFill="1" applyBorder="1" applyAlignment="1" applyProtection="1">
      <alignment horizontal="center" vertical="center" wrapText="1"/>
    </xf>
    <xf numFmtId="3" fontId="5" fillId="17" borderId="38" xfId="39" applyNumberFormat="1" applyFont="1" applyFill="1" applyBorder="1" applyAlignment="1" applyProtection="1">
      <alignment horizontal="center"/>
    </xf>
    <xf numFmtId="164" fontId="3" fillId="0" borderId="1" xfId="39" applyNumberFormat="1" applyFont="1" applyFill="1" applyBorder="1" applyAlignment="1" applyProtection="1">
      <alignment horizontal="left"/>
    </xf>
    <xf numFmtId="0" fontId="6" fillId="0" borderId="48" xfId="23" applyFont="1" applyBorder="1" applyAlignment="1" applyProtection="1">
      <alignment horizontal="left" wrapText="1"/>
    </xf>
    <xf numFmtId="0" fontId="5" fillId="0" borderId="0" xfId="39" applyNumberFormat="1" applyFont="1" applyFill="1" applyBorder="1" applyAlignment="1" applyProtection="1">
      <alignment horizontal="center"/>
    </xf>
    <xf numFmtId="0" fontId="5" fillId="28" borderId="9" xfId="39" applyNumberFormat="1" applyFont="1" applyFill="1" applyBorder="1" applyAlignment="1" applyProtection="1">
      <alignment horizontal="center"/>
    </xf>
    <xf numFmtId="0" fontId="3" fillId="28" borderId="9" xfId="39" applyNumberFormat="1" applyFont="1" applyFill="1" applyBorder="1" applyAlignment="1" applyProtection="1">
      <alignment horizontal="center"/>
    </xf>
    <xf numFmtId="3" fontId="5" fillId="0" borderId="27" xfId="39" applyNumberFormat="1" applyFont="1" applyBorder="1" applyAlignment="1" applyProtection="1">
      <alignment horizontal="center" wrapText="1"/>
    </xf>
    <xf numFmtId="0" fontId="5" fillId="0" borderId="11" xfId="39" applyFont="1" applyBorder="1" applyAlignment="1" applyProtection="1">
      <alignment horizontal="center" wrapText="1"/>
    </xf>
    <xf numFmtId="0" fontId="5" fillId="16" borderId="69" xfId="39" applyFont="1" applyFill="1" applyBorder="1" applyProtection="1"/>
    <xf numFmtId="0" fontId="25" fillId="16" borderId="80" xfId="39" applyFill="1" applyBorder="1" applyProtection="1"/>
    <xf numFmtId="3" fontId="25" fillId="16" borderId="80" xfId="39" applyNumberFormat="1" applyFill="1" applyBorder="1" applyProtection="1"/>
    <xf numFmtId="3" fontId="25" fillId="16" borderId="64" xfId="39" applyNumberFormat="1" applyFill="1" applyBorder="1" applyProtection="1"/>
    <xf numFmtId="0" fontId="22" fillId="0" borderId="0" xfId="24" applyFont="1" applyFill="1"/>
    <xf numFmtId="3" fontId="18" fillId="0" borderId="0" xfId="24" applyNumberFormat="1" applyFont="1" applyFill="1"/>
    <xf numFmtId="3" fontId="22" fillId="0" borderId="0" xfId="24" applyNumberFormat="1" applyFont="1" applyFill="1"/>
    <xf numFmtId="0" fontId="18" fillId="0" borderId="0" xfId="24" applyFont="1" applyFill="1"/>
    <xf numFmtId="3" fontId="23" fillId="0" borderId="0" xfId="24" applyNumberFormat="1" applyFont="1" applyFill="1" applyAlignment="1">
      <alignment horizontal="center"/>
    </xf>
    <xf numFmtId="3" fontId="23" fillId="0" borderId="0" xfId="24" applyNumberFormat="1" applyFont="1" applyFill="1" applyAlignment="1">
      <alignment horizontal="center" vertical="top" wrapText="1"/>
    </xf>
    <xf numFmtId="0" fontId="18" fillId="0" borderId="0" xfId="24" applyFont="1" applyFill="1" applyAlignment="1">
      <alignment horizontal="center"/>
    </xf>
    <xf numFmtId="3" fontId="18" fillId="0" borderId="0" xfId="24" applyNumberFormat="1" applyFont="1" applyFill="1" applyAlignment="1">
      <alignment horizontal="center"/>
    </xf>
    <xf numFmtId="3" fontId="18" fillId="0" borderId="0" xfId="24" applyNumberFormat="1" applyFont="1" applyFill="1" applyAlignment="1">
      <alignment horizontal="right"/>
    </xf>
    <xf numFmtId="0" fontId="18" fillId="0" borderId="29" xfId="24" applyFont="1" applyFill="1" applyBorder="1"/>
    <xf numFmtId="3" fontId="18" fillId="0" borderId="29" xfId="24" applyNumberFormat="1" applyFont="1" applyFill="1" applyBorder="1"/>
    <xf numFmtId="0" fontId="22" fillId="0" borderId="29" xfId="24" applyFont="1" applyFill="1" applyBorder="1"/>
    <xf numFmtId="3" fontId="22" fillId="0" borderId="29" xfId="24" applyNumberFormat="1" applyFont="1" applyFill="1" applyBorder="1"/>
    <xf numFmtId="3" fontId="22" fillId="0" borderId="0" xfId="24" applyNumberFormat="1" applyFont="1" applyFill="1" applyBorder="1"/>
    <xf numFmtId="0" fontId="0" fillId="0" borderId="12" xfId="0" applyBorder="1"/>
    <xf numFmtId="0" fontId="0" fillId="0" borderId="12" xfId="0" applyFill="1" applyBorder="1"/>
    <xf numFmtId="0" fontId="7" fillId="0" borderId="12" xfId="0" applyFont="1" applyBorder="1"/>
    <xf numFmtId="0" fontId="7" fillId="0" borderId="12" xfId="0" applyFont="1" applyFill="1" applyBorder="1"/>
    <xf numFmtId="0" fontId="0" fillId="0" borderId="26" xfId="0" applyFill="1" applyBorder="1"/>
    <xf numFmtId="3" fontId="0" fillId="29" borderId="25" xfId="0" applyNumberFormat="1" applyFill="1" applyBorder="1"/>
    <xf numFmtId="3" fontId="0" fillId="29" borderId="26" xfId="0" applyNumberFormat="1" applyFill="1" applyBorder="1"/>
    <xf numFmtId="3" fontId="0" fillId="29" borderId="17" xfId="0" applyNumberFormat="1" applyFill="1" applyBorder="1"/>
    <xf numFmtId="3" fontId="12" fillId="0" borderId="0" xfId="0" applyNumberFormat="1" applyFont="1" applyFill="1" applyAlignment="1">
      <alignment horizontal="center"/>
    </xf>
    <xf numFmtId="3" fontId="2" fillId="7" borderId="0" xfId="0" applyNumberFormat="1" applyFont="1" applyFill="1" applyAlignment="1">
      <alignment horizontal="center" vertical="center" wrapText="1"/>
    </xf>
    <xf numFmtId="0" fontId="23" fillId="0" borderId="0" xfId="0" applyFont="1" applyFill="1" applyBorder="1" applyAlignment="1">
      <alignment vertical="top" wrapText="1"/>
    </xf>
    <xf numFmtId="0" fontId="23" fillId="0" borderId="29" xfId="0" applyFont="1" applyFill="1" applyBorder="1" applyAlignment="1">
      <alignment vertical="top" wrapText="1"/>
    </xf>
    <xf numFmtId="3" fontId="23" fillId="0" borderId="29" xfId="0" applyNumberFormat="1" applyFont="1" applyFill="1" applyBorder="1" applyAlignment="1">
      <alignment vertical="top" wrapText="1"/>
    </xf>
    <xf numFmtId="3" fontId="23" fillId="0" borderId="0" xfId="0" applyNumberFormat="1" applyFont="1" applyFill="1"/>
    <xf numFmtId="0" fontId="23" fillId="0" borderId="0" xfId="0" applyFont="1" applyFill="1" applyBorder="1"/>
    <xf numFmtId="0" fontId="5" fillId="0" borderId="0" xfId="42" applyFont="1" applyBorder="1"/>
    <xf numFmtId="0" fontId="7" fillId="0" borderId="0" xfId="42"/>
    <xf numFmtId="0" fontId="7" fillId="0" borderId="0" xfId="42" applyNumberFormat="1" applyAlignment="1">
      <alignment horizontal="right"/>
    </xf>
    <xf numFmtId="0" fontId="7" fillId="0" borderId="0" xfId="42" applyAlignment="1">
      <alignment horizontal="center"/>
    </xf>
    <xf numFmtId="166" fontId="7" fillId="0" borderId="0" xfId="42" applyNumberFormat="1" applyAlignment="1">
      <alignment horizontal="center"/>
    </xf>
    <xf numFmtId="3" fontId="7" fillId="0" borderId="0" xfId="42" applyNumberFormat="1" applyAlignment="1">
      <alignment horizontal="center"/>
    </xf>
    <xf numFmtId="169" fontId="7" fillId="0" borderId="0" xfId="42" applyNumberFormat="1" applyAlignment="1">
      <alignment horizontal="center"/>
    </xf>
    <xf numFmtId="0" fontId="7" fillId="0" borderId="0" xfId="42" applyAlignment="1"/>
    <xf numFmtId="166" fontId="7" fillId="0" borderId="0" xfId="42" applyNumberFormat="1" applyAlignment="1"/>
    <xf numFmtId="166" fontId="7" fillId="0" borderId="0" xfId="42" applyNumberFormat="1" applyFill="1" applyBorder="1"/>
    <xf numFmtId="0" fontId="7" fillId="0" borderId="0" xfId="42" applyFill="1" applyBorder="1"/>
    <xf numFmtId="0" fontId="7" fillId="0" borderId="0" xfId="42" applyAlignment="1">
      <alignment horizontal="right"/>
    </xf>
    <xf numFmtId="0" fontId="7" fillId="0" borderId="0" xfId="42" applyBorder="1"/>
    <xf numFmtId="169" fontId="5" fillId="3" borderId="19" xfId="42" applyNumberFormat="1" applyFont="1" applyFill="1" applyBorder="1" applyAlignment="1">
      <alignment horizontal="centerContinuous"/>
    </xf>
    <xf numFmtId="0" fontId="5" fillId="3" borderId="20" xfId="42" applyFont="1" applyFill="1" applyBorder="1" applyAlignment="1">
      <alignment horizontal="centerContinuous"/>
    </xf>
    <xf numFmtId="169" fontId="5" fillId="3" borderId="20" xfId="42" applyNumberFormat="1" applyFont="1" applyFill="1" applyBorder="1" applyAlignment="1">
      <alignment horizontal="centerContinuous"/>
    </xf>
    <xf numFmtId="169" fontId="5" fillId="3" borderId="31" xfId="42" applyNumberFormat="1" applyFont="1" applyFill="1" applyBorder="1" applyAlignment="1">
      <alignment horizontal="centerContinuous"/>
    </xf>
    <xf numFmtId="0" fontId="5" fillId="0" borderId="0" xfId="42" applyFont="1"/>
    <xf numFmtId="0" fontId="5" fillId="0" borderId="0" xfId="42" applyNumberFormat="1" applyFont="1" applyAlignment="1">
      <alignment horizontal="right"/>
    </xf>
    <xf numFmtId="0" fontId="5" fillId="3" borderId="24" xfId="42" applyFont="1" applyFill="1" applyBorder="1"/>
    <xf numFmtId="0" fontId="5" fillId="3" borderId="32" xfId="42" applyFont="1" applyFill="1" applyBorder="1" applyAlignment="1">
      <alignment horizontal="centerContinuous" vertical="center" readingOrder="1"/>
    </xf>
    <xf numFmtId="166" fontId="5" fillId="3" borderId="32" xfId="42" applyNumberFormat="1" applyFont="1" applyFill="1" applyBorder="1" applyAlignment="1">
      <alignment horizontal="centerContinuous" vertical="center" readingOrder="1"/>
    </xf>
    <xf numFmtId="0" fontId="5" fillId="3" borderId="32" xfId="42" applyFont="1" applyFill="1" applyBorder="1" applyAlignment="1">
      <alignment horizontal="center"/>
    </xf>
    <xf numFmtId="0" fontId="5" fillId="6" borderId="32" xfId="42" applyFont="1" applyFill="1" applyBorder="1" applyAlignment="1">
      <alignment horizontal="centerContinuous" vertical="center"/>
    </xf>
    <xf numFmtId="166" fontId="5" fillId="6" borderId="32" xfId="42" applyNumberFormat="1" applyFont="1" applyFill="1" applyBorder="1" applyAlignment="1">
      <alignment horizontal="centerContinuous" vertical="center"/>
    </xf>
    <xf numFmtId="3" fontId="5" fillId="6" borderId="32" xfId="42" applyNumberFormat="1" applyFont="1" applyFill="1" applyBorder="1" applyAlignment="1">
      <alignment horizontal="centerContinuous" vertical="center"/>
    </xf>
    <xf numFmtId="0" fontId="5" fillId="3" borderId="32" xfId="42" applyFont="1" applyFill="1" applyBorder="1"/>
    <xf numFmtId="169" fontId="5" fillId="3" borderId="32" xfId="42" applyNumberFormat="1" applyFont="1" applyFill="1" applyBorder="1" applyAlignment="1">
      <alignment horizontal="center"/>
    </xf>
    <xf numFmtId="0" fontId="5" fillId="3" borderId="32" xfId="42" applyFont="1" applyFill="1" applyBorder="1" applyAlignment="1">
      <alignment horizontal="centerContinuous"/>
    </xf>
    <xf numFmtId="166" fontId="5" fillId="3" borderId="32" xfId="42" applyNumberFormat="1" applyFont="1" applyFill="1" applyBorder="1" applyAlignment="1">
      <alignment horizontal="centerContinuous"/>
    </xf>
    <xf numFmtId="166" fontId="5" fillId="9" borderId="32" xfId="42" applyNumberFormat="1" applyFont="1" applyFill="1" applyBorder="1" applyAlignment="1">
      <alignment horizontal="center"/>
    </xf>
    <xf numFmtId="0" fontId="5" fillId="9" borderId="32" xfId="42" applyFont="1" applyFill="1" applyBorder="1"/>
    <xf numFmtId="166" fontId="5" fillId="0" borderId="0" xfId="42" applyNumberFormat="1" applyFont="1" applyFill="1" applyBorder="1"/>
    <xf numFmtId="0" fontId="5" fillId="0" borderId="0" xfId="42" applyFont="1" applyFill="1" applyBorder="1"/>
    <xf numFmtId="0" fontId="5" fillId="0" borderId="0" xfId="42" applyFont="1" applyAlignment="1">
      <alignment horizontal="right"/>
    </xf>
    <xf numFmtId="0" fontId="7" fillId="3" borderId="27" xfId="42" applyFill="1" applyBorder="1"/>
    <xf numFmtId="0" fontId="7" fillId="0" borderId="23" xfId="42" applyBorder="1" applyAlignment="1">
      <alignment horizontal="center"/>
    </xf>
    <xf numFmtId="166" fontId="7" fillId="0" borderId="23" xfId="42" applyNumberFormat="1" applyBorder="1" applyAlignment="1">
      <alignment horizontal="center"/>
    </xf>
    <xf numFmtId="0" fontId="7" fillId="3" borderId="23" xfId="42" applyFill="1" applyBorder="1" applyAlignment="1">
      <alignment horizontal="center"/>
    </xf>
    <xf numFmtId="3" fontId="7" fillId="0" borderId="23" xfId="42" applyNumberFormat="1" applyBorder="1" applyAlignment="1">
      <alignment horizontal="center"/>
    </xf>
    <xf numFmtId="0" fontId="7" fillId="3" borderId="23" xfId="42" applyFill="1" applyBorder="1"/>
    <xf numFmtId="169" fontId="7" fillId="0" borderId="23" xfId="42" applyNumberFormat="1" applyBorder="1" applyAlignment="1">
      <alignment horizontal="center"/>
    </xf>
    <xf numFmtId="0" fontId="7" fillId="0" borderId="23" xfId="42" applyBorder="1" applyAlignment="1"/>
    <xf numFmtId="166" fontId="7" fillId="0" borderId="23" xfId="42" applyNumberFormat="1" applyBorder="1" applyAlignment="1"/>
    <xf numFmtId="0" fontId="7" fillId="9" borderId="23" xfId="42" applyFill="1" applyBorder="1"/>
    <xf numFmtId="0" fontId="5" fillId="0" borderId="12" xfId="42" applyFont="1" applyBorder="1" applyAlignment="1">
      <alignment horizontal="center" vertical="center" wrapText="1"/>
    </xf>
    <xf numFmtId="0" fontId="5" fillId="0" borderId="12" xfId="42" applyNumberFormat="1" applyFont="1" applyBorder="1" applyAlignment="1">
      <alignment horizontal="right" vertical="center" wrapText="1"/>
    </xf>
    <xf numFmtId="0" fontId="5" fillId="3" borderId="32" xfId="42" applyFont="1" applyFill="1" applyBorder="1" applyAlignment="1">
      <alignment horizontal="center" vertical="center" wrapText="1"/>
    </xf>
    <xf numFmtId="0" fontId="5" fillId="0" borderId="12" xfId="43" applyFont="1" applyFill="1" applyBorder="1" applyAlignment="1">
      <alignment horizontal="center" vertical="center" wrapText="1"/>
    </xf>
    <xf numFmtId="166" fontId="5" fillId="0" borderId="12" xfId="42" applyNumberFormat="1" applyFont="1" applyBorder="1" applyAlignment="1">
      <alignment horizontal="center" vertical="center" wrapText="1"/>
    </xf>
    <xf numFmtId="0" fontId="5" fillId="7" borderId="12" xfId="42" applyFont="1" applyFill="1" applyBorder="1" applyAlignment="1">
      <alignment horizontal="center" vertical="center" wrapText="1"/>
    </xf>
    <xf numFmtId="166" fontId="5" fillId="9" borderId="12" xfId="42" applyNumberFormat="1" applyFont="1" applyFill="1" applyBorder="1" applyAlignment="1">
      <alignment horizontal="center" vertical="center" wrapText="1"/>
    </xf>
    <xf numFmtId="3" fontId="5" fillId="9" borderId="12" xfId="42" applyNumberFormat="1" applyFont="1" applyFill="1" applyBorder="1" applyAlignment="1">
      <alignment horizontal="center" vertical="center" wrapText="1"/>
    </xf>
    <xf numFmtId="169" fontId="5" fillId="9" borderId="12" xfId="42" applyNumberFormat="1" applyFont="1" applyFill="1" applyBorder="1" applyAlignment="1">
      <alignment horizontal="center" vertical="center" wrapText="1"/>
    </xf>
    <xf numFmtId="0" fontId="5" fillId="9" borderId="32" xfId="42" applyFont="1" applyFill="1" applyBorder="1" applyAlignment="1">
      <alignment horizontal="center" vertical="center" wrapText="1"/>
    </xf>
    <xf numFmtId="166" fontId="5" fillId="0" borderId="0" xfId="42" applyNumberFormat="1" applyFont="1" applyFill="1" applyBorder="1" applyAlignment="1">
      <alignment horizontal="center" vertical="center" wrapText="1"/>
    </xf>
    <xf numFmtId="0" fontId="5" fillId="0" borderId="0" xfId="42" applyFont="1" applyFill="1" applyBorder="1" applyAlignment="1">
      <alignment horizontal="center" vertical="center" wrapText="1"/>
    </xf>
    <xf numFmtId="0" fontId="5" fillId="0" borderId="0" xfId="42" applyFont="1" applyBorder="1" applyAlignment="1">
      <alignment horizontal="center" vertical="center" wrapText="1"/>
    </xf>
    <xf numFmtId="0" fontId="5" fillId="0" borderId="0" xfId="42" applyFont="1" applyBorder="1" applyAlignment="1">
      <alignment horizontal="right" vertical="center" wrapText="1"/>
    </xf>
    <xf numFmtId="0" fontId="7" fillId="0" borderId="18" xfId="42" applyBorder="1"/>
    <xf numFmtId="0" fontId="7" fillId="0" borderId="0" xfId="42" applyNumberFormat="1" applyBorder="1" applyAlignment="1">
      <alignment horizontal="right"/>
    </xf>
    <xf numFmtId="0" fontId="7" fillId="3" borderId="0" xfId="42" applyFill="1" applyBorder="1"/>
    <xf numFmtId="0" fontId="7" fillId="0" borderId="0" xfId="42" applyBorder="1" applyAlignment="1">
      <alignment horizontal="center"/>
    </xf>
    <xf numFmtId="0" fontId="7" fillId="0" borderId="20" xfId="42" applyBorder="1" applyAlignment="1">
      <alignment horizontal="center"/>
    </xf>
    <xf numFmtId="166" fontId="7" fillId="0" borderId="0" xfId="42" applyNumberFormat="1" applyBorder="1" applyAlignment="1">
      <alignment horizontal="center"/>
    </xf>
    <xf numFmtId="0" fontId="7" fillId="3" borderId="0" xfId="42" applyFill="1" applyBorder="1" applyAlignment="1">
      <alignment horizontal="center"/>
    </xf>
    <xf numFmtId="3" fontId="7" fillId="0" borderId="0" xfId="42" applyNumberFormat="1" applyBorder="1" applyAlignment="1">
      <alignment horizontal="center"/>
    </xf>
    <xf numFmtId="169" fontId="7" fillId="0" borderId="20" xfId="42" applyNumberFormat="1" applyBorder="1" applyAlignment="1">
      <alignment horizontal="center"/>
    </xf>
    <xf numFmtId="169" fontId="7" fillId="0" borderId="0" xfId="42" applyNumberFormat="1" applyBorder="1" applyAlignment="1">
      <alignment horizontal="center"/>
    </xf>
    <xf numFmtId="166" fontId="7" fillId="0" borderId="31" xfId="42" applyNumberFormat="1" applyBorder="1" applyAlignment="1">
      <alignment horizontal="center"/>
    </xf>
    <xf numFmtId="0" fontId="7" fillId="9" borderId="0" xfId="42" applyFill="1" applyBorder="1"/>
    <xf numFmtId="0" fontId="7" fillId="9" borderId="24" xfId="42" applyFill="1" applyBorder="1" applyAlignment="1">
      <alignment horizontal="center"/>
    </xf>
    <xf numFmtId="0" fontId="7" fillId="9" borderId="0" xfId="42" applyFill="1" applyBorder="1" applyAlignment="1">
      <alignment horizontal="center"/>
    </xf>
    <xf numFmtId="166" fontId="7" fillId="9" borderId="32" xfId="42" applyNumberFormat="1" applyFill="1" applyBorder="1" applyAlignment="1">
      <alignment horizontal="center"/>
    </xf>
    <xf numFmtId="0" fontId="7" fillId="9" borderId="32" xfId="42" applyFill="1" applyBorder="1" applyAlignment="1">
      <alignment horizontal="center"/>
    </xf>
    <xf numFmtId="166" fontId="5" fillId="9" borderId="25" xfId="42" applyNumberFormat="1" applyFont="1" applyFill="1" applyBorder="1" applyAlignment="1">
      <alignment horizontal="center"/>
    </xf>
    <xf numFmtId="3" fontId="5" fillId="9" borderId="25" xfId="42" applyNumberFormat="1" applyFont="1" applyFill="1" applyBorder="1" applyAlignment="1">
      <alignment horizontal="center"/>
    </xf>
    <xf numFmtId="166" fontId="5" fillId="9" borderId="16" xfId="42" quotePrefix="1" applyNumberFormat="1" applyFont="1" applyFill="1" applyBorder="1" applyAlignment="1">
      <alignment horizontal="center"/>
    </xf>
    <xf numFmtId="0" fontId="5" fillId="3" borderId="0" xfId="42" applyFont="1" applyFill="1" applyBorder="1"/>
    <xf numFmtId="166" fontId="5" fillId="30" borderId="33" xfId="42" applyNumberFormat="1" applyFont="1" applyFill="1" applyBorder="1" applyAlignment="1">
      <alignment horizontal="center"/>
    </xf>
    <xf numFmtId="166" fontId="5" fillId="9" borderId="33" xfId="42" applyNumberFormat="1" applyFont="1" applyFill="1" applyBorder="1" applyAlignment="1">
      <alignment horizontal="center"/>
    </xf>
    <xf numFmtId="166" fontId="7" fillId="31" borderId="24" xfId="42" applyNumberFormat="1" applyFill="1" applyBorder="1" applyAlignment="1">
      <alignment horizontal="center"/>
    </xf>
    <xf numFmtId="166" fontId="7" fillId="31" borderId="32" xfId="42" applyNumberFormat="1" applyFill="1" applyBorder="1" applyAlignment="1">
      <alignment horizontal="center"/>
    </xf>
    <xf numFmtId="166" fontId="5" fillId="31" borderId="25" xfId="42" applyNumberFormat="1" applyFont="1" applyFill="1" applyBorder="1" applyAlignment="1">
      <alignment horizontal="center"/>
    </xf>
    <xf numFmtId="166" fontId="32" fillId="9" borderId="33" xfId="42" applyNumberFormat="1" applyFont="1" applyFill="1" applyBorder="1" applyAlignment="1">
      <alignment horizontal="center"/>
    </xf>
    <xf numFmtId="166" fontId="32" fillId="9" borderId="12" xfId="44" applyNumberFormat="1" applyFont="1" applyFill="1" applyBorder="1" applyAlignment="1">
      <alignment horizontal="center"/>
    </xf>
    <xf numFmtId="3" fontId="7" fillId="0" borderId="0" xfId="42" applyNumberFormat="1"/>
    <xf numFmtId="3" fontId="7" fillId="0" borderId="0" xfId="42" applyNumberFormat="1" applyAlignment="1">
      <alignment horizontal="right"/>
    </xf>
    <xf numFmtId="166" fontId="7" fillId="0" borderId="0" xfId="42" applyNumberFormat="1"/>
    <xf numFmtId="0" fontId="7" fillId="9" borderId="18" xfId="42" applyFill="1" applyBorder="1" applyAlignment="1">
      <alignment horizontal="center"/>
    </xf>
    <xf numFmtId="166" fontId="5" fillId="9" borderId="26" xfId="42" applyNumberFormat="1" applyFont="1" applyFill="1" applyBorder="1" applyAlignment="1">
      <alignment horizontal="center"/>
    </xf>
    <xf numFmtId="166" fontId="5" fillId="30" borderId="16" xfId="42" applyNumberFormat="1" applyFont="1" applyFill="1" applyBorder="1" applyAlignment="1">
      <alignment horizontal="center"/>
    </xf>
    <xf numFmtId="166" fontId="5" fillId="9" borderId="16" xfId="42" applyNumberFormat="1" applyFont="1" applyFill="1" applyBorder="1" applyAlignment="1">
      <alignment horizontal="center"/>
    </xf>
    <xf numFmtId="166" fontId="7" fillId="31" borderId="18" xfId="42" applyNumberFormat="1" applyFill="1" applyBorder="1" applyAlignment="1">
      <alignment horizontal="center"/>
    </xf>
    <xf numFmtId="166" fontId="7" fillId="31" borderId="0" xfId="42" applyNumberFormat="1" applyFill="1" applyBorder="1" applyAlignment="1">
      <alignment horizontal="center"/>
    </xf>
    <xf numFmtId="166" fontId="5" fillId="31" borderId="26" xfId="42" applyNumberFormat="1" applyFont="1" applyFill="1" applyBorder="1" applyAlignment="1">
      <alignment horizontal="center"/>
    </xf>
    <xf numFmtId="166" fontId="32" fillId="9" borderId="16" xfId="42" applyNumberFormat="1" applyFont="1" applyFill="1" applyBorder="1" applyAlignment="1">
      <alignment horizontal="center"/>
    </xf>
    <xf numFmtId="3" fontId="7" fillId="0" borderId="0" xfId="45" applyNumberFormat="1" applyAlignment="1"/>
    <xf numFmtId="0" fontId="7" fillId="0" borderId="18" xfId="42" applyFont="1" applyBorder="1"/>
    <xf numFmtId="0" fontId="7" fillId="0" borderId="0" xfId="42" applyNumberFormat="1" applyFont="1" applyBorder="1" applyAlignment="1">
      <alignment horizontal="right"/>
    </xf>
    <xf numFmtId="0" fontId="7" fillId="0" borderId="18" xfId="42" applyBorder="1" applyAlignment="1">
      <alignment wrapText="1"/>
    </xf>
    <xf numFmtId="0" fontId="7" fillId="0" borderId="18" xfId="42" applyFill="1" applyBorder="1"/>
    <xf numFmtId="0" fontId="7" fillId="0" borderId="0" xfId="42" applyNumberFormat="1" applyFill="1" applyBorder="1" applyAlignment="1">
      <alignment horizontal="right"/>
    </xf>
    <xf numFmtId="3" fontId="7" fillId="0" borderId="0" xfId="44" applyNumberFormat="1" applyFont="1" applyFill="1"/>
    <xf numFmtId="0" fontId="7" fillId="11" borderId="0" xfId="42" applyFill="1" applyBorder="1"/>
    <xf numFmtId="0" fontId="7" fillId="11" borderId="0" xfId="42" applyNumberFormat="1" applyFill="1" applyBorder="1" applyAlignment="1">
      <alignment horizontal="right"/>
    </xf>
    <xf numFmtId="0" fontId="7" fillId="9" borderId="27" xfId="42" applyFill="1" applyBorder="1" applyAlignment="1">
      <alignment horizontal="center"/>
    </xf>
    <xf numFmtId="0" fontId="7" fillId="9" borderId="23" xfId="42" applyFill="1" applyBorder="1" applyAlignment="1">
      <alignment horizontal="center"/>
    </xf>
    <xf numFmtId="166" fontId="5" fillId="9" borderId="17" xfId="42" applyNumberFormat="1" applyFont="1" applyFill="1" applyBorder="1" applyAlignment="1">
      <alignment horizontal="center"/>
    </xf>
    <xf numFmtId="166" fontId="5" fillId="9" borderId="11" xfId="42" quotePrefix="1" applyNumberFormat="1" applyFont="1" applyFill="1" applyBorder="1" applyAlignment="1">
      <alignment horizontal="center"/>
    </xf>
    <xf numFmtId="166" fontId="5" fillId="30" borderId="11" xfId="42" applyNumberFormat="1" applyFont="1" applyFill="1" applyBorder="1" applyAlignment="1">
      <alignment horizontal="center"/>
    </xf>
    <xf numFmtId="166" fontId="7" fillId="31" borderId="27" xfId="42" applyNumberFormat="1" applyFill="1" applyBorder="1" applyAlignment="1">
      <alignment horizontal="center"/>
    </xf>
    <xf numFmtId="166" fontId="5" fillId="31" borderId="17" xfId="42" applyNumberFormat="1" applyFont="1" applyFill="1" applyBorder="1" applyAlignment="1">
      <alignment horizontal="center"/>
    </xf>
    <xf numFmtId="166" fontId="32" fillId="9" borderId="11" xfId="42" applyNumberFormat="1" applyFont="1" applyFill="1" applyBorder="1" applyAlignment="1">
      <alignment horizontal="center"/>
    </xf>
    <xf numFmtId="0" fontId="7" fillId="0" borderId="0" xfId="42" applyFill="1" applyBorder="1" applyAlignment="1">
      <alignment horizontal="center"/>
    </xf>
    <xf numFmtId="169" fontId="5" fillId="0" borderId="0" xfId="42" applyNumberFormat="1" applyFont="1" applyBorder="1" applyAlignment="1">
      <alignment horizontal="center"/>
    </xf>
    <xf numFmtId="0" fontId="32" fillId="0" borderId="18" xfId="42" applyFont="1" applyFill="1" applyBorder="1"/>
    <xf numFmtId="0" fontId="32" fillId="0" borderId="0" xfId="42" applyFont="1" applyBorder="1"/>
    <xf numFmtId="0" fontId="32" fillId="0" borderId="0" xfId="42" applyNumberFormat="1" applyFont="1" applyBorder="1" applyAlignment="1">
      <alignment horizontal="right"/>
    </xf>
    <xf numFmtId="0" fontId="32" fillId="3" borderId="0" xfId="42" applyFont="1" applyFill="1" applyBorder="1"/>
    <xf numFmtId="166" fontId="32" fillId="0" borderId="20" xfId="42" applyNumberFormat="1" applyFont="1" applyBorder="1" applyAlignment="1">
      <alignment horizontal="center"/>
    </xf>
    <xf numFmtId="166" fontId="32" fillId="8" borderId="20" xfId="42" applyNumberFormat="1" applyFont="1" applyFill="1" applyBorder="1" applyAlignment="1">
      <alignment horizontal="center"/>
    </xf>
    <xf numFmtId="170" fontId="33" fillId="0" borderId="0" xfId="12" applyNumberFormat="1" applyFont="1" applyFill="1" applyBorder="1" applyAlignment="1">
      <alignment horizontal="center"/>
    </xf>
    <xf numFmtId="170" fontId="33" fillId="0" borderId="0" xfId="12" applyNumberFormat="1" applyFont="1" applyBorder="1" applyAlignment="1">
      <alignment horizontal="center"/>
    </xf>
    <xf numFmtId="0" fontId="32" fillId="0" borderId="0" xfId="42" applyFont="1" applyBorder="1" applyAlignment="1">
      <alignment horizontal="center"/>
    </xf>
    <xf numFmtId="0" fontId="32" fillId="3" borderId="0" xfId="42" applyFont="1" applyFill="1" applyBorder="1" applyAlignment="1">
      <alignment horizontal="center"/>
    </xf>
    <xf numFmtId="3" fontId="33" fillId="0" borderId="0" xfId="42" applyNumberFormat="1" applyFont="1" applyBorder="1" applyAlignment="1">
      <alignment horizontal="center"/>
    </xf>
    <xf numFmtId="3" fontId="32" fillId="9" borderId="20" xfId="42" applyNumberFormat="1" applyFont="1" applyFill="1" applyBorder="1" applyAlignment="1">
      <alignment horizontal="center"/>
    </xf>
    <xf numFmtId="166" fontId="32" fillId="9" borderId="20" xfId="42" applyNumberFormat="1" applyFont="1" applyFill="1" applyBorder="1" applyAlignment="1">
      <alignment horizontal="center"/>
    </xf>
    <xf numFmtId="166" fontId="32" fillId="9" borderId="12" xfId="42" applyNumberFormat="1" applyFont="1" applyFill="1" applyBorder="1" applyAlignment="1">
      <alignment horizontal="center"/>
    </xf>
    <xf numFmtId="0" fontId="32" fillId="9" borderId="0" xfId="42" applyFont="1" applyFill="1" applyBorder="1"/>
    <xf numFmtId="0" fontId="32" fillId="0" borderId="0" xfId="42" applyFont="1" applyFill="1" applyBorder="1"/>
    <xf numFmtId="0" fontId="32" fillId="0" borderId="0" xfId="42" applyFont="1"/>
    <xf numFmtId="166" fontId="32" fillId="0" borderId="0" xfId="42" applyNumberFormat="1" applyFont="1" applyBorder="1" applyAlignment="1">
      <alignment horizontal="center"/>
    </xf>
    <xf numFmtId="3" fontId="32" fillId="9" borderId="0" xfId="42" applyNumberFormat="1" applyFont="1" applyFill="1" applyBorder="1" applyAlignment="1">
      <alignment horizontal="center"/>
    </xf>
    <xf numFmtId="166" fontId="32" fillId="9" borderId="0" xfId="42" applyNumberFormat="1" applyFont="1" applyFill="1" applyBorder="1" applyAlignment="1">
      <alignment horizontal="center"/>
    </xf>
    <xf numFmtId="0" fontId="5" fillId="0" borderId="12" xfId="44" applyFont="1" applyBorder="1" applyAlignment="1">
      <alignment horizontal="center" vertical="center" wrapText="1"/>
    </xf>
    <xf numFmtId="0" fontId="5" fillId="0" borderId="12" xfId="44" applyNumberFormat="1" applyFont="1" applyBorder="1" applyAlignment="1">
      <alignment horizontal="right" vertical="center" wrapText="1"/>
    </xf>
    <xf numFmtId="0" fontId="5" fillId="3" borderId="0" xfId="44" applyFont="1" applyFill="1" applyBorder="1" applyAlignment="1">
      <alignment horizontal="center" vertical="center" wrapText="1"/>
    </xf>
    <xf numFmtId="3" fontId="5" fillId="0" borderId="12" xfId="43" applyNumberFormat="1" applyFont="1" applyFill="1" applyBorder="1" applyAlignment="1">
      <alignment horizontal="center" vertical="center" wrapText="1"/>
    </xf>
    <xf numFmtId="166" fontId="5" fillId="0" borderId="12" xfId="44" applyNumberFormat="1" applyFont="1" applyBorder="1" applyAlignment="1">
      <alignment horizontal="center" vertical="center" wrapText="1"/>
    </xf>
    <xf numFmtId="166" fontId="5" fillId="9" borderId="12" xfId="44" applyNumberFormat="1" applyFont="1" applyFill="1" applyBorder="1" applyAlignment="1">
      <alignment horizontal="center" vertical="center" wrapText="1"/>
    </xf>
    <xf numFmtId="3" fontId="5" fillId="9" borderId="12" xfId="44" applyNumberFormat="1" applyFont="1" applyFill="1" applyBorder="1" applyAlignment="1">
      <alignment horizontal="center" vertical="center" wrapText="1"/>
    </xf>
    <xf numFmtId="169" fontId="5" fillId="9" borderId="12" xfId="44" applyNumberFormat="1" applyFont="1" applyFill="1" applyBorder="1" applyAlignment="1">
      <alignment horizontal="center" vertical="center" wrapText="1"/>
    </xf>
    <xf numFmtId="0" fontId="5" fillId="9" borderId="0" xfId="44" applyFont="1" applyFill="1" applyBorder="1" applyAlignment="1">
      <alignment horizontal="center" vertical="center" wrapText="1"/>
    </xf>
    <xf numFmtId="166" fontId="5" fillId="0" borderId="0" xfId="44" applyNumberFormat="1" applyFont="1" applyFill="1" applyBorder="1" applyAlignment="1">
      <alignment horizontal="center" vertical="center" wrapText="1"/>
    </xf>
    <xf numFmtId="0" fontId="5" fillId="0" borderId="0" xfId="44" applyFont="1" applyBorder="1" applyAlignment="1">
      <alignment horizontal="center" vertical="center" wrapText="1"/>
    </xf>
    <xf numFmtId="166" fontId="1" fillId="0" borderId="0" xfId="44" applyNumberFormat="1"/>
    <xf numFmtId="0" fontId="1" fillId="0" borderId="18" xfId="44" applyBorder="1"/>
    <xf numFmtId="0" fontId="1" fillId="0" borderId="0" xfId="44" applyBorder="1"/>
    <xf numFmtId="0" fontId="1" fillId="0" borderId="0" xfId="44" applyNumberFormat="1" applyBorder="1" applyAlignment="1">
      <alignment horizontal="right"/>
    </xf>
    <xf numFmtId="0" fontId="1" fillId="3" borderId="0" xfId="44" applyFill="1" applyBorder="1"/>
    <xf numFmtId="0" fontId="1" fillId="0" borderId="0" xfId="44" applyBorder="1" applyAlignment="1">
      <alignment horizontal="center"/>
    </xf>
    <xf numFmtId="3" fontId="1" fillId="0" borderId="0" xfId="44" applyNumberFormat="1" applyBorder="1" applyAlignment="1">
      <alignment horizontal="center"/>
    </xf>
    <xf numFmtId="166" fontId="1" fillId="0" borderId="20" xfId="44" applyNumberFormat="1" applyBorder="1" applyAlignment="1">
      <alignment horizontal="center"/>
    </xf>
    <xf numFmtId="166" fontId="1" fillId="0" borderId="0" xfId="44" applyNumberFormat="1" applyBorder="1" applyAlignment="1">
      <alignment horizontal="center"/>
    </xf>
    <xf numFmtId="0" fontId="1" fillId="3" borderId="0" xfId="44" applyFill="1" applyBorder="1" applyAlignment="1">
      <alignment horizontal="center"/>
    </xf>
    <xf numFmtId="169" fontId="5" fillId="0" borderId="0" xfId="44" applyNumberFormat="1" applyFont="1" applyBorder="1" applyAlignment="1">
      <alignment horizontal="center"/>
    </xf>
    <xf numFmtId="0" fontId="5" fillId="3" borderId="0" xfId="44" applyFont="1" applyFill="1" applyBorder="1"/>
    <xf numFmtId="0" fontId="1" fillId="9" borderId="0" xfId="44" applyFill="1" applyBorder="1"/>
    <xf numFmtId="0" fontId="1" fillId="0" borderId="0" xfId="44" applyFill="1" applyBorder="1"/>
    <xf numFmtId="0" fontId="1" fillId="0" borderId="0" xfId="44"/>
    <xf numFmtId="0" fontId="1" fillId="0" borderId="0" xfId="44" applyNumberFormat="1" applyFill="1" applyBorder="1" applyAlignment="1">
      <alignment horizontal="right"/>
    </xf>
    <xf numFmtId="0" fontId="1" fillId="32" borderId="24" xfId="44" applyFill="1" applyBorder="1" applyAlignment="1">
      <alignment horizontal="center"/>
    </xf>
    <xf numFmtId="0" fontId="1" fillId="32" borderId="32" xfId="44" applyFill="1" applyBorder="1" applyAlignment="1">
      <alignment horizontal="center"/>
    </xf>
    <xf numFmtId="166" fontId="1" fillId="9" borderId="32" xfId="44" applyNumberFormat="1" applyFill="1" applyBorder="1" applyAlignment="1">
      <alignment horizontal="center"/>
    </xf>
    <xf numFmtId="0" fontId="1" fillId="9" borderId="32" xfId="44" applyFill="1" applyBorder="1" applyAlignment="1">
      <alignment horizontal="center"/>
    </xf>
    <xf numFmtId="3" fontId="1" fillId="9" borderId="32" xfId="44" applyNumberFormat="1" applyFill="1" applyBorder="1" applyAlignment="1">
      <alignment horizontal="center"/>
    </xf>
    <xf numFmtId="166" fontId="5" fillId="9" borderId="25" xfId="44" applyNumberFormat="1" applyFont="1" applyFill="1" applyBorder="1" applyAlignment="1">
      <alignment horizontal="center"/>
    </xf>
    <xf numFmtId="3" fontId="5" fillId="9" borderId="25" xfId="44" applyNumberFormat="1" applyFont="1" applyFill="1" applyBorder="1" applyAlignment="1">
      <alignment horizontal="center"/>
    </xf>
    <xf numFmtId="169" fontId="5" fillId="0" borderId="33" xfId="44" applyNumberFormat="1" applyFont="1" applyBorder="1" applyAlignment="1">
      <alignment horizontal="center"/>
    </xf>
    <xf numFmtId="0" fontId="1" fillId="30" borderId="24" xfId="44" applyFill="1" applyBorder="1" applyAlignment="1">
      <alignment horizontal="center"/>
    </xf>
    <xf numFmtId="0" fontId="1" fillId="30" borderId="32" xfId="44" applyFill="1" applyBorder="1" applyAlignment="1">
      <alignment horizontal="center"/>
    </xf>
    <xf numFmtId="166" fontId="5" fillId="0" borderId="25" xfId="44" applyNumberFormat="1" applyFont="1" applyBorder="1" applyAlignment="1">
      <alignment horizontal="center"/>
    </xf>
    <xf numFmtId="166" fontId="32" fillId="9" borderId="33" xfId="44" applyNumberFormat="1" applyFont="1" applyFill="1" applyBorder="1" applyAlignment="1">
      <alignment horizontal="center"/>
    </xf>
    <xf numFmtId="166" fontId="5" fillId="0" borderId="0" xfId="44" applyNumberFormat="1" applyFont="1" applyFill="1" applyBorder="1"/>
    <xf numFmtId="1" fontId="7" fillId="0" borderId="0" xfId="46" applyNumberFormat="1" applyFill="1" applyBorder="1"/>
    <xf numFmtId="0" fontId="1" fillId="0" borderId="0" xfId="44" applyNumberFormat="1" applyFill="1" applyBorder="1" applyAlignment="1">
      <alignment horizontal="right" vertical="center"/>
    </xf>
    <xf numFmtId="0" fontId="1" fillId="32" borderId="18" xfId="44" applyFill="1" applyBorder="1" applyAlignment="1">
      <alignment horizontal="center"/>
    </xf>
    <xf numFmtId="0" fontId="1" fillId="32" borderId="0" xfId="44" applyFill="1" applyBorder="1" applyAlignment="1">
      <alignment horizontal="center"/>
    </xf>
    <xf numFmtId="0" fontId="7" fillId="0" borderId="0" xfId="44" applyFont="1" applyFill="1" applyBorder="1" applyAlignment="1">
      <alignment vertical="center"/>
    </xf>
    <xf numFmtId="0" fontId="7" fillId="0" borderId="0" xfId="44" applyFont="1" applyFill="1" applyBorder="1"/>
    <xf numFmtId="0" fontId="7" fillId="0" borderId="0" xfId="44" applyNumberFormat="1" applyFont="1" applyFill="1" applyBorder="1" applyAlignment="1">
      <alignment horizontal="right" vertical="center"/>
    </xf>
    <xf numFmtId="0" fontId="1" fillId="9" borderId="0" xfId="44" applyFill="1" applyBorder="1" applyAlignment="1">
      <alignment horizontal="center"/>
    </xf>
    <xf numFmtId="169" fontId="5" fillId="0" borderId="16" xfId="44" applyNumberFormat="1" applyFont="1" applyBorder="1" applyAlignment="1">
      <alignment horizontal="center"/>
    </xf>
    <xf numFmtId="0" fontId="1" fillId="30" borderId="18" xfId="44" applyFill="1" applyBorder="1" applyAlignment="1">
      <alignment horizontal="center"/>
    </xf>
    <xf numFmtId="0" fontId="1" fillId="30" borderId="0" xfId="44" applyFill="1" applyBorder="1" applyAlignment="1">
      <alignment horizontal="center"/>
    </xf>
    <xf numFmtId="0" fontId="7" fillId="0" borderId="0" xfId="42" applyFont="1" applyFill="1" applyBorder="1" applyAlignment="1">
      <alignment vertical="center"/>
    </xf>
    <xf numFmtId="0" fontId="7" fillId="0" borderId="0" xfId="44" applyFont="1" applyFill="1" applyBorder="1" applyAlignment="1">
      <alignment horizontal="center" vertical="center"/>
    </xf>
    <xf numFmtId="1" fontId="7" fillId="0" borderId="0" xfId="46" applyNumberFormat="1" applyFont="1" applyFill="1" applyBorder="1"/>
    <xf numFmtId="0" fontId="7" fillId="0" borderId="0" xfId="47" applyNumberFormat="1" applyFont="1" applyFill="1" applyBorder="1" applyAlignment="1">
      <alignment vertical="center"/>
    </xf>
    <xf numFmtId="0" fontId="7" fillId="0" borderId="0" xfId="44" applyFont="1" applyFill="1" applyBorder="1" applyAlignment="1">
      <alignment horizontal="right" vertical="center"/>
    </xf>
    <xf numFmtId="0" fontId="1" fillId="0" borderId="0" xfId="44" applyFill="1" applyBorder="1" applyAlignment="1">
      <alignment vertical="center"/>
    </xf>
    <xf numFmtId="0" fontId="7" fillId="9" borderId="0" xfId="44" applyFont="1" applyFill="1" applyBorder="1" applyAlignment="1">
      <alignment horizontal="center"/>
    </xf>
    <xf numFmtId="0" fontId="7" fillId="0" borderId="0" xfId="47" applyFill="1" applyBorder="1" applyAlignment="1">
      <alignment vertical="center"/>
    </xf>
    <xf numFmtId="2" fontId="7" fillId="0" borderId="0" xfId="47" applyNumberFormat="1" applyFill="1" applyBorder="1" applyAlignment="1">
      <alignment horizontal="right" vertical="center"/>
    </xf>
    <xf numFmtId="0" fontId="4" fillId="0" borderId="0" xfId="37" applyNumberFormat="1" applyFont="1" applyFill="1" applyBorder="1" applyAlignment="1">
      <alignment horizontal="right" wrapText="1"/>
    </xf>
    <xf numFmtId="0" fontId="7" fillId="0" borderId="0" xfId="47" applyNumberFormat="1" applyFill="1" applyBorder="1" applyAlignment="1">
      <alignment horizontal="right" vertical="center"/>
    </xf>
    <xf numFmtId="0" fontId="7" fillId="0" borderId="0" xfId="48" applyNumberFormat="1" applyFill="1" applyBorder="1" applyAlignment="1">
      <alignment horizontal="right" vertical="center"/>
    </xf>
    <xf numFmtId="0" fontId="7" fillId="0" borderId="0" xfId="48" applyFill="1" applyBorder="1"/>
    <xf numFmtId="0" fontId="0" fillId="0" borderId="0" xfId="47" applyFont="1" applyFill="1" applyBorder="1" applyAlignment="1">
      <alignment vertical="center"/>
    </xf>
    <xf numFmtId="0" fontId="7" fillId="0" borderId="0" xfId="47" applyNumberFormat="1" applyFont="1" applyFill="1" applyBorder="1" applyAlignment="1">
      <alignment horizontal="right" vertical="center"/>
    </xf>
    <xf numFmtId="0" fontId="7" fillId="0" borderId="0" xfId="47" applyFont="1" applyFill="1" applyBorder="1" applyAlignment="1">
      <alignment vertical="center"/>
    </xf>
    <xf numFmtId="0" fontId="7" fillId="10" borderId="0" xfId="47" applyFill="1" applyBorder="1" applyAlignment="1">
      <alignment vertical="center"/>
    </xf>
    <xf numFmtId="0" fontId="0" fillId="10" borderId="0" xfId="47" applyFont="1" applyFill="1" applyBorder="1" applyAlignment="1">
      <alignment vertical="center"/>
    </xf>
    <xf numFmtId="0" fontId="7" fillId="0" borderId="0" xfId="47" applyNumberFormat="1" applyFill="1" applyBorder="1" applyAlignment="1">
      <alignment vertical="center"/>
    </xf>
    <xf numFmtId="0" fontId="0" fillId="0" borderId="0" xfId="47" applyNumberFormat="1" applyFont="1" applyFill="1" applyBorder="1" applyAlignment="1">
      <alignment vertical="center"/>
    </xf>
    <xf numFmtId="2" fontId="7" fillId="0" borderId="0" xfId="47" applyNumberFormat="1" applyFont="1" applyFill="1" applyBorder="1" applyAlignment="1">
      <alignment horizontal="right" vertical="center"/>
    </xf>
    <xf numFmtId="0" fontId="7" fillId="0" borderId="0" xfId="45" applyFont="1" applyFill="1" applyBorder="1" applyAlignment="1">
      <alignment horizontal="left"/>
    </xf>
    <xf numFmtId="0" fontId="7" fillId="0" borderId="0" xfId="43" applyFont="1" applyFill="1" applyBorder="1"/>
    <xf numFmtId="0" fontId="1" fillId="0" borderId="0" xfId="44" applyFill="1" applyBorder="1" applyAlignment="1">
      <alignment horizontal="center" vertical="center"/>
    </xf>
    <xf numFmtId="0" fontId="7" fillId="0" borderId="0" xfId="42" applyNumberFormat="1" applyFill="1" applyBorder="1" applyAlignment="1">
      <alignment vertical="center"/>
    </xf>
    <xf numFmtId="2" fontId="7" fillId="0" borderId="0" xfId="42" applyNumberFormat="1" applyFill="1" applyBorder="1" applyAlignment="1">
      <alignment horizontal="center" vertical="center"/>
    </xf>
    <xf numFmtId="0" fontId="7" fillId="0" borderId="0" xfId="42" applyNumberFormat="1" applyFill="1" applyBorder="1" applyAlignment="1">
      <alignment horizontal="right" vertical="center"/>
    </xf>
    <xf numFmtId="0" fontId="7" fillId="0" borderId="0" xfId="45" applyFont="1" applyFill="1" applyBorder="1" applyAlignment="1">
      <alignment vertical="center"/>
    </xf>
    <xf numFmtId="0" fontId="7" fillId="0" borderId="0" xfId="45" applyNumberFormat="1" applyFont="1" applyFill="1" applyBorder="1" applyAlignment="1">
      <alignment horizontal="right" vertical="center"/>
    </xf>
    <xf numFmtId="2" fontId="4" fillId="0" borderId="0" xfId="37" applyNumberFormat="1" applyFont="1" applyFill="1" applyBorder="1" applyAlignment="1">
      <alignment horizontal="right" wrapText="1"/>
    </xf>
    <xf numFmtId="0" fontId="7" fillId="0" borderId="0" xfId="42" applyNumberFormat="1" applyFill="1" applyBorder="1"/>
    <xf numFmtId="0" fontId="7" fillId="0" borderId="0" xfId="43" applyNumberFormat="1" applyFont="1" applyFill="1" applyBorder="1" applyAlignment="1">
      <alignment horizontal="right"/>
    </xf>
    <xf numFmtId="0" fontId="1" fillId="33" borderId="0" xfId="44" applyFill="1" applyBorder="1"/>
    <xf numFmtId="0" fontId="1" fillId="34" borderId="0" xfId="44" applyFill="1" applyBorder="1" applyAlignment="1">
      <alignment vertical="center"/>
    </xf>
    <xf numFmtId="0" fontId="7" fillId="0" borderId="0" xfId="42" applyFont="1" applyFill="1" applyBorder="1" applyAlignment="1">
      <alignment horizontal="center" vertical="center"/>
    </xf>
    <xf numFmtId="0" fontId="7" fillId="0" borderId="0" xfId="42" applyNumberFormat="1" applyFont="1" applyFill="1" applyBorder="1" applyAlignment="1">
      <alignment horizontal="right" vertical="center"/>
    </xf>
    <xf numFmtId="0" fontId="7" fillId="0" borderId="0" xfId="42" applyFill="1" applyBorder="1" applyAlignment="1">
      <alignment vertical="center"/>
    </xf>
    <xf numFmtId="0" fontId="1" fillId="34" borderId="0" xfId="44" applyFill="1" applyBorder="1"/>
    <xf numFmtId="0" fontId="1" fillId="10" borderId="0" xfId="44" applyFill="1" applyBorder="1" applyAlignment="1">
      <alignment horizontal="center"/>
    </xf>
    <xf numFmtId="0" fontId="7" fillId="0" borderId="0" xfId="48" applyFill="1" applyBorder="1" applyAlignment="1">
      <alignment vertical="center"/>
    </xf>
    <xf numFmtId="0" fontId="1" fillId="10" borderId="0" xfId="44" applyFill="1" applyBorder="1"/>
    <xf numFmtId="0" fontId="7" fillId="0" borderId="0" xfId="46" applyNumberFormat="1" applyFill="1" applyBorder="1" applyAlignment="1">
      <alignment horizontal="right"/>
    </xf>
    <xf numFmtId="2" fontId="4" fillId="0" borderId="0" xfId="50" applyNumberFormat="1" applyFont="1" applyFill="1" applyBorder="1" applyAlignment="1">
      <alignment wrapText="1"/>
    </xf>
    <xf numFmtId="1" fontId="7" fillId="10" borderId="19" xfId="46" applyNumberFormat="1" applyFill="1" applyBorder="1"/>
    <xf numFmtId="1" fontId="7" fillId="0" borderId="0" xfId="46" applyNumberFormat="1" applyFill="1" applyBorder="1" applyAlignment="1">
      <alignment horizontal="left"/>
    </xf>
    <xf numFmtId="0" fontId="1" fillId="33" borderId="18" xfId="44" applyFill="1" applyBorder="1" applyAlignment="1">
      <alignment horizontal="center"/>
    </xf>
    <xf numFmtId="0" fontId="4" fillId="0" borderId="0" xfId="50" applyNumberFormat="1" applyFont="1" applyFill="1" applyBorder="1" applyAlignment="1">
      <alignment horizontal="right" wrapText="1"/>
    </xf>
    <xf numFmtId="0" fontId="1" fillId="0" borderId="0" xfId="44" applyFill="1" applyBorder="1" applyAlignment="1">
      <alignment horizontal="right" vertical="center"/>
    </xf>
    <xf numFmtId="0" fontId="1" fillId="32" borderId="27" xfId="44" applyFill="1" applyBorder="1" applyAlignment="1">
      <alignment horizontal="center"/>
    </xf>
    <xf numFmtId="0" fontId="1" fillId="32" borderId="23" xfId="44" applyFill="1" applyBorder="1" applyAlignment="1">
      <alignment horizontal="center"/>
    </xf>
    <xf numFmtId="0" fontId="1" fillId="9" borderId="23" xfId="44" applyFill="1" applyBorder="1" applyAlignment="1">
      <alignment horizontal="center"/>
    </xf>
    <xf numFmtId="169" fontId="5" fillId="0" borderId="11" xfId="44" applyNumberFormat="1" applyFont="1" applyBorder="1" applyAlignment="1">
      <alignment horizontal="center"/>
    </xf>
    <xf numFmtId="0" fontId="1" fillId="30" borderId="27" xfId="44" applyFill="1" applyBorder="1" applyAlignment="1">
      <alignment horizontal="center"/>
    </xf>
    <xf numFmtId="0" fontId="1" fillId="30" borderId="23" xfId="44" applyFill="1" applyBorder="1" applyAlignment="1">
      <alignment horizontal="center"/>
    </xf>
    <xf numFmtId="0" fontId="1" fillId="0" borderId="20" xfId="44" applyBorder="1" applyAlignment="1">
      <alignment horizontal="center"/>
    </xf>
    <xf numFmtId="3" fontId="5" fillId="0" borderId="0" xfId="44" applyNumberFormat="1" applyFont="1" applyFill="1" applyBorder="1" applyAlignment="1">
      <alignment horizontal="center"/>
    </xf>
    <xf numFmtId="0" fontId="5" fillId="3" borderId="0" xfId="44" applyFont="1" applyFill="1" applyBorder="1" applyAlignment="1">
      <alignment horizontal="center"/>
    </xf>
    <xf numFmtId="0" fontId="5" fillId="0" borderId="0" xfId="44" applyFont="1" applyFill="1" applyBorder="1" applyAlignment="1">
      <alignment horizontal="center"/>
    </xf>
    <xf numFmtId="166" fontId="5" fillId="0" borderId="0" xfId="44" applyNumberFormat="1" applyFont="1" applyBorder="1" applyAlignment="1">
      <alignment horizontal="center"/>
    </xf>
    <xf numFmtId="0" fontId="32" fillId="0" borderId="27" xfId="44" applyFont="1" applyBorder="1"/>
    <xf numFmtId="0" fontId="32" fillId="0" borderId="23" xfId="44" applyFont="1" applyBorder="1"/>
    <xf numFmtId="0" fontId="32" fillId="0" borderId="23" xfId="44" applyNumberFormat="1" applyFont="1" applyBorder="1" applyAlignment="1">
      <alignment horizontal="right"/>
    </xf>
    <xf numFmtId="0" fontId="32" fillId="3" borderId="23" xfId="44" applyFont="1" applyFill="1" applyBorder="1"/>
    <xf numFmtId="0" fontId="32" fillId="0" borderId="20" xfId="44" applyFont="1" applyBorder="1" applyAlignment="1">
      <alignment horizontal="center"/>
    </xf>
    <xf numFmtId="0" fontId="32" fillId="0" borderId="23" xfId="44" applyFont="1" applyBorder="1" applyAlignment="1">
      <alignment horizontal="center"/>
    </xf>
    <xf numFmtId="3" fontId="32" fillId="8" borderId="20" xfId="44" applyNumberFormat="1" applyFont="1" applyFill="1" applyBorder="1" applyAlignment="1">
      <alignment horizontal="center"/>
    </xf>
    <xf numFmtId="3" fontId="32" fillId="7" borderId="20" xfId="44" applyNumberFormat="1" applyFont="1" applyFill="1" applyBorder="1" applyAlignment="1">
      <alignment horizontal="center"/>
    </xf>
    <xf numFmtId="166" fontId="33" fillId="9" borderId="23" xfId="44" applyNumberFormat="1" applyFont="1" applyFill="1" applyBorder="1" applyAlignment="1">
      <alignment horizontal="center"/>
    </xf>
    <xf numFmtId="166" fontId="33" fillId="0" borderId="23" xfId="44" applyNumberFormat="1" applyFont="1" applyBorder="1" applyAlignment="1">
      <alignment horizontal="center"/>
    </xf>
    <xf numFmtId="166" fontId="32" fillId="9" borderId="20" xfId="44" applyNumberFormat="1" applyFont="1" applyFill="1" applyBorder="1" applyAlignment="1">
      <alignment horizontal="center"/>
    </xf>
    <xf numFmtId="0" fontId="32" fillId="3" borderId="23" xfId="44" applyFont="1" applyFill="1" applyBorder="1" applyAlignment="1">
      <alignment horizontal="center"/>
    </xf>
    <xf numFmtId="3" fontId="33" fillId="0" borderId="23" xfId="44" applyNumberFormat="1" applyFont="1" applyBorder="1" applyAlignment="1">
      <alignment horizontal="center"/>
    </xf>
    <xf numFmtId="3" fontId="32" fillId="9" borderId="20" xfId="44" applyNumberFormat="1" applyFont="1" applyFill="1" applyBorder="1" applyAlignment="1">
      <alignment horizontal="center"/>
    </xf>
    <xf numFmtId="169" fontId="32" fillId="9" borderId="20" xfId="44" applyNumberFormat="1" applyFont="1" applyFill="1" applyBorder="1" applyAlignment="1">
      <alignment horizontal="center"/>
    </xf>
    <xf numFmtId="0" fontId="32" fillId="9" borderId="23" xfId="44" applyFont="1" applyFill="1" applyBorder="1"/>
    <xf numFmtId="0" fontId="32" fillId="0" borderId="0" xfId="44" applyFont="1"/>
    <xf numFmtId="3" fontId="5" fillId="0" borderId="0" xfId="44" applyNumberFormat="1" applyFont="1" applyFill="1"/>
    <xf numFmtId="0" fontId="5" fillId="0" borderId="0" xfId="44" applyNumberFormat="1" applyFont="1" applyFill="1" applyAlignment="1">
      <alignment horizontal="right"/>
    </xf>
    <xf numFmtId="166" fontId="1" fillId="0" borderId="0" xfId="44" applyNumberFormat="1" applyAlignment="1">
      <alignment horizontal="center"/>
    </xf>
    <xf numFmtId="0" fontId="1" fillId="0" borderId="0" xfId="44" applyAlignment="1">
      <alignment horizontal="right"/>
    </xf>
    <xf numFmtId="0" fontId="1" fillId="0" borderId="0" xfId="44" applyNumberFormat="1" applyAlignment="1">
      <alignment horizontal="right"/>
    </xf>
    <xf numFmtId="0" fontId="1" fillId="0" borderId="0" xfId="44" applyAlignment="1">
      <alignment horizontal="center"/>
    </xf>
    <xf numFmtId="3" fontId="1" fillId="0" borderId="0" xfId="44" applyNumberFormat="1" applyAlignment="1">
      <alignment horizontal="center"/>
    </xf>
    <xf numFmtId="169" fontId="1" fillId="0" borderId="0" xfId="44" applyNumberFormat="1" applyAlignment="1">
      <alignment horizontal="center"/>
    </xf>
    <xf numFmtId="166" fontId="1" fillId="0" borderId="0" xfId="44" applyNumberFormat="1" applyFill="1" applyBorder="1"/>
    <xf numFmtId="3" fontId="1" fillId="0" borderId="0" xfId="44" applyNumberFormat="1" applyFill="1" applyBorder="1"/>
    <xf numFmtId="0" fontId="7" fillId="0" borderId="0" xfId="44" applyNumberFormat="1" applyFont="1" applyFill="1" applyBorder="1" applyAlignment="1">
      <alignment horizontal="right"/>
    </xf>
    <xf numFmtId="0" fontId="1" fillId="0" borderId="0" xfId="44" applyFill="1" applyBorder="1" applyAlignment="1">
      <alignment horizontal="center"/>
    </xf>
    <xf numFmtId="3" fontId="1" fillId="0" borderId="0" xfId="44" applyNumberFormat="1" applyFill="1" applyBorder="1" applyAlignment="1">
      <alignment horizontal="center"/>
    </xf>
    <xf numFmtId="166" fontId="1" fillId="0" borderId="0" xfId="44" applyNumberFormat="1" applyFill="1" applyBorder="1" applyAlignment="1">
      <alignment horizontal="center"/>
    </xf>
    <xf numFmtId="169" fontId="1" fillId="0" borderId="0" xfId="44" applyNumberFormat="1" applyFill="1" applyBorder="1" applyAlignment="1">
      <alignment horizontal="center"/>
    </xf>
    <xf numFmtId="0" fontId="1" fillId="0" borderId="0" xfId="44" applyFill="1" applyBorder="1" applyAlignment="1">
      <alignment horizontal="right"/>
    </xf>
    <xf numFmtId="3" fontId="7" fillId="0" borderId="0" xfId="44" applyNumberFormat="1" applyFont="1" applyFill="1" applyBorder="1"/>
    <xf numFmtId="0" fontId="7" fillId="0" borderId="0" xfId="44" applyFont="1" applyFill="1" applyBorder="1" applyAlignment="1">
      <alignment horizontal="center"/>
    </xf>
    <xf numFmtId="3" fontId="7" fillId="0" borderId="0" xfId="44" applyNumberFormat="1" applyFont="1" applyFill="1" applyBorder="1" applyAlignment="1">
      <alignment horizontal="center"/>
    </xf>
    <xf numFmtId="166" fontId="7" fillId="0" borderId="0" xfId="44" applyNumberFormat="1" applyFont="1" applyFill="1" applyBorder="1" applyAlignment="1">
      <alignment horizontal="center"/>
    </xf>
    <xf numFmtId="0" fontId="7" fillId="0" borderId="0" xfId="44" applyFont="1" applyFill="1" applyBorder="1" applyAlignment="1">
      <alignment horizontal="right"/>
    </xf>
    <xf numFmtId="0" fontId="5" fillId="0" borderId="0" xfId="44" applyFont="1" applyFill="1" applyBorder="1"/>
    <xf numFmtId="3" fontId="5" fillId="0" borderId="0" xfId="44" applyNumberFormat="1" applyFont="1" applyFill="1" applyBorder="1"/>
    <xf numFmtId="0" fontId="5" fillId="0" borderId="0" xfId="44" applyNumberFormat="1" applyFont="1" applyFill="1" applyBorder="1" applyAlignment="1">
      <alignment horizontal="right"/>
    </xf>
    <xf numFmtId="3" fontId="5" fillId="0" borderId="0" xfId="42" applyNumberFormat="1" applyFont="1"/>
    <xf numFmtId="166" fontId="7" fillId="0" borderId="0" xfId="42" applyNumberFormat="1" applyFill="1" applyBorder="1" applyAlignment="1">
      <alignment horizontal="center"/>
    </xf>
    <xf numFmtId="0" fontId="6" fillId="5" borderId="81" xfId="23" applyFont="1" applyFill="1" applyBorder="1" applyProtection="1"/>
    <xf numFmtId="164" fontId="6" fillId="0" borderId="0" xfId="1" applyNumberFormat="1" applyFont="1" applyFill="1" applyBorder="1" applyAlignment="1" applyProtection="1">
      <alignment horizontal="center"/>
    </xf>
    <xf numFmtId="165" fontId="7" fillId="15" borderId="0" xfId="39" applyNumberFormat="1" applyFont="1" applyFill="1" applyBorder="1" applyProtection="1"/>
    <xf numFmtId="164" fontId="6" fillId="0" borderId="50" xfId="23" applyNumberFormat="1" applyFont="1" applyFill="1" applyBorder="1" applyAlignment="1" applyProtection="1">
      <alignment horizontal="center" vertical="center"/>
    </xf>
    <xf numFmtId="165" fontId="6" fillId="0" borderId="0" xfId="23" applyNumberFormat="1" applyFont="1" applyFill="1" applyBorder="1" applyAlignment="1" applyProtection="1">
      <alignment horizontal="center"/>
    </xf>
    <xf numFmtId="165" fontId="3" fillId="0" borderId="0" xfId="23" applyNumberFormat="1" applyFont="1" applyFill="1" applyBorder="1" applyAlignment="1" applyProtection="1">
      <alignment horizontal="center" wrapText="1"/>
    </xf>
    <xf numFmtId="171" fontId="0" fillId="0" borderId="0" xfId="0" applyNumberFormat="1" applyFill="1" applyAlignment="1">
      <alignment wrapText="1"/>
    </xf>
    <xf numFmtId="171" fontId="0" fillId="0" borderId="0" xfId="0" applyNumberFormat="1" applyFill="1"/>
    <xf numFmtId="4" fontId="0" fillId="0" borderId="0" xfId="0" applyNumberFormat="1" applyFill="1" applyAlignment="1">
      <alignment wrapText="1"/>
    </xf>
    <xf numFmtId="171" fontId="7" fillId="0" borderId="0" xfId="0" applyNumberFormat="1" applyFont="1" applyFill="1"/>
    <xf numFmtId="4" fontId="5" fillId="0" borderId="0" xfId="0" applyNumberFormat="1" applyFont="1" applyFill="1" applyAlignment="1">
      <alignment horizontal="center" wrapText="1"/>
    </xf>
    <xf numFmtId="0" fontId="2" fillId="0" borderId="0" xfId="0" applyFont="1" applyFill="1" applyAlignment="1">
      <alignment wrapText="1"/>
    </xf>
    <xf numFmtId="0" fontId="0" fillId="0" borderId="0" xfId="0" applyFill="1" applyAlignment="1">
      <alignment wrapText="1"/>
    </xf>
    <xf numFmtId="3" fontId="7" fillId="6" borderId="0" xfId="0" applyNumberFormat="1" applyFont="1" applyFill="1"/>
    <xf numFmtId="4" fontId="7" fillId="6" borderId="0" xfId="0" applyNumberFormat="1" applyFont="1" applyFill="1"/>
    <xf numFmtId="166" fontId="0" fillId="6" borderId="0" xfId="0" applyNumberFormat="1" applyFill="1"/>
    <xf numFmtId="3" fontId="7" fillId="7" borderId="0" xfId="0" applyNumberFormat="1" applyFont="1" applyFill="1"/>
    <xf numFmtId="3" fontId="0" fillId="6" borderId="0" xfId="0" applyNumberFormat="1" applyFill="1"/>
    <xf numFmtId="0" fontId="7" fillId="6" borderId="0" xfId="0" applyFont="1" applyFill="1" applyProtection="1">
      <protection locked="0"/>
    </xf>
    <xf numFmtId="4" fontId="5" fillId="0" borderId="0" xfId="0" applyNumberFormat="1" applyFont="1" applyFill="1"/>
    <xf numFmtId="168" fontId="0" fillId="0" borderId="0" xfId="0" applyNumberFormat="1" applyFill="1"/>
    <xf numFmtId="3" fontId="0" fillId="17" borderId="0" xfId="0" applyNumberFormat="1" applyFill="1"/>
    <xf numFmtId="0" fontId="0" fillId="17" borderId="0" xfId="0" applyNumberFormat="1" applyFill="1"/>
    <xf numFmtId="10" fontId="0" fillId="0" borderId="0" xfId="0" applyNumberFormat="1" applyFill="1"/>
    <xf numFmtId="172" fontId="0" fillId="0" borderId="0" xfId="0" applyNumberFormat="1" applyFill="1"/>
    <xf numFmtId="0" fontId="37" fillId="35" borderId="0" xfId="1" applyFont="1" applyFill="1" applyAlignment="1">
      <alignment vertical="center"/>
    </xf>
    <xf numFmtId="0" fontId="7" fillId="10" borderId="0" xfId="1" applyFont="1" applyFill="1" applyAlignment="1">
      <alignment horizontal="left" vertical="center"/>
    </xf>
    <xf numFmtId="0" fontId="7" fillId="10" borderId="0" xfId="1" applyFill="1" applyAlignment="1">
      <alignment horizontal="center" vertical="center"/>
    </xf>
    <xf numFmtId="0" fontId="7" fillId="10" borderId="0" xfId="1" applyFill="1" applyAlignment="1">
      <alignment horizontal="left" vertical="center"/>
    </xf>
    <xf numFmtId="0" fontId="5" fillId="0" borderId="0" xfId="1" applyFont="1" applyAlignment="1">
      <alignment vertical="center"/>
    </xf>
    <xf numFmtId="0" fontId="5" fillId="0" borderId="0" xfId="1" applyFont="1" applyAlignment="1">
      <alignment horizontal="center" vertical="center"/>
    </xf>
    <xf numFmtId="0" fontId="38" fillId="35" borderId="0" xfId="1" applyFont="1" applyFill="1" applyAlignment="1">
      <alignment vertical="center"/>
    </xf>
    <xf numFmtId="0" fontId="5" fillId="0" borderId="7" xfId="1" applyFont="1" applyBorder="1" applyAlignment="1">
      <alignment horizontal="center" vertical="center"/>
    </xf>
    <xf numFmtId="0" fontId="5" fillId="0" borderId="9" xfId="1" applyFont="1" applyBorder="1" applyAlignment="1">
      <alignment horizontal="center" vertical="center"/>
    </xf>
    <xf numFmtId="0" fontId="5" fillId="0" borderId="14" xfId="1" applyFont="1" applyBorder="1" applyAlignment="1">
      <alignment vertical="center"/>
    </xf>
    <xf numFmtId="0" fontId="5" fillId="0" borderId="87" xfId="1" applyFont="1" applyFill="1" applyBorder="1" applyAlignment="1">
      <alignment horizontal="center" vertical="center"/>
    </xf>
    <xf numFmtId="0" fontId="5" fillId="10" borderId="88" xfId="1" applyFont="1" applyFill="1" applyBorder="1" applyAlignment="1">
      <alignment horizontal="center" vertical="center" wrapText="1"/>
    </xf>
    <xf numFmtId="0" fontId="5" fillId="10" borderId="87" xfId="1" applyFont="1" applyFill="1" applyBorder="1" applyAlignment="1">
      <alignment horizontal="center" vertical="center" wrapText="1"/>
    </xf>
    <xf numFmtId="0" fontId="5" fillId="0" borderId="87" xfId="1" applyFont="1" applyBorder="1" applyAlignment="1">
      <alignment horizontal="center" vertical="center"/>
    </xf>
    <xf numFmtId="0" fontId="5" fillId="0" borderId="89" xfId="1" applyFont="1" applyBorder="1" applyAlignment="1">
      <alignment horizontal="center" vertical="center"/>
    </xf>
    <xf numFmtId="0" fontId="5" fillId="0" borderId="90" xfId="1" applyFont="1" applyBorder="1" applyAlignment="1">
      <alignment horizontal="center" vertical="center"/>
    </xf>
    <xf numFmtId="0" fontId="5" fillId="7" borderId="0" xfId="1" applyFont="1" applyFill="1" applyAlignment="1">
      <alignment horizontal="center" vertical="center" wrapText="1"/>
    </xf>
    <xf numFmtId="0" fontId="37" fillId="35" borderId="0" xfId="1" applyNumberFormat="1" applyFont="1" applyFill="1" applyAlignment="1">
      <alignment vertical="center"/>
    </xf>
    <xf numFmtId="0" fontId="7" fillId="0" borderId="93" xfId="41" applyFill="1" applyBorder="1" applyAlignment="1">
      <alignment horizontal="center" vertical="center"/>
    </xf>
    <xf numFmtId="0" fontId="7" fillId="0" borderId="82" xfId="41" applyFont="1" applyFill="1" applyBorder="1" applyAlignment="1">
      <alignment horizontal="center" vertical="center"/>
    </xf>
    <xf numFmtId="0" fontId="7" fillId="0" borderId="82" xfId="41" applyFill="1" applyBorder="1" applyAlignment="1">
      <alignment horizontal="center" vertical="center"/>
    </xf>
    <xf numFmtId="0" fontId="7" fillId="0" borderId="82" xfId="41" applyFill="1" applyBorder="1" applyAlignment="1">
      <alignment vertical="center"/>
    </xf>
    <xf numFmtId="3" fontId="7" fillId="0" borderId="94" xfId="1" applyNumberFormat="1" applyFont="1" applyFill="1" applyBorder="1" applyAlignment="1">
      <alignment horizontal="center" vertical="center"/>
    </xf>
    <xf numFmtId="3" fontId="7" fillId="0" borderId="95" xfId="1" applyNumberFormat="1" applyFont="1" applyFill="1" applyBorder="1" applyAlignment="1">
      <alignment horizontal="center" vertical="center"/>
    </xf>
    <xf numFmtId="3" fontId="7" fillId="0" borderId="96" xfId="1" applyNumberFormat="1" applyFont="1" applyFill="1" applyBorder="1" applyAlignment="1">
      <alignment horizontal="center" vertical="center"/>
    </xf>
    <xf numFmtId="3" fontId="7" fillId="10" borderId="96" xfId="1" applyNumberFormat="1" applyFont="1" applyFill="1" applyBorder="1" applyAlignment="1">
      <alignment horizontal="center" vertical="center"/>
    </xf>
    <xf numFmtId="3" fontId="7" fillId="0" borderId="97" xfId="1" applyNumberFormat="1" applyFont="1" applyFill="1" applyBorder="1" applyAlignment="1">
      <alignment horizontal="center" vertical="center"/>
    </xf>
    <xf numFmtId="3" fontId="5" fillId="0" borderId="94" xfId="1" applyNumberFormat="1" applyFont="1" applyFill="1" applyBorder="1" applyAlignment="1">
      <alignment horizontal="center" vertical="center"/>
    </xf>
    <xf numFmtId="3" fontId="5" fillId="0" borderId="96" xfId="1" applyNumberFormat="1" applyFont="1" applyFill="1" applyBorder="1" applyAlignment="1">
      <alignment horizontal="center" vertical="center"/>
    </xf>
    <xf numFmtId="3" fontId="5" fillId="7" borderId="96" xfId="1" applyNumberFormat="1" applyFont="1" applyFill="1" applyBorder="1" applyAlignment="1">
      <alignment horizontal="center" vertical="center"/>
    </xf>
    <xf numFmtId="3" fontId="5" fillId="0" borderId="98" xfId="1" applyNumberFormat="1" applyFont="1" applyFill="1" applyBorder="1" applyAlignment="1">
      <alignment horizontal="center" vertical="center"/>
    </xf>
    <xf numFmtId="3" fontId="5" fillId="0" borderId="93" xfId="1" applyNumberFormat="1" applyFont="1" applyFill="1" applyBorder="1" applyAlignment="1">
      <alignment horizontal="center" vertical="center"/>
    </xf>
    <xf numFmtId="3" fontId="5" fillId="0" borderId="0" xfId="1" applyNumberFormat="1" applyFont="1" applyAlignment="1">
      <alignment horizontal="center" vertical="center"/>
    </xf>
    <xf numFmtId="3" fontId="5" fillId="7" borderId="0" xfId="1" applyNumberFormat="1" applyFont="1" applyFill="1" applyAlignment="1">
      <alignment horizontal="center" vertical="center"/>
    </xf>
    <xf numFmtId="0" fontId="7" fillId="0" borderId="28" xfId="41" applyFill="1" applyBorder="1" applyAlignment="1">
      <alignment horizontal="center" vertical="center"/>
    </xf>
    <xf numFmtId="0" fontId="7" fillId="0" borderId="99" xfId="41" applyFont="1" applyFill="1" applyBorder="1" applyAlignment="1">
      <alignment horizontal="center" vertical="center"/>
    </xf>
    <xf numFmtId="0" fontId="7" fillId="0" borderId="99" xfId="41" applyFill="1" applyBorder="1" applyAlignment="1">
      <alignment horizontal="center" vertical="center"/>
    </xf>
    <xf numFmtId="0" fontId="7" fillId="0" borderId="99" xfId="41" applyFill="1" applyBorder="1" applyAlignment="1">
      <alignment vertical="center"/>
    </xf>
    <xf numFmtId="3" fontId="7" fillId="0" borderId="100" xfId="1" applyNumberFormat="1" applyFont="1" applyFill="1" applyBorder="1" applyAlignment="1">
      <alignment horizontal="center" vertical="center"/>
    </xf>
    <xf numFmtId="3" fontId="7" fillId="0" borderId="101" xfId="1" applyNumberFormat="1" applyFont="1" applyFill="1" applyBorder="1" applyAlignment="1">
      <alignment horizontal="center" vertical="center"/>
    </xf>
    <xf numFmtId="3" fontId="7" fillId="0" borderId="52" xfId="1" applyNumberFormat="1" applyFont="1" applyFill="1" applyBorder="1" applyAlignment="1">
      <alignment horizontal="center" vertical="center"/>
    </xf>
    <xf numFmtId="3" fontId="7" fillId="0" borderId="102" xfId="1" applyNumberFormat="1" applyFont="1" applyFill="1" applyBorder="1" applyAlignment="1">
      <alignment horizontal="center" vertical="center"/>
    </xf>
    <xf numFmtId="3" fontId="5" fillId="0" borderId="100" xfId="1" applyNumberFormat="1" applyFont="1" applyFill="1" applyBorder="1" applyAlignment="1">
      <alignment horizontal="center" vertical="center"/>
    </xf>
    <xf numFmtId="3" fontId="5" fillId="0" borderId="35" xfId="1" applyNumberFormat="1" applyFont="1" applyFill="1" applyBorder="1" applyAlignment="1">
      <alignment horizontal="center" vertical="center"/>
    </xf>
    <xf numFmtId="3" fontId="5" fillId="0" borderId="28" xfId="1" applyNumberFormat="1" applyFont="1" applyFill="1" applyBorder="1" applyAlignment="1">
      <alignment horizontal="center" vertical="center"/>
    </xf>
    <xf numFmtId="3" fontId="7" fillId="6" borderId="101" xfId="1" applyNumberFormat="1" applyFont="1" applyFill="1" applyBorder="1" applyAlignment="1">
      <alignment horizontal="center" vertical="center"/>
    </xf>
    <xf numFmtId="3" fontId="7" fillId="6" borderId="52" xfId="1" applyNumberFormat="1" applyFont="1" applyFill="1" applyBorder="1" applyAlignment="1">
      <alignment horizontal="center" vertical="center"/>
    </xf>
    <xf numFmtId="3" fontId="7" fillId="6" borderId="102" xfId="1" applyNumberFormat="1" applyFont="1" applyFill="1" applyBorder="1" applyAlignment="1">
      <alignment horizontal="center" vertical="center"/>
    </xf>
    <xf numFmtId="3" fontId="5" fillId="6" borderId="35" xfId="1" applyNumberFormat="1" applyFont="1" applyFill="1" applyBorder="1" applyAlignment="1">
      <alignment horizontal="center" vertical="center"/>
    </xf>
    <xf numFmtId="3" fontId="7" fillId="10" borderId="101" xfId="1" applyNumberFormat="1" applyFont="1" applyFill="1" applyBorder="1" applyAlignment="1">
      <alignment horizontal="center" vertical="center"/>
    </xf>
    <xf numFmtId="3" fontId="7" fillId="10" borderId="52" xfId="1" applyNumberFormat="1" applyFont="1" applyFill="1" applyBorder="1" applyAlignment="1">
      <alignment horizontal="center" vertical="center"/>
    </xf>
    <xf numFmtId="3" fontId="5" fillId="0" borderId="100" xfId="1" applyNumberFormat="1" applyFont="1" applyFill="1" applyBorder="1" applyAlignment="1">
      <alignment horizontal="center" vertical="center" wrapText="1"/>
    </xf>
    <xf numFmtId="3" fontId="5" fillId="0" borderId="35" xfId="1" applyNumberFormat="1" applyFont="1" applyFill="1" applyBorder="1" applyAlignment="1">
      <alignment horizontal="center" vertical="center" wrapText="1"/>
    </xf>
    <xf numFmtId="3" fontId="5" fillId="0" borderId="28" xfId="1" applyNumberFormat="1" applyFont="1" applyFill="1" applyBorder="1" applyAlignment="1">
      <alignment horizontal="center" vertical="center" wrapText="1"/>
    </xf>
    <xf numFmtId="0" fontId="7" fillId="0" borderId="0" xfId="41" applyAlignment="1">
      <alignment horizontal="center" vertical="center"/>
    </xf>
    <xf numFmtId="0" fontId="7" fillId="0" borderId="0" xfId="1" applyAlignment="1">
      <alignment vertical="center"/>
    </xf>
    <xf numFmtId="0" fontId="7" fillId="0" borderId="103" xfId="41" applyFill="1" applyBorder="1" applyAlignment="1">
      <alignment horizontal="center" vertical="center"/>
    </xf>
    <xf numFmtId="0" fontId="7" fillId="0" borderId="104" xfId="41" applyFont="1" applyFill="1" applyBorder="1" applyAlignment="1">
      <alignment horizontal="center" vertical="center"/>
    </xf>
    <xf numFmtId="0" fontId="7" fillId="0" borderId="104" xfId="41" applyFill="1" applyBorder="1" applyAlignment="1">
      <alignment horizontal="center" vertical="center"/>
    </xf>
    <xf numFmtId="0" fontId="7" fillId="0" borderId="103" xfId="41" applyFill="1" applyBorder="1" applyAlignment="1">
      <alignment vertical="center"/>
    </xf>
    <xf numFmtId="0" fontId="5" fillId="0" borderId="0" xfId="1" applyFont="1" applyAlignment="1">
      <alignment horizontal="right" vertical="center"/>
    </xf>
    <xf numFmtId="3" fontId="5" fillId="0" borderId="105" xfId="1" applyNumberFormat="1" applyFont="1" applyFill="1" applyBorder="1" applyAlignment="1">
      <alignment horizontal="center" vertical="center"/>
    </xf>
    <xf numFmtId="3" fontId="5" fillId="0" borderId="106" xfId="1" applyNumberFormat="1" applyFont="1" applyFill="1" applyBorder="1" applyAlignment="1">
      <alignment horizontal="center" vertical="center"/>
    </xf>
    <xf numFmtId="3" fontId="5" fillId="0" borderId="107" xfId="1" applyNumberFormat="1" applyFont="1" applyFill="1" applyBorder="1" applyAlignment="1">
      <alignment horizontal="center" vertical="center"/>
    </xf>
    <xf numFmtId="3" fontId="5" fillId="7" borderId="106" xfId="1" applyNumberFormat="1" applyFont="1" applyFill="1" applyBorder="1" applyAlignment="1">
      <alignment horizontal="center" vertical="center"/>
    </xf>
    <xf numFmtId="3" fontId="5" fillId="0" borderId="108" xfId="1" applyNumberFormat="1" applyFont="1" applyFill="1" applyBorder="1" applyAlignment="1">
      <alignment horizontal="center" vertical="center"/>
    </xf>
    <xf numFmtId="3" fontId="5" fillId="0" borderId="109" xfId="1" applyNumberFormat="1" applyFont="1" applyFill="1" applyBorder="1" applyAlignment="1">
      <alignment horizontal="center" vertical="center"/>
    </xf>
    <xf numFmtId="3" fontId="5" fillId="7" borderId="108" xfId="1" applyNumberFormat="1" applyFont="1" applyFill="1" applyBorder="1" applyAlignment="1">
      <alignment horizontal="center" vertical="center"/>
    </xf>
    <xf numFmtId="0" fontId="7" fillId="0" borderId="0" xfId="1" applyAlignment="1">
      <alignment horizontal="center" vertical="center"/>
    </xf>
    <xf numFmtId="0" fontId="7" fillId="0" borderId="0" xfId="1" applyFill="1" applyAlignment="1">
      <alignment horizontal="center" vertical="center"/>
    </xf>
    <xf numFmtId="0" fontId="5" fillId="0" borderId="0" xfId="1" applyFont="1" applyFill="1" applyAlignment="1">
      <alignment horizontal="center" vertical="center"/>
    </xf>
    <xf numFmtId="0" fontId="37" fillId="0" borderId="0" xfId="1" applyFont="1" applyFill="1" applyAlignment="1">
      <alignment vertical="center"/>
    </xf>
    <xf numFmtId="0" fontId="7" fillId="0" borderId="0" xfId="1" applyBorder="1" applyAlignment="1">
      <alignment vertical="center"/>
    </xf>
    <xf numFmtId="0" fontId="7" fillId="0" borderId="0" xfId="1" applyFill="1" applyAlignment="1">
      <alignment vertical="center"/>
    </xf>
    <xf numFmtId="0" fontId="5" fillId="0" borderId="0" xfId="1" applyFont="1" applyFill="1" applyAlignment="1">
      <alignment vertical="center"/>
    </xf>
    <xf numFmtId="0" fontId="5" fillId="0" borderId="110" xfId="1" applyFont="1" applyFill="1" applyBorder="1" applyAlignment="1">
      <alignment horizontal="center" vertical="center" wrapText="1"/>
    </xf>
    <xf numFmtId="0" fontId="5" fillId="0" borderId="110" xfId="1" applyFont="1" applyBorder="1" applyAlignment="1">
      <alignment horizontal="center" vertical="center" wrapText="1"/>
    </xf>
    <xf numFmtId="0" fontId="5" fillId="0" borderId="89" xfId="1" applyFont="1" applyFill="1" applyBorder="1" applyAlignment="1">
      <alignment horizontal="center" vertical="center" wrapText="1"/>
    </xf>
    <xf numFmtId="0" fontId="5" fillId="0" borderId="89" xfId="1" applyFont="1" applyFill="1" applyBorder="1" applyAlignment="1">
      <alignment horizontal="center" vertical="center"/>
    </xf>
    <xf numFmtId="0" fontId="5" fillId="0" borderId="89" xfId="1" applyFont="1" applyBorder="1" applyAlignment="1">
      <alignment horizontal="center" vertical="center" wrapText="1"/>
    </xf>
    <xf numFmtId="0" fontId="5" fillId="7" borderId="89" xfId="1" applyFont="1" applyFill="1" applyBorder="1" applyAlignment="1">
      <alignment horizontal="center" vertical="center" wrapText="1"/>
    </xf>
    <xf numFmtId="0" fontId="5" fillId="0" borderId="90" xfId="1" applyFont="1" applyBorder="1" applyAlignment="1">
      <alignment horizontal="center" vertical="center" wrapText="1"/>
    </xf>
    <xf numFmtId="0" fontId="5" fillId="0" borderId="103" xfId="1" applyFont="1" applyFill="1" applyBorder="1" applyAlignment="1">
      <alignment horizontal="center" vertical="center" wrapText="1"/>
    </xf>
    <xf numFmtId="0" fontId="7" fillId="0" borderId="0" xfId="1" applyAlignment="1">
      <alignment horizontal="left" vertical="center"/>
    </xf>
    <xf numFmtId="0" fontId="7" fillId="0" borderId="111" xfId="1" applyFill="1" applyBorder="1" applyAlignment="1">
      <alignment horizontal="center" vertical="center"/>
    </xf>
    <xf numFmtId="0" fontId="7" fillId="0" borderId="111" xfId="1" applyBorder="1" applyAlignment="1">
      <alignment horizontal="center" vertical="center"/>
    </xf>
    <xf numFmtId="0" fontId="7" fillId="0" borderId="73" xfId="1" applyFill="1" applyBorder="1" applyAlignment="1">
      <alignment horizontal="center" vertical="center"/>
    </xf>
    <xf numFmtId="0" fontId="7" fillId="0" borderId="73" xfId="1" applyBorder="1" applyAlignment="1">
      <alignment horizontal="center" vertical="center"/>
    </xf>
    <xf numFmtId="0" fontId="7" fillId="0" borderId="70" xfId="1" applyBorder="1" applyAlignment="1">
      <alignment horizontal="center" vertical="center"/>
    </xf>
    <xf numFmtId="0" fontId="5" fillId="0" borderId="111" xfId="1" applyFont="1" applyFill="1" applyBorder="1" applyAlignment="1">
      <alignment horizontal="center" vertical="center"/>
    </xf>
    <xf numFmtId="0" fontId="5" fillId="0" borderId="73" xfId="1" applyFont="1" applyBorder="1" applyAlignment="1">
      <alignment horizontal="center" vertical="center"/>
    </xf>
    <xf numFmtId="0" fontId="5" fillId="7" borderId="73" xfId="1" applyFont="1" applyFill="1" applyBorder="1" applyAlignment="1">
      <alignment horizontal="center" vertical="center"/>
    </xf>
    <xf numFmtId="0" fontId="5" fillId="0" borderId="70" xfId="1" applyFont="1" applyBorder="1" applyAlignment="1">
      <alignment horizontal="center" vertical="center"/>
    </xf>
    <xf numFmtId="0" fontId="5" fillId="0" borderId="112" xfId="1" applyFont="1" applyFill="1" applyBorder="1" applyAlignment="1">
      <alignment horizontal="center" vertical="center"/>
    </xf>
    <xf numFmtId="0" fontId="7" fillId="0" borderId="100" xfId="1" applyFill="1" applyBorder="1" applyAlignment="1">
      <alignment horizontal="center" vertical="center"/>
    </xf>
    <xf numFmtId="0" fontId="7" fillId="0" borderId="100" xfId="1" applyBorder="1" applyAlignment="1">
      <alignment horizontal="center" vertical="center"/>
    </xf>
    <xf numFmtId="0" fontId="7" fillId="0" borderId="52" xfId="1" applyFill="1" applyBorder="1" applyAlignment="1">
      <alignment horizontal="center" vertical="center"/>
    </xf>
    <xf numFmtId="0" fontId="7" fillId="0" borderId="52" xfId="1" applyBorder="1" applyAlignment="1">
      <alignment horizontal="center" vertical="center"/>
    </xf>
    <xf numFmtId="0" fontId="7" fillId="0" borderId="102" xfId="1" applyBorder="1" applyAlignment="1">
      <alignment horizontal="center" vertical="center"/>
    </xf>
    <xf numFmtId="0" fontId="5" fillId="0" borderId="100" xfId="1" applyFont="1" applyFill="1" applyBorder="1" applyAlignment="1">
      <alignment horizontal="center" vertical="center"/>
    </xf>
    <xf numFmtId="0" fontId="5" fillId="0" borderId="52" xfId="1" applyFont="1" applyBorder="1" applyAlignment="1">
      <alignment horizontal="center" vertical="center"/>
    </xf>
    <xf numFmtId="0" fontId="5" fillId="7" borderId="52" xfId="1" applyFont="1" applyFill="1" applyBorder="1" applyAlignment="1">
      <alignment horizontal="center" vertical="center"/>
    </xf>
    <xf numFmtId="0" fontId="5" fillId="0" borderId="102" xfId="1" applyFont="1" applyBorder="1" applyAlignment="1">
      <alignment horizontal="center" vertical="center"/>
    </xf>
    <xf numFmtId="0" fontId="5" fillId="0" borderId="28" xfId="1" applyFont="1" applyFill="1" applyBorder="1" applyAlignment="1">
      <alignment horizontal="center" vertical="center"/>
    </xf>
    <xf numFmtId="0" fontId="7" fillId="0" borderId="113" xfId="1" applyFill="1" applyBorder="1" applyAlignment="1">
      <alignment horizontal="center" vertical="center"/>
    </xf>
    <xf numFmtId="0" fontId="7" fillId="0" borderId="113" xfId="1" applyBorder="1" applyAlignment="1">
      <alignment horizontal="center" vertical="center"/>
    </xf>
    <xf numFmtId="0" fontId="7" fillId="0" borderId="114" xfId="1" applyFill="1" applyBorder="1" applyAlignment="1">
      <alignment horizontal="center" vertical="center"/>
    </xf>
    <xf numFmtId="0" fontId="7" fillId="0" borderId="114" xfId="1" applyBorder="1" applyAlignment="1">
      <alignment horizontal="center" vertical="center"/>
    </xf>
    <xf numFmtId="0" fontId="7" fillId="0" borderId="115" xfId="1" applyBorder="1" applyAlignment="1">
      <alignment horizontal="center" vertical="center"/>
    </xf>
    <xf numFmtId="0" fontId="5" fillId="0" borderId="113" xfId="1" applyFont="1" applyFill="1" applyBorder="1" applyAlignment="1">
      <alignment horizontal="center" vertical="center"/>
    </xf>
    <xf numFmtId="0" fontId="5" fillId="0" borderId="114" xfId="1" applyFont="1" applyBorder="1" applyAlignment="1">
      <alignment horizontal="center" vertical="center"/>
    </xf>
    <xf numFmtId="0" fontId="5" fillId="7" borderId="114" xfId="1" applyFont="1" applyFill="1" applyBorder="1" applyAlignment="1">
      <alignment horizontal="center" vertical="center"/>
    </xf>
    <xf numFmtId="0" fontId="5" fillId="0" borderId="115" xfId="1" applyFont="1" applyBorder="1" applyAlignment="1">
      <alignment horizontal="center" vertical="center"/>
    </xf>
    <xf numFmtId="0" fontId="5" fillId="0" borderId="116" xfId="1" applyFont="1" applyFill="1" applyBorder="1" applyAlignment="1">
      <alignment horizontal="center" vertical="center"/>
    </xf>
    <xf numFmtId="0" fontId="5" fillId="0" borderId="88" xfId="1" applyFont="1" applyFill="1" applyBorder="1" applyAlignment="1">
      <alignment horizontal="center" vertical="center"/>
    </xf>
    <xf numFmtId="0" fontId="5" fillId="0" borderId="88" xfId="1" applyFont="1" applyBorder="1" applyAlignment="1">
      <alignment horizontal="center" vertical="center"/>
    </xf>
    <xf numFmtId="0" fontId="5" fillId="0" borderId="117" xfId="1" applyFont="1" applyBorder="1" applyAlignment="1">
      <alignment horizontal="center" vertical="center"/>
    </xf>
    <xf numFmtId="0" fontId="5" fillId="7" borderId="87" xfId="1" applyFont="1" applyFill="1" applyBorder="1" applyAlignment="1">
      <alignment horizontal="center" vertical="center"/>
    </xf>
    <xf numFmtId="0" fontId="5" fillId="0" borderId="109" xfId="1" applyFont="1" applyFill="1" applyBorder="1" applyAlignment="1">
      <alignment horizontal="center" vertical="center"/>
    </xf>
    <xf numFmtId="0" fontId="5" fillId="7" borderId="0" xfId="1" applyFont="1" applyFill="1" applyAlignment="1">
      <alignment horizontal="center" vertical="center"/>
    </xf>
    <xf numFmtId="0" fontId="7" fillId="7" borderId="0" xfId="1" applyFill="1" applyAlignment="1">
      <alignment horizontal="center" vertical="center"/>
    </xf>
    <xf numFmtId="0" fontId="7" fillId="0" borderId="0" xfId="1" applyFont="1" applyAlignment="1">
      <alignment horizontal="center" vertical="center"/>
    </xf>
    <xf numFmtId="0" fontId="7" fillId="0" borderId="0" xfId="1" applyFont="1" applyAlignment="1">
      <alignment horizontal="left" vertical="center"/>
    </xf>
    <xf numFmtId="3" fontId="7" fillId="0" borderId="0" xfId="1" applyNumberFormat="1" applyFont="1" applyFill="1" applyAlignment="1">
      <alignment horizontal="center" vertical="center"/>
    </xf>
    <xf numFmtId="3" fontId="7" fillId="0" borderId="0" xfId="1" applyNumberFormat="1" applyFont="1" applyAlignment="1">
      <alignment horizontal="center" vertical="center"/>
    </xf>
    <xf numFmtId="3" fontId="7" fillId="0" borderId="18" xfId="1" applyNumberFormat="1" applyFont="1" applyFill="1" applyBorder="1" applyAlignment="1">
      <alignment horizontal="center" vertical="center"/>
    </xf>
    <xf numFmtId="3" fontId="7" fillId="0" borderId="0" xfId="1" applyNumberFormat="1" applyFont="1" applyBorder="1" applyAlignment="1">
      <alignment horizontal="center" vertical="center"/>
    </xf>
    <xf numFmtId="3" fontId="7" fillId="7" borderId="0" xfId="1" applyNumberFormat="1" applyFont="1" applyFill="1" applyBorder="1" applyAlignment="1">
      <alignment horizontal="center" vertical="center"/>
    </xf>
    <xf numFmtId="3" fontId="7" fillId="0" borderId="26" xfId="1" applyNumberFormat="1" applyFont="1" applyBorder="1" applyAlignment="1">
      <alignment horizontal="center" vertical="center"/>
    </xf>
    <xf numFmtId="3" fontId="7" fillId="7" borderId="0" xfId="1" applyNumberFormat="1" applyFont="1" applyFill="1" applyAlignment="1">
      <alignment horizontal="center" vertical="center"/>
    </xf>
    <xf numFmtId="0" fontId="7" fillId="0" borderId="0" xfId="1" applyFont="1" applyAlignment="1">
      <alignment vertical="center"/>
    </xf>
    <xf numFmtId="0" fontId="7" fillId="0" borderId="0" xfId="1" applyFont="1" applyFill="1" applyAlignment="1">
      <alignment horizontal="center" vertical="center"/>
    </xf>
    <xf numFmtId="0" fontId="7" fillId="0" borderId="18" xfId="1" applyFont="1" applyFill="1" applyBorder="1" applyAlignment="1">
      <alignment horizontal="center" vertical="center"/>
    </xf>
    <xf numFmtId="0" fontId="7" fillId="0" borderId="0" xfId="1" applyFont="1" applyBorder="1" applyAlignment="1">
      <alignment horizontal="center" vertical="center"/>
    </xf>
    <xf numFmtId="0" fontId="7" fillId="7" borderId="0" xfId="1" applyFont="1" applyFill="1" applyBorder="1" applyAlignment="1">
      <alignment horizontal="center" vertical="center"/>
    </xf>
    <xf numFmtId="0" fontId="7" fillId="0" borderId="26" xfId="1" applyFont="1" applyBorder="1" applyAlignment="1">
      <alignment horizontal="center" vertical="center"/>
    </xf>
    <xf numFmtId="0" fontId="7" fillId="7" borderId="0" xfId="1" applyFont="1" applyFill="1" applyAlignment="1">
      <alignment horizontal="center" vertical="center"/>
    </xf>
    <xf numFmtId="0" fontId="5" fillId="0" borderId="0" xfId="1" applyFont="1" applyAlignment="1">
      <alignment horizontal="left" vertical="center"/>
    </xf>
    <xf numFmtId="0" fontId="5" fillId="0" borderId="18" xfId="1" applyFont="1" applyFill="1" applyBorder="1" applyAlignment="1">
      <alignment horizontal="center" vertical="center"/>
    </xf>
    <xf numFmtId="0" fontId="5" fillId="0" borderId="0" xfId="1" applyFont="1" applyBorder="1" applyAlignment="1">
      <alignment horizontal="center" vertical="center"/>
    </xf>
    <xf numFmtId="0" fontId="5" fillId="7" borderId="0" xfId="1" applyFont="1" applyFill="1" applyBorder="1" applyAlignment="1">
      <alignment horizontal="center" vertical="center"/>
    </xf>
    <xf numFmtId="0" fontId="5" fillId="0" borderId="26" xfId="1" applyFont="1" applyBorder="1" applyAlignment="1">
      <alignment horizontal="center" vertical="center"/>
    </xf>
    <xf numFmtId="3" fontId="5" fillId="0" borderId="118" xfId="1" applyNumberFormat="1" applyFont="1" applyFill="1" applyBorder="1" applyAlignment="1">
      <alignment horizontal="center" vertical="center"/>
    </xf>
    <xf numFmtId="3" fontId="5" fillId="0" borderId="118" xfId="1" applyNumberFormat="1" applyFont="1" applyBorder="1" applyAlignment="1">
      <alignment horizontal="center" vertical="center"/>
    </xf>
    <xf numFmtId="3" fontId="5" fillId="0" borderId="119" xfId="1" applyNumberFormat="1" applyFont="1" applyFill="1" applyBorder="1" applyAlignment="1">
      <alignment horizontal="center" vertical="center"/>
    </xf>
    <xf numFmtId="3" fontId="5" fillId="7" borderId="118" xfId="1" applyNumberFormat="1" applyFont="1" applyFill="1" applyBorder="1" applyAlignment="1">
      <alignment horizontal="center" vertical="center"/>
    </xf>
    <xf numFmtId="3" fontId="5" fillId="0" borderId="120" xfId="1" applyNumberFormat="1" applyFont="1" applyBorder="1" applyAlignment="1">
      <alignment horizontal="center" vertical="center"/>
    </xf>
    <xf numFmtId="0" fontId="7" fillId="0" borderId="0" xfId="0" applyFont="1"/>
    <xf numFmtId="0" fontId="7" fillId="0" borderId="0" xfId="0" applyNumberFormat="1" applyFont="1"/>
    <xf numFmtId="2" fontId="0" fillId="0" borderId="0" xfId="0" applyNumberFormat="1" applyAlignment="1">
      <alignment horizontal="center"/>
    </xf>
    <xf numFmtId="2" fontId="0" fillId="0" borderId="0" xfId="0" applyNumberFormat="1"/>
    <xf numFmtId="10" fontId="0" fillId="0" borderId="0" xfId="0" applyNumberFormat="1"/>
    <xf numFmtId="0" fontId="5" fillId="8" borderId="0" xfId="0" applyFont="1" applyFill="1" applyAlignment="1">
      <alignment wrapText="1"/>
    </xf>
    <xf numFmtId="0" fontId="7" fillId="0" borderId="0" xfId="0" applyNumberFormat="1" applyFont="1" applyFill="1" applyAlignment="1">
      <alignment horizontal="center" wrapText="1"/>
    </xf>
    <xf numFmtId="2" fontId="0" fillId="7" borderId="0" xfId="0" applyNumberFormat="1" applyFill="1" applyAlignment="1">
      <alignment horizontal="center" wrapText="1"/>
    </xf>
    <xf numFmtId="2" fontId="0" fillId="7" borderId="0" xfId="0" applyNumberFormat="1" applyFill="1" applyAlignment="1">
      <alignment wrapText="1"/>
    </xf>
    <xf numFmtId="2" fontId="0" fillId="8" borderId="0" xfId="0" applyNumberFormat="1" applyFill="1"/>
    <xf numFmtId="2" fontId="0" fillId="8" borderId="0" xfId="0" applyNumberFormat="1" applyFill="1" applyAlignment="1">
      <alignment horizontal="center" wrapText="1"/>
    </xf>
    <xf numFmtId="0" fontId="0" fillId="8" borderId="0" xfId="0" applyFill="1" applyAlignment="1">
      <alignment horizontal="center" wrapText="1"/>
    </xf>
    <xf numFmtId="0" fontId="0" fillId="15" borderId="0" xfId="0" applyFill="1" applyAlignment="1">
      <alignment horizontal="center" wrapText="1"/>
    </xf>
    <xf numFmtId="0" fontId="0" fillId="15" borderId="0" xfId="0" applyFill="1"/>
    <xf numFmtId="10" fontId="0" fillId="8" borderId="0" xfId="0" applyNumberFormat="1" applyFill="1" applyAlignment="1">
      <alignment horizontal="center" wrapText="1"/>
    </xf>
    <xf numFmtId="0" fontId="0" fillId="7" borderId="0" xfId="0" applyFill="1" applyAlignment="1">
      <alignment horizontal="center" wrapText="1"/>
    </xf>
    <xf numFmtId="0" fontId="0" fillId="8" borderId="0" xfId="0" applyFill="1"/>
    <xf numFmtId="0" fontId="0" fillId="7" borderId="0" xfId="0" applyFill="1"/>
    <xf numFmtId="0" fontId="0" fillId="0" borderId="0" xfId="0" applyFill="1" applyAlignment="1">
      <alignment horizontal="center" wrapText="1"/>
    </xf>
    <xf numFmtId="173" fontId="0" fillId="0" borderId="0" xfId="0" applyNumberFormat="1"/>
    <xf numFmtId="0" fontId="7" fillId="14" borderId="0" xfId="0" applyFont="1" applyFill="1"/>
    <xf numFmtId="0" fontId="7" fillId="14" borderId="0" xfId="0" applyNumberFormat="1" applyFont="1" applyFill="1"/>
    <xf numFmtId="0" fontId="7" fillId="35" borderId="0" xfId="0" applyFont="1" applyFill="1"/>
    <xf numFmtId="0" fontId="7" fillId="35" borderId="0" xfId="0" applyNumberFormat="1" applyFont="1" applyFill="1"/>
    <xf numFmtId="0" fontId="7" fillId="36" borderId="0" xfId="0" applyFont="1" applyFill="1"/>
    <xf numFmtId="0" fontId="7" fillId="36" borderId="0" xfId="0" applyNumberFormat="1" applyFont="1" applyFill="1"/>
    <xf numFmtId="2" fontId="5" fillId="0" borderId="0" xfId="0" applyNumberFormat="1" applyFont="1"/>
    <xf numFmtId="2" fontId="2" fillId="0" borderId="0" xfId="0" applyNumberFormat="1" applyFont="1"/>
    <xf numFmtId="10" fontId="2" fillId="0" borderId="0" xfId="0" applyNumberFormat="1" applyFont="1"/>
    <xf numFmtId="2" fontId="0" fillId="0" borderId="0" xfId="0" applyNumberFormat="1" applyFill="1" applyBorder="1" applyAlignment="1">
      <alignment horizontal="center"/>
    </xf>
    <xf numFmtId="0" fontId="12" fillId="0" borderId="0" xfId="1" applyNumberFormat="1" applyFont="1" applyFill="1" applyBorder="1" applyAlignment="1" applyProtection="1">
      <alignment horizontal="left"/>
    </xf>
    <xf numFmtId="2" fontId="0" fillId="0" borderId="0" xfId="0" applyNumberFormat="1" applyFill="1" applyBorder="1"/>
    <xf numFmtId="0" fontId="0" fillId="0" borderId="0" xfId="0" applyNumberFormat="1" applyFill="1" applyBorder="1"/>
    <xf numFmtId="2" fontId="2" fillId="7" borderId="0" xfId="0" applyNumberFormat="1" applyFont="1" applyFill="1"/>
    <xf numFmtId="174" fontId="7" fillId="0" borderId="0" xfId="0" applyNumberFormat="1" applyFont="1"/>
    <xf numFmtId="174" fontId="0" fillId="0" borderId="0" xfId="0" applyNumberFormat="1" applyAlignment="1">
      <alignment horizontal="center"/>
    </xf>
    <xf numFmtId="0" fontId="2" fillId="0" borderId="0" xfId="0" applyFont="1"/>
    <xf numFmtId="3" fontId="0" fillId="0" borderId="0" xfId="0" applyNumberFormat="1" applyBorder="1"/>
    <xf numFmtId="164" fontId="0" fillId="0" borderId="0" xfId="0" applyNumberFormat="1" applyFill="1" applyBorder="1"/>
    <xf numFmtId="4" fontId="0" fillId="0" borderId="0" xfId="0" applyNumberFormat="1" applyFill="1" applyBorder="1"/>
    <xf numFmtId="164" fontId="0" fillId="0" borderId="0" xfId="0" applyNumberFormat="1" applyBorder="1"/>
    <xf numFmtId="4" fontId="0" fillId="0" borderId="0" xfId="0" applyNumberFormat="1" applyBorder="1"/>
    <xf numFmtId="3" fontId="0" fillId="0" borderId="0" xfId="0" applyNumberFormat="1" applyFill="1" applyBorder="1" applyAlignment="1">
      <alignment horizontal="center" wrapText="1"/>
    </xf>
    <xf numFmtId="3" fontId="0" fillId="0" borderId="0" xfId="0" applyNumberFormat="1" applyBorder="1" applyAlignment="1">
      <alignment horizontal="center" wrapText="1"/>
    </xf>
    <xf numFmtId="3" fontId="7" fillId="0" borderId="0" xfId="0" applyNumberFormat="1" applyFont="1"/>
    <xf numFmtId="3" fontId="0" fillId="0" borderId="0" xfId="0" applyNumberFormat="1" applyBorder="1" applyAlignment="1">
      <alignment vertical="center" wrapText="1"/>
    </xf>
    <xf numFmtId="3" fontId="0" fillId="0" borderId="0" xfId="0" applyNumberFormat="1" applyBorder="1" applyAlignment="1">
      <alignment vertical="center"/>
    </xf>
    <xf numFmtId="3" fontId="2" fillId="0" borderId="0" xfId="0" applyNumberFormat="1" applyFont="1"/>
    <xf numFmtId="0" fontId="0" fillId="0" borderId="28" xfId="0" applyFill="1" applyBorder="1" applyAlignment="1">
      <alignment horizontal="right" vertical="center"/>
    </xf>
    <xf numFmtId="3" fontId="0" fillId="0" borderId="0" xfId="0" applyNumberFormat="1"/>
    <xf numFmtId="3" fontId="5" fillId="0" borderId="0" xfId="0" applyNumberFormat="1" applyFont="1" applyFill="1" applyBorder="1" applyAlignment="1">
      <alignment horizontal="left" wrapText="1"/>
    </xf>
    <xf numFmtId="4"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wrapText="1"/>
    </xf>
    <xf numFmtId="175" fontId="7" fillId="0" borderId="0" xfId="0" applyNumberFormat="1" applyFont="1" applyFill="1" applyBorder="1"/>
    <xf numFmtId="3" fontId="2" fillId="0" borderId="0" xfId="0" applyNumberFormat="1" applyFont="1" applyFill="1" applyBorder="1"/>
    <xf numFmtId="175" fontId="7" fillId="0" borderId="0" xfId="0" applyNumberFormat="1" applyFont="1" applyFill="1"/>
    <xf numFmtId="4" fontId="7" fillId="0" borderId="0" xfId="0" applyNumberFormat="1" applyFont="1" applyFill="1" applyBorder="1"/>
    <xf numFmtId="0" fontId="7" fillId="0" borderId="0" xfId="0" applyFont="1" applyFill="1" applyBorder="1" applyProtection="1">
      <protection locked="0"/>
    </xf>
    <xf numFmtId="4" fontId="2" fillId="0" borderId="0" xfId="0" applyNumberFormat="1" applyFont="1" applyFill="1" applyBorder="1"/>
    <xf numFmtId="4" fontId="2" fillId="0" borderId="0" xfId="0" applyNumberFormat="1" applyFont="1" applyFill="1"/>
    <xf numFmtId="0" fontId="0" fillId="0" borderId="34" xfId="0" applyFill="1" applyBorder="1" applyAlignment="1">
      <alignment horizontal="right" vertical="center"/>
    </xf>
    <xf numFmtId="165" fontId="0" fillId="0" borderId="0" xfId="0" applyNumberFormat="1" applyBorder="1"/>
    <xf numFmtId="3" fontId="5" fillId="0" borderId="0" xfId="0" applyNumberFormat="1" applyFont="1" applyBorder="1" applyAlignment="1">
      <alignment horizontal="center" vertical="center" wrapText="1"/>
    </xf>
    <xf numFmtId="3" fontId="2" fillId="0" borderId="0" xfId="0" applyNumberFormat="1" applyFont="1" applyBorder="1" applyAlignment="1">
      <alignment vertical="center"/>
    </xf>
    <xf numFmtId="3" fontId="2" fillId="0" borderId="0" xfId="0" applyNumberFormat="1" applyFont="1" applyBorder="1"/>
    <xf numFmtId="176" fontId="0" fillId="0" borderId="0" xfId="0" applyNumberFormat="1" applyFill="1" applyBorder="1"/>
    <xf numFmtId="165" fontId="0" fillId="0" borderId="0" xfId="0" applyNumberFormat="1" applyFill="1" applyBorder="1"/>
    <xf numFmtId="4" fontId="2" fillId="0" borderId="0" xfId="0" applyNumberFormat="1" applyFont="1" applyFill="1" applyAlignment="1">
      <alignment horizontal="center" wrapText="1"/>
    </xf>
    <xf numFmtId="4" fontId="2" fillId="0" borderId="0" xfId="0" applyNumberFormat="1" applyFont="1"/>
    <xf numFmtId="0" fontId="2" fillId="0" borderId="0" xfId="0" applyFont="1" applyFill="1" applyAlignment="1">
      <alignment horizontal="center" wrapText="1"/>
    </xf>
    <xf numFmtId="3" fontId="0" fillId="0" borderId="0" xfId="0" applyNumberFormat="1" applyFill="1" applyBorder="1" applyAlignment="1">
      <alignment vertical="center"/>
    </xf>
    <xf numFmtId="3" fontId="0" fillId="33" borderId="0" xfId="0" applyNumberFormat="1" applyFill="1" applyBorder="1"/>
    <xf numFmtId="2" fontId="0" fillId="0" borderId="0" xfId="0" applyNumberFormat="1" applyFill="1"/>
    <xf numFmtId="2" fontId="0" fillId="0" borderId="20" xfId="0" applyNumberFormat="1" applyFill="1" applyBorder="1"/>
    <xf numFmtId="0" fontId="0" fillId="0" borderId="20" xfId="0" applyFill="1" applyBorder="1"/>
    <xf numFmtId="3" fontId="0" fillId="10" borderId="0" xfId="0" applyNumberFormat="1" applyFill="1" applyBorder="1" applyAlignment="1">
      <alignment vertical="center"/>
    </xf>
    <xf numFmtId="0" fontId="2" fillId="0" borderId="0" xfId="0" applyFont="1" applyFill="1" applyBorder="1"/>
    <xf numFmtId="3" fontId="5" fillId="0" borderId="0" xfId="0" applyNumberFormat="1" applyFont="1" applyFill="1" applyBorder="1" applyAlignment="1">
      <alignment horizontal="center" wrapText="1"/>
    </xf>
    <xf numFmtId="0" fontId="7" fillId="0" borderId="0" xfId="52" applyFont="1" applyFill="1" applyBorder="1"/>
    <xf numFmtId="0" fontId="7" fillId="0" borderId="0" xfId="52" applyFill="1" applyBorder="1"/>
    <xf numFmtId="166" fontId="5" fillId="0" borderId="0" xfId="0" applyNumberFormat="1" applyFont="1" applyFill="1" applyBorder="1" applyAlignment="1">
      <alignment horizontal="center" wrapText="1"/>
    </xf>
    <xf numFmtId="166" fontId="2" fillId="0" borderId="0" xfId="0" applyNumberFormat="1" applyFont="1" applyFill="1" applyBorder="1"/>
    <xf numFmtId="4" fontId="0" fillId="0" borderId="0" xfId="0" applyNumberFormat="1" applyFill="1" applyBorder="1" applyAlignment="1">
      <alignment wrapText="1"/>
    </xf>
    <xf numFmtId="4" fontId="0" fillId="0" borderId="0" xfId="0" applyNumberFormat="1" applyFill="1" applyBorder="1" applyAlignment="1"/>
    <xf numFmtId="4" fontId="2" fillId="0" borderId="0" xfId="0" applyNumberFormat="1" applyFont="1" applyFill="1" applyBorder="1" applyAlignment="1">
      <alignment wrapText="1"/>
    </xf>
    <xf numFmtId="0" fontId="9" fillId="10" borderId="0" xfId="0" applyFont="1" applyFill="1" applyBorder="1" applyAlignment="1">
      <alignment wrapText="1"/>
    </xf>
    <xf numFmtId="4" fontId="0" fillId="7" borderId="0" xfId="0" applyNumberFormat="1" applyFill="1" applyBorder="1"/>
    <xf numFmtId="0" fontId="7" fillId="0" borderId="0" xfId="1" applyFill="1" applyBorder="1" applyAlignment="1">
      <alignment horizontal="left"/>
    </xf>
    <xf numFmtId="166" fontId="2" fillId="6" borderId="0" xfId="0" applyNumberFormat="1" applyFont="1" applyFill="1" applyBorder="1"/>
    <xf numFmtId="0" fontId="9" fillId="37" borderId="0" xfId="0" applyFont="1" applyFill="1" applyBorder="1" applyAlignment="1">
      <alignment wrapText="1"/>
    </xf>
    <xf numFmtId="177" fontId="0" fillId="0" borderId="0" xfId="0" applyNumberFormat="1" applyFill="1" applyBorder="1"/>
    <xf numFmtId="0" fontId="0" fillId="0" borderId="0" xfId="0" applyFill="1" applyBorder="1" applyAlignment="1">
      <alignment wrapText="1"/>
    </xf>
    <xf numFmtId="4" fontId="2" fillId="0" borderId="0" xfId="0" applyNumberFormat="1" applyFont="1" applyFill="1" applyAlignment="1">
      <alignment horizontal="center" vertical="center" wrapText="1"/>
    </xf>
    <xf numFmtId="0" fontId="2" fillId="6" borderId="0" xfId="0" applyFont="1" applyFill="1" applyAlignment="1">
      <alignment horizontal="center" vertical="center" wrapText="1"/>
    </xf>
    <xf numFmtId="3" fontId="0" fillId="10" borderId="0" xfId="0" applyNumberFormat="1" applyFill="1"/>
    <xf numFmtId="3" fontId="7" fillId="10" borderId="0" xfId="0" applyNumberFormat="1" applyFont="1" applyFill="1"/>
    <xf numFmtId="4" fontId="7" fillId="28" borderId="0" xfId="0" applyNumberFormat="1" applyFont="1" applyFill="1" applyBorder="1"/>
    <xf numFmtId="3" fontId="0" fillId="28" borderId="0" xfId="0" applyNumberFormat="1" applyFill="1"/>
    <xf numFmtId="1" fontId="0" fillId="0" borderId="0" xfId="0" applyNumberFormat="1" applyFill="1"/>
    <xf numFmtId="4" fontId="5" fillId="0" borderId="0" xfId="0" applyNumberFormat="1" applyFont="1" applyFill="1" applyBorder="1"/>
    <xf numFmtId="4" fontId="23" fillId="0" borderId="0" xfId="0" applyNumberFormat="1" applyFont="1" applyFill="1"/>
    <xf numFmtId="0" fontId="7" fillId="0" borderId="0" xfId="52"/>
    <xf numFmtId="0" fontId="7" fillId="0" borderId="0" xfId="52" applyAlignment="1">
      <alignment horizontal="left"/>
    </xf>
    <xf numFmtId="3" fontId="0" fillId="0" borderId="24" xfId="0" applyNumberFormat="1" applyFill="1" applyBorder="1"/>
    <xf numFmtId="3" fontId="0" fillId="0" borderId="32" xfId="0" applyNumberFormat="1" applyFill="1" applyBorder="1"/>
    <xf numFmtId="3" fontId="0" fillId="0" borderId="25" xfId="0" applyNumberFormat="1" applyFill="1" applyBorder="1"/>
    <xf numFmtId="3" fontId="0" fillId="0" borderId="18" xfId="0" applyNumberFormat="1" applyFill="1" applyBorder="1"/>
    <xf numFmtId="3" fontId="0" fillId="0" borderId="26" xfId="0" applyNumberFormat="1" applyFill="1" applyBorder="1"/>
    <xf numFmtId="3" fontId="0" fillId="21" borderId="0" xfId="0" applyNumberFormat="1" applyFill="1"/>
    <xf numFmtId="165" fontId="12" fillId="10" borderId="12" xfId="1" applyNumberFormat="1" applyFont="1" applyFill="1" applyBorder="1" applyAlignment="1" applyProtection="1">
      <alignment vertical="center"/>
      <protection locked="0"/>
    </xf>
    <xf numFmtId="4" fontId="0" fillId="0" borderId="32" xfId="0" applyNumberFormat="1" applyFill="1" applyBorder="1"/>
    <xf numFmtId="3" fontId="0" fillId="0" borderId="27" xfId="0" applyNumberFormat="1" applyFill="1" applyBorder="1"/>
    <xf numFmtId="3" fontId="0" fillId="0" borderId="23" xfId="0" applyNumberFormat="1" applyFill="1" applyBorder="1"/>
    <xf numFmtId="3" fontId="0" fillId="0" borderId="17" xfId="0" applyNumberFormat="1" applyFill="1" applyBorder="1"/>
    <xf numFmtId="3" fontId="0" fillId="32" borderId="0" xfId="0" applyNumberFormat="1" applyFill="1"/>
    <xf numFmtId="0" fontId="0" fillId="32" borderId="0" xfId="0" applyNumberFormat="1" applyFill="1"/>
    <xf numFmtId="3" fontId="0" fillId="32" borderId="24" xfId="0" applyNumberFormat="1" applyFill="1" applyBorder="1"/>
    <xf numFmtId="3" fontId="0" fillId="32" borderId="32" xfId="0" applyNumberFormat="1" applyFill="1" applyBorder="1"/>
    <xf numFmtId="3" fontId="0" fillId="32" borderId="25" xfId="0" applyNumberFormat="1" applyFill="1" applyBorder="1"/>
    <xf numFmtId="4" fontId="0" fillId="32" borderId="0" xfId="0" applyNumberFormat="1" applyFill="1"/>
    <xf numFmtId="3" fontId="0" fillId="32" borderId="18" xfId="0" applyNumberFormat="1" applyFill="1" applyBorder="1"/>
    <xf numFmtId="3" fontId="0" fillId="32" borderId="0" xfId="0" applyNumberFormat="1" applyFill="1" applyBorder="1"/>
    <xf numFmtId="3" fontId="0" fillId="32" borderId="26" xfId="0" applyNumberFormat="1" applyFill="1" applyBorder="1"/>
    <xf numFmtId="165" fontId="12" fillId="32" borderId="12" xfId="1" applyNumberFormat="1" applyFont="1" applyFill="1" applyBorder="1" applyAlignment="1" applyProtection="1">
      <alignment vertical="center"/>
      <protection locked="0"/>
    </xf>
    <xf numFmtId="165" fontId="12" fillId="32" borderId="12" xfId="12" applyNumberFormat="1" applyFont="1" applyFill="1" applyBorder="1" applyAlignment="1" applyProtection="1">
      <alignment horizontal="right" vertical="center"/>
      <protection locked="0"/>
    </xf>
    <xf numFmtId="175" fontId="0" fillId="0" borderId="26" xfId="0" applyNumberFormat="1" applyFill="1" applyBorder="1" applyAlignment="1">
      <alignment horizontal="right"/>
    </xf>
    <xf numFmtId="4" fontId="0" fillId="32" borderId="32" xfId="0" applyNumberFormat="1" applyFill="1" applyBorder="1"/>
    <xf numFmtId="3" fontId="0" fillId="32" borderId="27" xfId="0" applyNumberFormat="1" applyFill="1" applyBorder="1"/>
    <xf numFmtId="3" fontId="0" fillId="32" borderId="23" xfId="0" applyNumberFormat="1" applyFill="1" applyBorder="1"/>
    <xf numFmtId="3" fontId="0" fillId="32" borderId="17" xfId="0" applyNumberFormat="1" applyFill="1" applyBorder="1"/>
    <xf numFmtId="9" fontId="0" fillId="0" borderId="0" xfId="0" applyNumberFormat="1" applyFill="1"/>
    <xf numFmtId="0" fontId="2" fillId="8" borderId="0" xfId="0" applyFont="1" applyFill="1" applyAlignment="1">
      <alignment wrapText="1"/>
    </xf>
    <xf numFmtId="0" fontId="2" fillId="8" borderId="0" xfId="0" applyFont="1" applyFill="1" applyAlignment="1">
      <alignment horizontal="center" vertical="center" wrapText="1"/>
    </xf>
    <xf numFmtId="3" fontId="0" fillId="8" borderId="0" xfId="0" applyNumberFormat="1" applyFill="1"/>
    <xf numFmtId="3" fontId="2" fillId="8" borderId="0" xfId="0" applyNumberFormat="1" applyFont="1" applyFill="1"/>
    <xf numFmtId="0" fontId="7" fillId="10" borderId="0" xfId="0" applyNumberFormat="1" applyFont="1" applyFill="1" applyBorder="1"/>
    <xf numFmtId="0" fontId="0" fillId="0" borderId="0" xfId="0" applyNumberFormat="1" applyFill="1" applyAlignment="1">
      <alignment horizontal="left"/>
    </xf>
    <xf numFmtId="3" fontId="0" fillId="38" borderId="0" xfId="0" applyNumberFormat="1" applyFill="1"/>
    <xf numFmtId="3" fontId="2" fillId="38" borderId="0" xfId="0" applyNumberFormat="1" applyFont="1" applyFill="1"/>
    <xf numFmtId="3" fontId="5" fillId="7" borderId="0" xfId="0" applyNumberFormat="1" applyFont="1" applyFill="1"/>
    <xf numFmtId="0" fontId="23" fillId="7" borderId="0" xfId="0" applyFont="1" applyFill="1"/>
    <xf numFmtId="3" fontId="0" fillId="0" borderId="20" xfId="0" applyNumberFormat="1" applyFill="1" applyBorder="1"/>
    <xf numFmtId="0" fontId="0" fillId="0" borderId="26" xfId="0" applyBorder="1"/>
    <xf numFmtId="3" fontId="0" fillId="0" borderId="20" xfId="0" applyNumberFormat="1" applyBorder="1"/>
    <xf numFmtId="3" fontId="0" fillId="7" borderId="20" xfId="0" applyNumberFormat="1" applyFill="1" applyBorder="1"/>
    <xf numFmtId="0" fontId="0" fillId="10" borderId="0" xfId="0" applyFill="1"/>
    <xf numFmtId="0" fontId="0" fillId="10" borderId="0" xfId="0" applyFill="1" applyBorder="1"/>
    <xf numFmtId="3" fontId="2" fillId="10" borderId="0" xfId="0" applyNumberFormat="1" applyFont="1" applyFill="1"/>
    <xf numFmtId="3" fontId="6" fillId="0" borderId="31" xfId="52" applyNumberFormat="1" applyFont="1" applyFill="1" applyBorder="1" applyAlignment="1" applyProtection="1">
      <alignment horizontal="center"/>
    </xf>
    <xf numFmtId="3" fontId="7" fillId="0" borderId="19" xfId="52" applyNumberFormat="1" applyBorder="1" applyAlignment="1" applyProtection="1">
      <alignment horizontal="center"/>
    </xf>
    <xf numFmtId="0" fontId="7" fillId="0" borderId="0" xfId="52" applyFont="1" applyProtection="1"/>
    <xf numFmtId="3" fontId="2" fillId="0" borderId="32" xfId="0" applyNumberFormat="1" applyFont="1" applyFill="1" applyBorder="1"/>
    <xf numFmtId="3" fontId="7" fillId="0" borderId="0" xfId="39" applyNumberFormat="1" applyFont="1" applyFill="1" applyBorder="1" applyProtection="1"/>
    <xf numFmtId="165" fontId="5" fillId="0" borderId="0" xfId="39" applyNumberFormat="1" applyFont="1" applyFill="1" applyBorder="1" applyAlignment="1" applyProtection="1">
      <alignment horizontal="center"/>
    </xf>
    <xf numFmtId="0" fontId="3" fillId="0" borderId="0" xfId="39" applyFont="1" applyFill="1" applyBorder="1" applyAlignment="1" applyProtection="1">
      <alignment horizontal="center"/>
    </xf>
    <xf numFmtId="0" fontId="3" fillId="22" borderId="7" xfId="39" applyFont="1" applyFill="1" applyBorder="1" applyAlignment="1" applyProtection="1">
      <alignment wrapText="1"/>
    </xf>
    <xf numFmtId="0" fontId="3" fillId="6" borderId="7" xfId="39" applyFont="1" applyFill="1" applyBorder="1" applyAlignment="1" applyProtection="1">
      <alignment wrapText="1"/>
    </xf>
    <xf numFmtId="0" fontId="7" fillId="0" borderId="0" xfId="39" applyFont="1" applyAlignment="1">
      <alignment horizontal="left"/>
    </xf>
    <xf numFmtId="3" fontId="5" fillId="0" borderId="0" xfId="0" applyNumberFormat="1" applyFont="1" applyFill="1" applyAlignment="1">
      <alignment horizontal="left"/>
    </xf>
    <xf numFmtId="3" fontId="7" fillId="0" borderId="0" xfId="0" applyNumberFormat="1" applyFont="1" applyFill="1" applyAlignment="1">
      <alignment horizontal="left"/>
    </xf>
    <xf numFmtId="0" fontId="25" fillId="15" borderId="0" xfId="39" applyFill="1" applyAlignment="1">
      <alignment horizontal="left"/>
    </xf>
    <xf numFmtId="3" fontId="12" fillId="27" borderId="12" xfId="1" applyNumberFormat="1" applyFont="1" applyFill="1" applyBorder="1" applyAlignment="1" applyProtection="1">
      <alignment vertical="center"/>
      <protection locked="0"/>
    </xf>
    <xf numFmtId="3" fontId="7" fillId="18" borderId="0" xfId="39" applyNumberFormat="1" applyFont="1" applyFill="1" applyProtection="1"/>
    <xf numFmtId="6" fontId="18" fillId="0" borderId="0" xfId="24" applyNumberFormat="1" applyFont="1" applyFill="1"/>
    <xf numFmtId="8" fontId="18" fillId="0" borderId="0" xfId="24" applyNumberFormat="1" applyFont="1" applyFill="1"/>
    <xf numFmtId="0" fontId="6" fillId="20" borderId="69" xfId="39" applyFont="1" applyFill="1" applyBorder="1" applyAlignment="1">
      <alignment horizontal="center" vertical="center"/>
    </xf>
    <xf numFmtId="164" fontId="6" fillId="20" borderId="121" xfId="39" applyNumberFormat="1" applyFont="1" applyFill="1" applyBorder="1" applyAlignment="1">
      <alignment horizontal="center" vertical="center"/>
    </xf>
    <xf numFmtId="0" fontId="3" fillId="0" borderId="1" xfId="39" applyFont="1" applyFill="1" applyBorder="1" applyProtection="1"/>
    <xf numFmtId="164" fontId="5" fillId="0" borderId="30" xfId="39" applyNumberFormat="1" applyFont="1" applyFill="1" applyBorder="1" applyAlignment="1" applyProtection="1"/>
    <xf numFmtId="0" fontId="5" fillId="0" borderId="30" xfId="39" applyFont="1" applyFill="1" applyBorder="1" applyAlignment="1" applyProtection="1">
      <alignment horizontal="center"/>
    </xf>
    <xf numFmtId="164" fontId="3" fillId="0" borderId="2" xfId="39" applyNumberFormat="1" applyFont="1" applyFill="1" applyBorder="1" applyAlignment="1" applyProtection="1">
      <alignment horizontal="center"/>
    </xf>
    <xf numFmtId="164" fontId="3" fillId="0" borderId="4" xfId="39" applyNumberFormat="1" applyFont="1" applyFill="1" applyBorder="1" applyAlignment="1" applyProtection="1">
      <alignment horizontal="center"/>
    </xf>
    <xf numFmtId="0" fontId="5" fillId="0" borderId="3" xfId="39" applyFont="1" applyBorder="1" applyProtection="1"/>
    <xf numFmtId="3" fontId="12" fillId="27" borderId="12" xfId="1" applyNumberFormat="1" applyFont="1" applyFill="1" applyBorder="1" applyAlignment="1" applyProtection="1">
      <alignment horizontal="center" vertical="center"/>
      <protection locked="0"/>
    </xf>
    <xf numFmtId="3" fontId="12" fillId="27" borderId="31" xfId="1" applyNumberFormat="1" applyFont="1" applyFill="1" applyBorder="1" applyAlignment="1" applyProtection="1">
      <alignment horizontal="center" vertical="center"/>
      <protection locked="0"/>
    </xf>
    <xf numFmtId="0" fontId="6" fillId="17" borderId="8" xfId="39" applyFont="1" applyFill="1" applyBorder="1" applyAlignment="1">
      <alignment horizontal="center" vertical="center" wrapText="1"/>
    </xf>
    <xf numFmtId="165" fontId="12" fillId="26" borderId="1" xfId="39" applyNumberFormat="1" applyFont="1" applyFill="1" applyBorder="1" applyAlignment="1" applyProtection="1">
      <alignment horizontal="center" vertical="center"/>
    </xf>
    <xf numFmtId="165" fontId="12" fillId="26" borderId="3" xfId="39" applyNumberFormat="1" applyFont="1" applyFill="1" applyBorder="1" applyAlignment="1" applyProtection="1">
      <alignment horizontal="center" vertical="center"/>
    </xf>
    <xf numFmtId="165" fontId="12" fillId="26" borderId="5" xfId="39" applyNumberFormat="1" applyFont="1" applyFill="1" applyBorder="1" applyAlignment="1" applyProtection="1">
      <alignment horizontal="center" vertical="center"/>
    </xf>
    <xf numFmtId="0" fontId="7" fillId="17" borderId="122" xfId="39" applyFont="1" applyFill="1" applyBorder="1" applyAlignment="1">
      <alignment horizontal="center" vertical="center" wrapText="1"/>
    </xf>
    <xf numFmtId="0" fontId="7" fillId="17" borderId="5" xfId="39" applyFont="1" applyFill="1" applyBorder="1" applyAlignment="1">
      <alignment horizontal="center" vertical="center" wrapText="1"/>
    </xf>
    <xf numFmtId="165" fontId="12" fillId="26" borderId="61" xfId="39" applyNumberFormat="1" applyFont="1" applyFill="1" applyBorder="1" applyAlignment="1" applyProtection="1">
      <alignment horizontal="center" vertical="center"/>
    </xf>
    <xf numFmtId="165" fontId="12" fillId="26" borderId="62" xfId="39" applyNumberFormat="1" applyFont="1" applyFill="1" applyBorder="1" applyAlignment="1" applyProtection="1">
      <alignment horizontal="center" vertical="center"/>
    </xf>
    <xf numFmtId="165" fontId="12" fillId="26" borderId="122" xfId="39" applyNumberFormat="1" applyFont="1" applyFill="1" applyBorder="1" applyAlignment="1" applyProtection="1">
      <alignment horizontal="center" vertical="center"/>
    </xf>
    <xf numFmtId="3" fontId="12" fillId="27" borderId="31" xfId="1" applyNumberFormat="1" applyFont="1" applyFill="1" applyBorder="1" applyAlignment="1" applyProtection="1">
      <alignment vertical="center"/>
      <protection locked="0"/>
    </xf>
    <xf numFmtId="0" fontId="6" fillId="17" borderId="122" xfId="39" applyFont="1" applyFill="1" applyBorder="1" applyAlignment="1">
      <alignment horizontal="center" vertical="center" wrapText="1"/>
    </xf>
    <xf numFmtId="0" fontId="6" fillId="17" borderId="5" xfId="39" applyFont="1" applyFill="1" applyBorder="1" applyAlignment="1">
      <alignment horizontal="center" vertical="center" wrapText="1"/>
    </xf>
    <xf numFmtId="0" fontId="0" fillId="0" borderId="0" xfId="0" applyNumberFormat="1"/>
    <xf numFmtId="10" fontId="6" fillId="39" borderId="12" xfId="52" applyNumberFormat="1" applyFont="1" applyFill="1" applyBorder="1" applyAlignment="1" applyProtection="1">
      <alignment horizontal="center"/>
    </xf>
    <xf numFmtId="164" fontId="3" fillId="0" borderId="121" xfId="39" applyNumberFormat="1" applyFont="1" applyBorder="1" applyAlignment="1">
      <alignment horizontal="center" vertical="center"/>
    </xf>
    <xf numFmtId="0" fontId="27" fillId="18" borderId="13" xfId="39" applyFont="1" applyFill="1" applyBorder="1" applyProtection="1"/>
    <xf numFmtId="0" fontId="6" fillId="0" borderId="12" xfId="39" applyFont="1" applyBorder="1" applyProtection="1"/>
    <xf numFmtId="5" fontId="6" fillId="0" borderId="50" xfId="23" applyNumberFormat="1" applyFont="1" applyFill="1" applyBorder="1" applyAlignment="1" applyProtection="1">
      <alignment horizontal="center" vertical="center"/>
    </xf>
    <xf numFmtId="164" fontId="3" fillId="0" borderId="4" xfId="39" applyNumberFormat="1" applyFont="1" applyFill="1" applyBorder="1" applyAlignment="1">
      <alignment horizontal="center" vertical="center"/>
    </xf>
    <xf numFmtId="0" fontId="6" fillId="0" borderId="3" xfId="39" applyFont="1" applyBorder="1" applyAlignment="1">
      <alignment horizontal="center" vertical="center"/>
    </xf>
    <xf numFmtId="6" fontId="6" fillId="0" borderId="16" xfId="39" applyNumberFormat="1" applyFont="1" applyBorder="1" applyAlignment="1">
      <alignment horizontal="center" vertical="center" wrapText="1"/>
    </xf>
    <xf numFmtId="0" fontId="5" fillId="0" borderId="87" xfId="1" applyFont="1" applyBorder="1" applyAlignment="1">
      <alignment horizontal="center" vertical="center" wrapText="1"/>
    </xf>
    <xf numFmtId="0" fontId="7" fillId="10" borderId="0" xfId="0" applyNumberFormat="1" applyFont="1" applyFill="1"/>
    <xf numFmtId="166" fontId="0" fillId="10" borderId="0" xfId="0" applyNumberFormat="1" applyFill="1"/>
    <xf numFmtId="164" fontId="0" fillId="0" borderId="24" xfId="0" applyNumberFormat="1" applyFill="1" applyBorder="1"/>
    <xf numFmtId="164" fontId="0" fillId="0" borderId="32" xfId="0" applyNumberFormat="1" applyFill="1" applyBorder="1"/>
    <xf numFmtId="164" fontId="0" fillId="0" borderId="25" xfId="0" applyNumberFormat="1" applyFill="1" applyBorder="1"/>
    <xf numFmtId="164" fontId="0" fillId="0" borderId="18" xfId="0" applyNumberFormat="1" applyFill="1" applyBorder="1"/>
    <xf numFmtId="164" fontId="0" fillId="0" borderId="26" xfId="0" applyNumberFormat="1" applyFill="1" applyBorder="1"/>
    <xf numFmtId="165" fontId="12" fillId="10" borderId="12" xfId="12" applyNumberFormat="1" applyFont="1" applyFill="1" applyBorder="1" applyAlignment="1" applyProtection="1">
      <alignment horizontal="right" vertical="center"/>
      <protection locked="0"/>
    </xf>
    <xf numFmtId="4" fontId="0" fillId="7" borderId="0" xfId="0" applyNumberFormat="1" applyFill="1"/>
    <xf numFmtId="164" fontId="0" fillId="0" borderId="27" xfId="0" applyNumberFormat="1" applyFill="1" applyBorder="1"/>
    <xf numFmtId="164" fontId="0" fillId="0" borderId="23" xfId="0" applyNumberFormat="1" applyFill="1" applyBorder="1"/>
    <xf numFmtId="49" fontId="0" fillId="0" borderId="0" xfId="0" applyNumberFormat="1" applyFill="1"/>
    <xf numFmtId="49" fontId="2" fillId="0" borderId="0" xfId="0" applyNumberFormat="1" applyFont="1" applyFill="1"/>
    <xf numFmtId="4" fontId="5" fillId="7" borderId="0" xfId="0" applyNumberFormat="1" applyFont="1" applyFill="1" applyBorder="1" applyAlignment="1">
      <alignment horizontal="center" vertical="center" wrapText="1"/>
    </xf>
    <xf numFmtId="3" fontId="5" fillId="10" borderId="0" xfId="0" applyNumberFormat="1" applyFont="1" applyFill="1" applyBorder="1" applyAlignment="1">
      <alignment horizontal="center" vertical="center" wrapText="1"/>
    </xf>
    <xf numFmtId="3" fontId="2" fillId="10" borderId="0" xfId="0" applyNumberFormat="1" applyFont="1" applyFill="1" applyAlignment="1">
      <alignment horizontal="center" vertical="center" wrapText="1"/>
    </xf>
    <xf numFmtId="4" fontId="7" fillId="7" borderId="0" xfId="0" applyNumberFormat="1" applyFont="1" applyFill="1" applyBorder="1"/>
    <xf numFmtId="3" fontId="24" fillId="6" borderId="0" xfId="0" applyNumberFormat="1" applyFont="1" applyFill="1"/>
    <xf numFmtId="166" fontId="2" fillId="7" borderId="0" xfId="0" applyNumberFormat="1" applyFont="1" applyFill="1" applyBorder="1"/>
    <xf numFmtId="0" fontId="7" fillId="0" borderId="0" xfId="1" applyNumberFormat="1" applyFill="1" applyBorder="1"/>
    <xf numFmtId="4" fontId="2" fillId="32" borderId="0" xfId="0" applyNumberFormat="1" applyFont="1" applyFill="1"/>
    <xf numFmtId="3" fontId="2" fillId="32" borderId="0" xfId="0" applyNumberFormat="1" applyFont="1" applyFill="1"/>
    <xf numFmtId="4" fontId="2" fillId="32" borderId="0" xfId="0" applyNumberFormat="1" applyFont="1" applyFill="1" applyBorder="1"/>
    <xf numFmtId="164" fontId="39" fillId="6" borderId="0" xfId="0" applyNumberFormat="1" applyFont="1" applyFill="1"/>
    <xf numFmtId="43" fontId="0" fillId="0" borderId="0" xfId="53" applyFont="1" applyFill="1"/>
    <xf numFmtId="3" fontId="0" fillId="18" borderId="0" xfId="0" applyNumberFormat="1" applyFill="1"/>
    <xf numFmtId="3" fontId="2" fillId="6"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0" fillId="10" borderId="0" xfId="0" applyNumberFormat="1" applyFill="1"/>
    <xf numFmtId="3" fontId="0" fillId="7" borderId="1" xfId="0" applyNumberFormat="1" applyFill="1" applyBorder="1"/>
    <xf numFmtId="3" fontId="0" fillId="7" borderId="2" xfId="0" applyNumberFormat="1" applyFill="1" applyBorder="1"/>
    <xf numFmtId="3" fontId="0" fillId="7" borderId="3" xfId="0" applyNumberFormat="1" applyFill="1" applyBorder="1"/>
    <xf numFmtId="3" fontId="0" fillId="7" borderId="4" xfId="0" applyNumberFormat="1" applyFill="1" applyBorder="1"/>
    <xf numFmtId="3" fontId="0" fillId="7" borderId="49" xfId="0" applyNumberFormat="1" applyFill="1" applyBorder="1"/>
    <xf numFmtId="3" fontId="0" fillId="7" borderId="63" xfId="0" applyNumberFormat="1" applyFill="1" applyBorder="1"/>
    <xf numFmtId="3" fontId="0" fillId="7" borderId="19" xfId="0" applyNumberFormat="1" applyFill="1" applyBorder="1"/>
    <xf numFmtId="3" fontId="0" fillId="7" borderId="31" xfId="0" applyNumberFormat="1" applyFill="1" applyBorder="1"/>
    <xf numFmtId="3" fontId="0" fillId="7" borderId="3" xfId="0" applyNumberFormat="1" applyFont="1" applyFill="1" applyBorder="1"/>
    <xf numFmtId="3" fontId="0" fillId="7" borderId="4" xfId="0" applyNumberFormat="1" applyFont="1" applyFill="1" applyBorder="1"/>
    <xf numFmtId="3" fontId="2" fillId="7" borderId="7" xfId="0" applyNumberFormat="1" applyFont="1" applyFill="1" applyBorder="1"/>
    <xf numFmtId="3" fontId="2" fillId="7" borderId="14" xfId="0" applyNumberFormat="1" applyFont="1" applyFill="1" applyBorder="1"/>
    <xf numFmtId="3" fontId="0" fillId="0" borderId="33" xfId="0" applyNumberFormat="1" applyFill="1" applyBorder="1"/>
    <xf numFmtId="3" fontId="0" fillId="0" borderId="16" xfId="0" applyNumberFormat="1" applyFill="1" applyBorder="1"/>
    <xf numFmtId="3" fontId="0" fillId="0" borderId="12" xfId="0" applyNumberFormat="1" applyFill="1" applyBorder="1"/>
    <xf numFmtId="0" fontId="0" fillId="6" borderId="0" xfId="0" applyFill="1" applyBorder="1"/>
    <xf numFmtId="3" fontId="2" fillId="6" borderId="0" xfId="0" applyNumberFormat="1" applyFont="1" applyFill="1"/>
    <xf numFmtId="0" fontId="0" fillId="6" borderId="0" xfId="0" applyNumberFormat="1" applyFill="1"/>
    <xf numFmtId="14" fontId="0" fillId="10" borderId="0" xfId="0" applyNumberFormat="1" applyFill="1"/>
    <xf numFmtId="0" fontId="7" fillId="7" borderId="0" xfId="52" applyFill="1"/>
    <xf numFmtId="0" fontId="25" fillId="7" borderId="0" xfId="39" applyFill="1" applyAlignment="1">
      <alignment horizontal="left"/>
    </xf>
    <xf numFmtId="3" fontId="7" fillId="7" borderId="0" xfId="0" applyNumberFormat="1" applyFont="1" applyFill="1" applyAlignment="1">
      <alignment horizontal="left"/>
    </xf>
    <xf numFmtId="9" fontId="0" fillId="0" borderId="0" xfId="54" applyFont="1" applyBorder="1"/>
    <xf numFmtId="10" fontId="0" fillId="0" borderId="0" xfId="54" applyNumberFormat="1" applyFont="1" applyBorder="1"/>
    <xf numFmtId="2" fontId="2" fillId="32" borderId="0" xfId="0" applyNumberFormat="1" applyFont="1" applyFill="1"/>
    <xf numFmtId="178" fontId="0" fillId="0" borderId="0" xfId="0" applyNumberFormat="1"/>
    <xf numFmtId="178" fontId="2" fillId="0" borderId="0" xfId="0" applyNumberFormat="1" applyFont="1"/>
    <xf numFmtId="0" fontId="0" fillId="7" borderId="0" xfId="0" applyNumberFormat="1" applyFill="1"/>
    <xf numFmtId="0" fontId="25" fillId="0" borderId="0" xfId="39" applyFill="1" applyAlignment="1">
      <alignment horizontal="left"/>
    </xf>
    <xf numFmtId="0" fontId="3" fillId="0" borderId="0" xfId="39" applyFont="1"/>
    <xf numFmtId="166" fontId="7" fillId="7" borderId="0" xfId="42" applyNumberFormat="1" applyFill="1" applyAlignment="1">
      <alignment horizontal="center"/>
    </xf>
    <xf numFmtId="169" fontId="7" fillId="0" borderId="0" xfId="42" applyNumberFormat="1" applyFill="1" applyAlignment="1">
      <alignment horizontal="center"/>
    </xf>
    <xf numFmtId="169" fontId="7" fillId="7" borderId="0" xfId="42" applyNumberFormat="1" applyFill="1" applyAlignment="1">
      <alignment horizontal="center"/>
    </xf>
    <xf numFmtId="0" fontId="7" fillId="7" borderId="0" xfId="42" applyFill="1" applyBorder="1"/>
    <xf numFmtId="0" fontId="7" fillId="0" borderId="23" xfId="42" applyBorder="1" applyAlignment="1">
      <alignment horizontal="left"/>
    </xf>
    <xf numFmtId="1" fontId="7" fillId="0" borderId="32" xfId="42" applyNumberFormat="1" applyFill="1" applyBorder="1" applyAlignment="1">
      <alignment horizontal="center"/>
    </xf>
    <xf numFmtId="3" fontId="7" fillId="0" borderId="32" xfId="42" applyNumberFormat="1" applyFill="1" applyBorder="1" applyAlignment="1">
      <alignment horizontal="center"/>
    </xf>
    <xf numFmtId="0" fontId="7" fillId="9" borderId="0" xfId="42" applyFont="1" applyFill="1" applyBorder="1" applyAlignment="1">
      <alignment horizontal="center"/>
    </xf>
    <xf numFmtId="0" fontId="7" fillId="0" borderId="0" xfId="42" applyBorder="1" applyAlignment="1"/>
    <xf numFmtId="0" fontId="7" fillId="0" borderId="0" xfId="42" applyNumberFormat="1" applyAlignment="1"/>
    <xf numFmtId="166" fontId="7" fillId="6" borderId="0" xfId="42" applyNumberFormat="1" applyFill="1" applyBorder="1"/>
    <xf numFmtId="0" fontId="0" fillId="9" borderId="0" xfId="44" applyFont="1" applyFill="1" applyBorder="1" applyAlignment="1">
      <alignment horizontal="center"/>
    </xf>
    <xf numFmtId="0" fontId="25" fillId="39" borderId="0" xfId="39" applyFill="1" applyProtection="1"/>
    <xf numFmtId="3" fontId="25" fillId="39" borderId="0" xfId="39" applyNumberFormat="1" applyFill="1" applyProtection="1"/>
    <xf numFmtId="0" fontId="25" fillId="40" borderId="0" xfId="39" applyFill="1"/>
    <xf numFmtId="0" fontId="7" fillId="40" borderId="0" xfId="42" applyNumberFormat="1" applyFill="1" applyBorder="1" applyAlignment="1">
      <alignment horizontal="right"/>
    </xf>
    <xf numFmtId="0" fontId="25" fillId="40" borderId="0" xfId="39" applyFill="1" applyBorder="1"/>
    <xf numFmtId="0" fontId="7" fillId="40" borderId="0" xfId="39" applyFont="1" applyFill="1" applyBorder="1"/>
    <xf numFmtId="0" fontId="7" fillId="40" borderId="0" xfId="23" applyFill="1" applyBorder="1"/>
    <xf numFmtId="3" fontId="7" fillId="15" borderId="0" xfId="23" applyNumberFormat="1" applyFont="1" applyFill="1" applyProtection="1"/>
    <xf numFmtId="3" fontId="18" fillId="40" borderId="0" xfId="24" applyNumberFormat="1" applyFont="1" applyFill="1"/>
    <xf numFmtId="179" fontId="40" fillId="41" borderId="123" xfId="0" applyNumberFormat="1" applyFont="1" applyFill="1" applyBorder="1" applyAlignment="1">
      <alignment horizontal="center"/>
    </xf>
    <xf numFmtId="3" fontId="25" fillId="0" borderId="0" xfId="39" applyNumberFormat="1" applyFill="1" applyBorder="1" applyAlignment="1" applyProtection="1">
      <alignment horizontal="center"/>
    </xf>
    <xf numFmtId="0" fontId="25" fillId="0" borderId="0" xfId="39" applyAlignment="1">
      <alignment horizontal="right"/>
    </xf>
    <xf numFmtId="0" fontId="7" fillId="7" borderId="0" xfId="52" applyFill="1" applyAlignment="1">
      <alignment horizontal="right"/>
    </xf>
    <xf numFmtId="0" fontId="25" fillId="7" borderId="0" xfId="39" applyFill="1" applyAlignment="1">
      <alignment horizontal="right"/>
    </xf>
    <xf numFmtId="0" fontId="7" fillId="7" borderId="0" xfId="39" applyFont="1" applyFill="1" applyAlignment="1">
      <alignment horizontal="left"/>
    </xf>
    <xf numFmtId="0" fontId="7" fillId="7" borderId="0" xfId="0" applyNumberFormat="1" applyFont="1" applyFill="1" applyBorder="1"/>
    <xf numFmtId="164" fontId="5" fillId="0" borderId="4" xfId="39" applyNumberFormat="1" applyFont="1" applyFill="1" applyBorder="1" applyAlignment="1" applyProtection="1">
      <alignment horizontal="center"/>
    </xf>
    <xf numFmtId="165" fontId="5" fillId="17" borderId="33" xfId="39" applyNumberFormat="1" applyFont="1" applyFill="1" applyBorder="1" applyAlignment="1" applyProtection="1">
      <alignment horizontal="center"/>
    </xf>
    <xf numFmtId="0" fontId="3" fillId="22" borderId="7" xfId="39" applyFont="1" applyFill="1" applyBorder="1" applyAlignment="1" applyProtection="1">
      <alignment horizontal="left" wrapText="1"/>
    </xf>
    <xf numFmtId="0" fontId="3" fillId="22" borderId="8" xfId="39" applyFont="1" applyFill="1" applyBorder="1" applyAlignment="1" applyProtection="1">
      <alignment horizontal="left" wrapText="1"/>
    </xf>
    <xf numFmtId="0" fontId="3" fillId="6" borderId="7" xfId="39" applyFont="1" applyFill="1" applyBorder="1" applyAlignment="1" applyProtection="1">
      <alignment horizontal="left" wrapText="1"/>
    </xf>
    <xf numFmtId="0" fontId="3" fillId="6" borderId="8" xfId="39" applyFont="1" applyFill="1" applyBorder="1" applyAlignment="1" applyProtection="1">
      <alignment horizontal="left" wrapText="1"/>
    </xf>
    <xf numFmtId="0" fontId="3" fillId="13" borderId="0" xfId="39" applyFont="1" applyFill="1" applyBorder="1" applyAlignment="1" applyProtection="1">
      <alignment horizontal="center"/>
    </xf>
    <xf numFmtId="165" fontId="5" fillId="0" borderId="0" xfId="39" applyNumberFormat="1" applyFont="1" applyFill="1" applyBorder="1" applyAlignment="1" applyProtection="1">
      <alignment horizontal="center"/>
    </xf>
    <xf numFmtId="0" fontId="3" fillId="0" borderId="37" xfId="39" applyFont="1" applyBorder="1" applyAlignment="1" applyProtection="1">
      <alignment horizontal="left" vertical="center" wrapText="1"/>
    </xf>
    <xf numFmtId="0" fontId="3" fillId="0" borderId="43" xfId="39" applyFont="1" applyBorder="1" applyAlignment="1" applyProtection="1">
      <alignment horizontal="left" vertical="center" wrapText="1"/>
    </xf>
    <xf numFmtId="165" fontId="5" fillId="0" borderId="16" xfId="39" applyNumberFormat="1" applyFont="1" applyFill="1" applyBorder="1" applyAlignment="1" applyProtection="1">
      <alignment horizontal="center"/>
    </xf>
    <xf numFmtId="0" fontId="6" fillId="0" borderId="7" xfId="39" applyFont="1" applyFill="1" applyBorder="1" applyAlignment="1" applyProtection="1">
      <alignment horizontal="center"/>
    </xf>
    <xf numFmtId="0" fontId="6" fillId="0" borderId="8" xfId="39" applyFont="1" applyFill="1" applyBorder="1" applyAlignment="1" applyProtection="1">
      <alignment horizontal="center"/>
    </xf>
    <xf numFmtId="0" fontId="6" fillId="0" borderId="14" xfId="39" applyFont="1" applyFill="1" applyBorder="1" applyAlignment="1" applyProtection="1">
      <alignment horizontal="center"/>
    </xf>
    <xf numFmtId="0" fontId="6" fillId="2" borderId="51" xfId="23" applyFont="1" applyFill="1" applyBorder="1" applyAlignment="1" applyProtection="1">
      <alignment horizontal="center" vertical="center"/>
    </xf>
    <xf numFmtId="165" fontId="5" fillId="17" borderId="47" xfId="39" applyNumberFormat="1" applyFont="1" applyFill="1" applyBorder="1" applyAlignment="1" applyProtection="1">
      <alignment horizontal="center"/>
    </xf>
    <xf numFmtId="0" fontId="6" fillId="0" borderId="7" xfId="39" applyFont="1" applyBorder="1" applyAlignment="1" applyProtection="1">
      <alignment horizontal="center"/>
    </xf>
    <xf numFmtId="0" fontId="6" fillId="0" borderId="8" xfId="39" applyFont="1" applyBorder="1" applyAlignment="1" applyProtection="1">
      <alignment horizontal="center"/>
    </xf>
    <xf numFmtId="0" fontId="6" fillId="0" borderId="14" xfId="39" applyFont="1" applyBorder="1" applyAlignment="1" applyProtection="1">
      <alignment horizontal="center"/>
    </xf>
    <xf numFmtId="0" fontId="3" fillId="23" borderId="30" xfId="39" applyFont="1" applyFill="1" applyBorder="1" applyAlignment="1" applyProtection="1">
      <alignment horizontal="center"/>
    </xf>
    <xf numFmtId="0" fontId="3" fillId="3" borderId="7" xfId="23" applyFont="1" applyFill="1" applyBorder="1" applyAlignment="1" applyProtection="1">
      <alignment horizontal="center" vertical="center"/>
    </xf>
    <xf numFmtId="0" fontId="3" fillId="3" borderId="8" xfId="23" applyFont="1" applyFill="1" applyBorder="1" applyAlignment="1" applyProtection="1">
      <alignment horizontal="center" vertical="center"/>
    </xf>
    <xf numFmtId="0" fontId="3" fillId="3" borderId="14" xfId="23" applyFont="1" applyFill="1" applyBorder="1" applyAlignment="1" applyProtection="1">
      <alignment horizontal="center" vertical="center"/>
    </xf>
    <xf numFmtId="0" fontId="3" fillId="0" borderId="0" xfId="39" applyFont="1" applyFill="1" applyBorder="1" applyAlignment="1" applyProtection="1">
      <alignment horizontal="center"/>
    </xf>
    <xf numFmtId="0" fontId="3" fillId="13" borderId="0" xfId="39" applyFont="1" applyFill="1" applyBorder="1" applyAlignment="1" applyProtection="1">
      <alignment horizontal="center" vertical="center"/>
    </xf>
    <xf numFmtId="0" fontId="3" fillId="0" borderId="37" xfId="39" applyFont="1" applyBorder="1" applyAlignment="1" applyProtection="1">
      <alignment horizontal="left" vertical="center"/>
    </xf>
    <xf numFmtId="0" fontId="3" fillId="0" borderId="39" xfId="39" applyFont="1" applyBorder="1" applyAlignment="1" applyProtection="1">
      <alignment horizontal="left" vertical="center"/>
    </xf>
    <xf numFmtId="0" fontId="3" fillId="0" borderId="40" xfId="39" applyFont="1" applyBorder="1" applyAlignment="1" applyProtection="1">
      <alignment horizontal="left" vertical="center"/>
    </xf>
    <xf numFmtId="0" fontId="3" fillId="0" borderId="39" xfId="39" applyFont="1" applyBorder="1" applyAlignment="1" applyProtection="1">
      <alignment horizontal="left" vertical="center" wrapText="1"/>
    </xf>
    <xf numFmtId="0" fontId="3" fillId="0" borderId="40" xfId="39" applyFont="1" applyBorder="1" applyAlignment="1" applyProtection="1">
      <alignment horizontal="left" vertical="center" wrapText="1"/>
    </xf>
    <xf numFmtId="0" fontId="3" fillId="4" borderId="7" xfId="23" applyFont="1" applyFill="1" applyBorder="1" applyAlignment="1" applyProtection="1">
      <alignment horizontal="center" vertical="center"/>
      <protection locked="0"/>
    </xf>
    <xf numFmtId="0" fontId="3" fillId="4" borderId="8" xfId="23" applyFont="1" applyFill="1" applyBorder="1" applyAlignment="1" applyProtection="1">
      <alignment horizontal="center" vertical="center"/>
      <protection locked="0"/>
    </xf>
    <xf numFmtId="0" fontId="3" fillId="4" borderId="14" xfId="23" applyFont="1" applyFill="1" applyBorder="1" applyAlignment="1" applyProtection="1">
      <alignment horizontal="center" vertical="center"/>
      <protection locked="0"/>
    </xf>
    <xf numFmtId="0" fontId="3" fillId="2" borderId="7" xfId="23" applyFont="1" applyFill="1" applyBorder="1" applyAlignment="1" applyProtection="1">
      <alignment horizontal="center" vertical="center" wrapText="1"/>
    </xf>
    <xf numFmtId="0" fontId="3" fillId="2" borderId="75" xfId="23" applyFont="1" applyFill="1" applyBorder="1" applyAlignment="1" applyProtection="1">
      <alignment horizontal="center" vertical="center" wrapText="1"/>
    </xf>
    <xf numFmtId="0" fontId="3" fillId="13" borderId="1" xfId="39" applyFont="1" applyFill="1" applyBorder="1" applyAlignment="1">
      <alignment horizontal="center"/>
    </xf>
    <xf numFmtId="0" fontId="3" fillId="13" borderId="30" xfId="39" applyFont="1" applyFill="1" applyBorder="1" applyAlignment="1">
      <alignment horizontal="center"/>
    </xf>
    <xf numFmtId="0" fontId="3" fillId="13" borderId="2" xfId="39" applyFont="1" applyFill="1" applyBorder="1" applyAlignment="1">
      <alignment horizontal="center"/>
    </xf>
    <xf numFmtId="164" fontId="3" fillId="22" borderId="8" xfId="1" applyNumberFormat="1" applyFont="1" applyFill="1" applyBorder="1" applyAlignment="1" applyProtection="1">
      <alignment horizontal="center"/>
    </xf>
    <xf numFmtId="164" fontId="3" fillId="22" borderId="14" xfId="1" applyNumberFormat="1" applyFont="1" applyFill="1" applyBorder="1" applyAlignment="1" applyProtection="1">
      <alignment horizontal="center"/>
    </xf>
    <xf numFmtId="164" fontId="3" fillId="6" borderId="8" xfId="39" applyNumberFormat="1" applyFont="1" applyFill="1" applyBorder="1" applyAlignment="1" applyProtection="1">
      <alignment horizontal="center"/>
    </xf>
    <xf numFmtId="164" fontId="3" fillId="6" borderId="14" xfId="39" applyNumberFormat="1" applyFont="1" applyFill="1" applyBorder="1" applyAlignment="1" applyProtection="1">
      <alignment horizontal="center"/>
    </xf>
    <xf numFmtId="164" fontId="3" fillId="7" borderId="45" xfId="39" applyNumberFormat="1" applyFont="1" applyFill="1" applyBorder="1" applyAlignment="1" applyProtection="1">
      <alignment horizontal="center" vertical="center"/>
    </xf>
    <xf numFmtId="164" fontId="3" fillId="7" borderId="8" xfId="39" applyNumberFormat="1" applyFont="1" applyFill="1" applyBorder="1" applyAlignment="1" applyProtection="1">
      <alignment horizontal="center" vertical="center"/>
    </xf>
    <xf numFmtId="164" fontId="3" fillId="7" borderId="46" xfId="39" applyNumberFormat="1" applyFont="1" applyFill="1" applyBorder="1" applyAlignment="1" applyProtection="1">
      <alignment horizontal="center" vertical="center"/>
    </xf>
    <xf numFmtId="165" fontId="5" fillId="17" borderId="12" xfId="39" applyNumberFormat="1" applyFont="1" applyFill="1" applyBorder="1" applyAlignment="1" applyProtection="1">
      <alignment horizontal="center"/>
    </xf>
    <xf numFmtId="165" fontId="5" fillId="17" borderId="68" xfId="39" applyNumberFormat="1" applyFont="1" applyFill="1" applyBorder="1" applyAlignment="1" applyProtection="1">
      <alignment horizontal="center"/>
    </xf>
    <xf numFmtId="0" fontId="7" fillId="17" borderId="7" xfId="1" applyFont="1" applyFill="1" applyBorder="1" applyAlignment="1" applyProtection="1">
      <alignment horizontal="center" wrapText="1"/>
    </xf>
    <xf numFmtId="0" fontId="7" fillId="17" borderId="30" xfId="1" applyFont="1" applyFill="1" applyBorder="1" applyAlignment="1" applyProtection="1">
      <alignment horizontal="center" wrapText="1"/>
    </xf>
    <xf numFmtId="0" fontId="3" fillId="28" borderId="7" xfId="39" applyFont="1" applyFill="1" applyBorder="1" applyAlignment="1" applyProtection="1">
      <alignment horizontal="center"/>
    </xf>
    <xf numFmtId="0" fontId="3" fillId="28" borderId="8" xfId="39" applyFont="1" applyFill="1" applyBorder="1" applyAlignment="1" applyProtection="1">
      <alignment horizontal="center"/>
    </xf>
    <xf numFmtId="0" fontId="3" fillId="28" borderId="14" xfId="39" applyFont="1" applyFill="1" applyBorder="1" applyAlignment="1" applyProtection="1">
      <alignment horizontal="center"/>
    </xf>
    <xf numFmtId="0" fontId="6" fillId="0" borderId="7" xfId="39" applyFont="1" applyFill="1" applyBorder="1" applyAlignment="1">
      <alignment horizontal="center"/>
    </xf>
    <xf numFmtId="0" fontId="6" fillId="0" borderId="8" xfId="39" applyFont="1" applyFill="1" applyBorder="1" applyAlignment="1">
      <alignment horizontal="center"/>
    </xf>
    <xf numFmtId="0" fontId="6" fillId="0" borderId="14" xfId="39" applyFont="1" applyFill="1" applyBorder="1" applyAlignment="1">
      <alignment horizontal="center"/>
    </xf>
    <xf numFmtId="0" fontId="6" fillId="0" borderId="3" xfId="39" applyFont="1" applyBorder="1" applyAlignment="1">
      <alignment horizontal="center" vertical="center" wrapText="1"/>
    </xf>
    <xf numFmtId="0" fontId="6" fillId="0" borderId="4" xfId="39" applyFont="1" applyBorder="1" applyAlignment="1">
      <alignment horizontal="center" vertical="center" wrapText="1"/>
    </xf>
    <xf numFmtId="0" fontId="3" fillId="13" borderId="3" xfId="39" applyFont="1" applyFill="1" applyBorder="1" applyAlignment="1">
      <alignment horizontal="center"/>
    </xf>
    <xf numFmtId="0" fontId="3" fillId="13" borderId="0" xfId="39" applyFont="1" applyFill="1" applyBorder="1" applyAlignment="1">
      <alignment horizontal="center"/>
    </xf>
    <xf numFmtId="0" fontId="3" fillId="13" borderId="4" xfId="39" applyFont="1" applyFill="1" applyBorder="1" applyAlignment="1">
      <alignment horizontal="center"/>
    </xf>
    <xf numFmtId="0" fontId="3" fillId="0" borderId="3" xfId="39" applyFont="1" applyBorder="1" applyAlignment="1">
      <alignment horizontal="center"/>
    </xf>
    <xf numFmtId="0" fontId="3" fillId="0" borderId="4" xfId="39" applyFont="1" applyBorder="1" applyAlignment="1">
      <alignment horizontal="center"/>
    </xf>
    <xf numFmtId="0" fontId="22" fillId="0" borderId="0" xfId="24" applyFont="1" applyFill="1" applyAlignment="1">
      <alignment horizontal="center"/>
    </xf>
    <xf numFmtId="0" fontId="12" fillId="0" borderId="0" xfId="0" applyFont="1" applyFill="1" applyAlignment="1">
      <alignment horizontal="center"/>
    </xf>
    <xf numFmtId="0" fontId="5" fillId="0" borderId="60" xfId="1" applyFont="1" applyFill="1" applyBorder="1" applyAlignment="1">
      <alignment horizontal="center" vertical="center" wrapText="1"/>
    </xf>
    <xf numFmtId="0" fontId="5" fillId="0" borderId="92" xfId="1" applyFont="1" applyFill="1" applyBorder="1" applyAlignment="1">
      <alignment horizontal="center" vertical="center" wrapText="1"/>
    </xf>
    <xf numFmtId="0" fontId="5" fillId="0" borderId="94" xfId="1" applyFont="1" applyBorder="1" applyAlignment="1">
      <alignment horizontal="center" vertical="center"/>
    </xf>
    <xf numFmtId="0" fontId="5" fillId="0" borderId="95" xfId="1" applyFont="1" applyBorder="1" applyAlignment="1">
      <alignment horizontal="center" vertical="center"/>
    </xf>
    <xf numFmtId="0" fontId="5" fillId="0" borderId="96" xfId="1" applyFont="1" applyBorder="1" applyAlignment="1">
      <alignment horizontal="center" vertical="center"/>
    </xf>
    <xf numFmtId="0" fontId="5" fillId="0" borderId="98" xfId="1" applyFont="1" applyBorder="1" applyAlignment="1">
      <alignment horizontal="center" vertical="center"/>
    </xf>
    <xf numFmtId="0" fontId="5" fillId="0" borderId="82" xfId="1" applyFont="1" applyBorder="1" applyAlignment="1">
      <alignment horizontal="center" vertical="center"/>
    </xf>
    <xf numFmtId="0" fontId="5" fillId="0" borderId="83" xfId="1" applyFont="1" applyBorder="1" applyAlignment="1">
      <alignment horizontal="center" vertical="center"/>
    </xf>
    <xf numFmtId="0" fontId="5" fillId="0" borderId="84" xfId="1" applyFont="1" applyFill="1" applyBorder="1" applyAlignment="1">
      <alignment horizontal="center" vertical="center" wrapText="1"/>
    </xf>
    <xf numFmtId="0" fontId="5" fillId="0" borderId="88" xfId="1" applyFont="1" applyFill="1" applyBorder="1" applyAlignment="1">
      <alignment horizontal="center" vertical="center" wrapText="1"/>
    </xf>
    <xf numFmtId="0" fontId="5" fillId="0" borderId="85" xfId="1" applyFont="1" applyBorder="1" applyAlignment="1">
      <alignment horizontal="center" vertical="center" wrapText="1"/>
    </xf>
    <xf numFmtId="0" fontId="5" fillId="0" borderId="87" xfId="1" applyFont="1" applyBorder="1" applyAlignment="1">
      <alignment horizontal="center" vertical="center" wrapText="1"/>
    </xf>
    <xf numFmtId="0" fontId="5" fillId="0" borderId="86" xfId="1" applyFont="1" applyBorder="1" applyAlignment="1">
      <alignment horizontal="center" vertical="center" wrapText="1"/>
    </xf>
    <xf numFmtId="0" fontId="5" fillId="0" borderId="91" xfId="1" applyFont="1" applyBorder="1" applyAlignment="1">
      <alignment horizontal="center" vertical="center" wrapText="1"/>
    </xf>
    <xf numFmtId="3" fontId="0" fillId="0" borderId="0" xfId="0" applyNumberFormat="1" applyFill="1" applyAlignment="1">
      <alignment horizontal="center"/>
    </xf>
    <xf numFmtId="4" fontId="0" fillId="0" borderId="0" xfId="0" applyNumberFormat="1" applyFill="1" applyBorder="1" applyAlignment="1">
      <alignment horizontal="center"/>
    </xf>
    <xf numFmtId="0" fontId="0" fillId="0" borderId="0" xfId="0" applyNumberFormat="1" applyFill="1" applyBorder="1" applyAlignment="1">
      <alignment horizontal="center" wrapText="1"/>
    </xf>
    <xf numFmtId="0" fontId="0" fillId="0" borderId="0" xfId="0" applyNumberFormat="1" applyFill="1" applyAlignment="1">
      <alignment horizontal="center" wrapText="1"/>
    </xf>
    <xf numFmtId="4" fontId="0" fillId="0" borderId="0" xfId="0" applyNumberFormat="1" applyFill="1" applyAlignment="1">
      <alignment horizontal="center"/>
    </xf>
    <xf numFmtId="0" fontId="0" fillId="0" borderId="0" xfId="0" applyFill="1" applyAlignment="1">
      <alignment horizontal="center"/>
    </xf>
    <xf numFmtId="4" fontId="0" fillId="0" borderId="0" xfId="0" applyNumberFormat="1" applyFill="1" applyBorder="1" applyAlignment="1">
      <alignment horizontal="center" wrapText="1"/>
    </xf>
  </cellXfs>
  <cellStyles count="55">
    <cellStyle name="%" xfId="11"/>
    <cellStyle name="]_x000d__x000a_Zoomed=1_x000d__x000a_Row=0_x000d__x000a_Column=0_x000d__x000a_Height=0_x000d__x000a_Width=0_x000d__x000a_FontName=FoxFont_x000d__x000a_FontStyle=0_x000d__x000a_FontSize=9_x000d__x000a_PrtFontName=FoxPrin" xfId="3"/>
    <cellStyle name="Comma" xfId="53" builtinId="3"/>
    <cellStyle name="Comma 2" xfId="12"/>
    <cellStyle name="Comma 3" xfId="13"/>
    <cellStyle name="Comma 4" xfId="14"/>
    <cellStyle name="Currency 2" xfId="15"/>
    <cellStyle name="Currency 3" xfId="16"/>
    <cellStyle name="Currency 4" xfId="17"/>
    <cellStyle name="Estimated" xfId="18"/>
    <cellStyle name="external input" xfId="19"/>
    <cellStyle name="Header" xfId="4"/>
    <cellStyle name="HeaderGrant" xfId="5"/>
    <cellStyle name="HeaderLEA" xfId="6"/>
    <cellStyle name="Imported" xfId="20"/>
    <cellStyle name="LEAName" xfId="7"/>
    <cellStyle name="LEANumber" xfId="8"/>
    <cellStyle name="log projection" xfId="21"/>
    <cellStyle name="Normal" xfId="0" builtinId="0"/>
    <cellStyle name="Normal 2" xfId="1"/>
    <cellStyle name="Normal 2 2" xfId="22"/>
    <cellStyle name="Normal 2 2 2" xfId="42"/>
    <cellStyle name="Normal 3" xfId="23"/>
    <cellStyle name="Normal 3 2" xfId="35"/>
    <cellStyle name="Normal 3 2 2" xfId="44"/>
    <cellStyle name="Normal 4" xfId="24"/>
    <cellStyle name="Normal 4 2" xfId="34"/>
    <cellStyle name="Normal 4 2 2" xfId="43"/>
    <cellStyle name="Normal 5" xfId="38"/>
    <cellStyle name="Normal 5 2" xfId="40"/>
    <cellStyle name="Normal 5 2 2" xfId="48"/>
    <cellStyle name="Normal 6" xfId="39"/>
    <cellStyle name="Normal 6 2" xfId="51"/>
    <cellStyle name="Normal 6 3" xfId="52"/>
    <cellStyle name="Normal 7" xfId="41"/>
    <cellStyle name="Normal 7 2" xfId="45"/>
    <cellStyle name="Normal 8" xfId="49"/>
    <cellStyle name="Normal_Book2 2" xfId="46"/>
    <cellStyle name="Normal_PVI Hours 2010-11" xfId="36"/>
    <cellStyle name="Normal_PVI Hours 2010-11 2" xfId="47"/>
    <cellStyle name="Normal_Sheet1" xfId="37"/>
    <cellStyle name="Normal_Sheet1_Early Years Formula Actual 2012-13" xfId="50"/>
    <cellStyle name="Number" xfId="9"/>
    <cellStyle name="Percent" xfId="54" builtinId="5"/>
    <cellStyle name="Percent 2" xfId="2"/>
    <cellStyle name="Percent 2 2" xfId="10"/>
    <cellStyle name="Percent 3" xfId="25"/>
    <cellStyle name="provisional PN158/97" xfId="26"/>
    <cellStyle name="Style 1" xfId="27"/>
    <cellStyle name="sub" xfId="28"/>
    <cellStyle name="table imported" xfId="29"/>
    <cellStyle name="table sum" xfId="30"/>
    <cellStyle name="table values" xfId="31"/>
    <cellStyle name="u5shares" xfId="32"/>
    <cellStyle name="Variable assumptions" xfId="33"/>
  </cellStyles>
  <dxfs count="29">
    <dxf>
      <font>
        <condense val="0"/>
        <extend val="0"/>
        <color indexed="41"/>
      </font>
      <fill>
        <patternFill>
          <bgColor indexed="41"/>
        </patternFill>
      </fill>
    </dxf>
    <dxf>
      <font>
        <condense val="0"/>
        <extend val="0"/>
        <color indexed="41"/>
      </font>
      <fill>
        <patternFill>
          <bgColor indexed="41"/>
        </patternFill>
      </fill>
    </dxf>
    <dxf>
      <font>
        <b/>
        <i val="0"/>
        <condense val="0"/>
        <extend val="0"/>
        <color indexed="17"/>
      </font>
      <fill>
        <patternFill>
          <bgColor indexed="44"/>
        </patternFill>
      </fill>
    </dxf>
    <dxf>
      <font>
        <b/>
        <i val="0"/>
        <condense val="0"/>
        <extend val="0"/>
        <color indexed="48"/>
      </font>
      <fill>
        <patternFill>
          <bgColor indexed="43"/>
        </patternFill>
      </fill>
    </dxf>
    <dxf>
      <font>
        <b/>
        <i val="0"/>
        <condense val="0"/>
        <extend val="0"/>
        <color indexed="10"/>
      </font>
      <fill>
        <patternFill>
          <bgColor indexed="43"/>
        </patternFill>
      </fill>
    </dxf>
    <dxf>
      <font>
        <b/>
        <i val="0"/>
        <condense val="0"/>
        <extend val="0"/>
        <color indexed="17"/>
      </font>
      <fill>
        <patternFill>
          <bgColor indexed="44"/>
        </patternFill>
      </fill>
    </dxf>
    <dxf>
      <font>
        <b/>
        <i val="0"/>
        <condense val="0"/>
        <extend val="0"/>
        <color indexed="48"/>
      </font>
      <fill>
        <patternFill>
          <bgColor indexed="43"/>
        </patternFill>
      </fill>
    </dxf>
    <dxf>
      <font>
        <b/>
        <i val="0"/>
        <condense val="0"/>
        <extend val="0"/>
        <color indexed="10"/>
      </font>
      <fill>
        <patternFill>
          <bgColor indexed="43"/>
        </patternFill>
      </fill>
    </dxf>
    <dxf>
      <font>
        <b/>
        <i val="0"/>
        <condense val="0"/>
        <extend val="0"/>
        <color indexed="17"/>
      </font>
      <fill>
        <patternFill>
          <bgColor indexed="44"/>
        </patternFill>
      </fill>
    </dxf>
    <dxf>
      <font>
        <b/>
        <i val="0"/>
        <condense val="0"/>
        <extend val="0"/>
        <color indexed="48"/>
      </font>
      <fill>
        <patternFill>
          <bgColor indexed="43"/>
        </patternFill>
      </fill>
    </dxf>
    <dxf>
      <font>
        <b/>
        <i val="0"/>
        <condense val="0"/>
        <extend val="0"/>
        <color indexed="10"/>
      </font>
      <fill>
        <patternFill>
          <bgColor indexed="43"/>
        </patternFill>
      </fill>
    </dxf>
    <dxf>
      <font>
        <b/>
        <i val="0"/>
        <condense val="0"/>
        <extend val="0"/>
        <color indexed="17"/>
      </font>
      <fill>
        <patternFill>
          <bgColor indexed="44"/>
        </patternFill>
      </fill>
    </dxf>
    <dxf>
      <font>
        <b/>
        <i val="0"/>
        <condense val="0"/>
        <extend val="0"/>
        <color indexed="48"/>
      </font>
      <fill>
        <patternFill>
          <bgColor indexed="43"/>
        </patternFill>
      </fill>
    </dxf>
    <dxf>
      <font>
        <b/>
        <i val="0"/>
        <condense val="0"/>
        <extend val="0"/>
        <color indexed="10"/>
      </font>
      <fill>
        <patternFill>
          <bgColor indexed="43"/>
        </patternFill>
      </fill>
    </dxf>
    <dxf>
      <font>
        <b/>
        <i val="0"/>
        <condense val="0"/>
        <extend val="0"/>
        <color indexed="17"/>
      </font>
      <fill>
        <patternFill>
          <bgColor indexed="44"/>
        </patternFill>
      </fill>
    </dxf>
    <dxf>
      <font>
        <b/>
        <i val="0"/>
        <condense val="0"/>
        <extend val="0"/>
        <color indexed="48"/>
      </font>
      <fill>
        <patternFill>
          <bgColor indexed="43"/>
        </patternFill>
      </fill>
    </dxf>
    <dxf>
      <font>
        <b/>
        <i val="0"/>
        <condense val="0"/>
        <extend val="0"/>
        <color indexed="10"/>
      </font>
      <fill>
        <patternFill>
          <bgColor indexed="43"/>
        </patternFill>
      </fill>
    </dxf>
    <dxf>
      <font>
        <b/>
        <i val="0"/>
        <condense val="0"/>
        <extend val="0"/>
        <color indexed="17"/>
      </font>
      <fill>
        <patternFill>
          <bgColor indexed="44"/>
        </patternFill>
      </fill>
    </dxf>
    <dxf>
      <font>
        <b/>
        <i val="0"/>
        <condense val="0"/>
        <extend val="0"/>
        <color indexed="48"/>
      </font>
      <fill>
        <patternFill>
          <bgColor indexed="43"/>
        </patternFill>
      </fill>
    </dxf>
    <dxf>
      <font>
        <b/>
        <i val="0"/>
        <condense val="0"/>
        <extend val="0"/>
        <color indexed="10"/>
      </font>
      <fill>
        <patternFill>
          <bgColor indexed="43"/>
        </patternFill>
      </fill>
    </dxf>
    <dxf>
      <font>
        <b/>
        <i val="0"/>
        <condense val="0"/>
        <extend val="0"/>
        <color indexed="17"/>
      </font>
      <fill>
        <patternFill>
          <bgColor indexed="44"/>
        </patternFill>
      </fill>
    </dxf>
    <dxf>
      <font>
        <b/>
        <i val="0"/>
        <condense val="0"/>
        <extend val="0"/>
        <color indexed="48"/>
      </font>
      <fill>
        <patternFill>
          <bgColor indexed="43"/>
        </patternFill>
      </fill>
    </dxf>
    <dxf>
      <font>
        <b/>
        <i val="0"/>
        <condense val="0"/>
        <extend val="0"/>
        <color indexed="10"/>
      </font>
      <fill>
        <patternFill>
          <bgColor indexed="43"/>
        </patternFill>
      </fill>
    </dxf>
    <dxf>
      <font>
        <b/>
        <i val="0"/>
        <condense val="0"/>
        <extend val="0"/>
        <color indexed="17"/>
      </font>
      <fill>
        <patternFill>
          <bgColor indexed="44"/>
        </patternFill>
      </fill>
    </dxf>
    <dxf>
      <font>
        <b/>
        <i val="0"/>
        <condense val="0"/>
        <extend val="0"/>
        <color indexed="48"/>
      </font>
      <fill>
        <patternFill>
          <bgColor indexed="43"/>
        </patternFill>
      </fill>
    </dxf>
    <dxf>
      <font>
        <b/>
        <i val="0"/>
        <condense val="0"/>
        <extend val="0"/>
        <color indexed="10"/>
      </font>
      <fill>
        <patternFill>
          <bgColor indexed="43"/>
        </patternFill>
      </fill>
    </dxf>
    <dxf>
      <font>
        <b/>
        <i val="0"/>
        <condense val="0"/>
        <extend val="0"/>
        <color indexed="17"/>
      </font>
      <fill>
        <patternFill>
          <bgColor indexed="44"/>
        </patternFill>
      </fill>
    </dxf>
    <dxf>
      <font>
        <b/>
        <i val="0"/>
        <condense val="0"/>
        <extend val="0"/>
        <color indexed="48"/>
      </font>
      <fill>
        <patternFill>
          <bgColor indexed="43"/>
        </patternFill>
      </fill>
    </dxf>
    <dxf>
      <font>
        <b/>
        <i val="0"/>
        <condense val="0"/>
        <extend val="0"/>
        <color indexed="10"/>
      </font>
      <fill>
        <patternFill>
          <bgColor indexed="43"/>
        </patternFill>
      </fill>
    </dxf>
  </dxfs>
  <tableStyles count="0" defaultTableStyle="TableStyleMedium2" defaultPivotStyle="PivotStyleLight16"/>
  <colors>
    <mruColors>
      <color rgb="FFCCFFFF"/>
      <color rgb="FF66FFFF"/>
      <color rgb="FFFFFF99"/>
      <color rgb="FFFFFF66"/>
      <color rgb="FFFFFFCC"/>
      <color rgb="FFD9D9D7"/>
      <color rgb="FFE8F37B"/>
      <color rgb="FFC3A9BF"/>
      <color rgb="FFCD9FC4"/>
      <color rgb="FF72E5F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ducsdata/FINANCE/lms%20formula%20&amp;%20S52/2014-2015/2014-15%20October%20Submission/Proforma%20-%20Final%20V2.0/Derby_APT1415-18jun13-v1_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lms%20formula%20&amp;%20S52/2013-2014/Formula%20Funding%20Consultation/DFESXXX_831LLLL_S251B1213(1)%20VALUES%20ONLY%20FOR%20SUBMISSION%2029.3.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CENTRAL1/School%20Imp%20&amp;%20Inclusion/SENSS%20EDB/2003-04/Finance%20Planner%20-%20SENSS%202003-04%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c-fs03\educsdata\Budget%20Monitoring\STF\STF%202010-11\SSG%202008-11%20-%20SSG%20LA%20calcula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3-14 submitted Baselines"/>
      <sheetName val="Input &amp; Adjustments"/>
      <sheetName val="Local Factors"/>
      <sheetName val="Adjusted Factors"/>
      <sheetName val="13-14 final baselines"/>
      <sheetName val="Commentary"/>
      <sheetName val="Proforma"/>
      <sheetName val="De Delegation"/>
      <sheetName val="New ISB"/>
      <sheetName val="School level SB"/>
      <sheetName val="Recoupment"/>
      <sheetName val="Validation sheet"/>
    </sheetNames>
    <sheetDataSet>
      <sheetData sheetId="0"/>
      <sheetData sheetId="1"/>
      <sheetData sheetId="2"/>
      <sheetData sheetId="3"/>
      <sheetData sheetId="4">
        <row r="6">
          <cell r="BQ6" t="str">
            <v>School closed prior to 1 April 2014</v>
          </cell>
        </row>
        <row r="7">
          <cell r="BQ7" t="str">
            <v>New School opening prior to 1 April 2014</v>
          </cell>
        </row>
        <row r="8">
          <cell r="BQ8" t="str">
            <v>New School opening after 1 April 2014</v>
          </cell>
        </row>
        <row r="9">
          <cell r="BQ9" t="str">
            <v>Amalgamation of schools prior to 1 April 2014</v>
          </cell>
        </row>
        <row r="10">
          <cell r="BQ10" t="str">
            <v>Change in pupil numbers/factors</v>
          </cell>
        </row>
        <row r="11">
          <cell r="BQ11" t="str">
            <v>Conversion to academy status prior to 1 January 2014</v>
          </cell>
        </row>
        <row r="12">
          <cell r="BQ12" t="str">
            <v>Basic Needs Academy</v>
          </cell>
        </row>
        <row r="13">
          <cell r="BQ13" t="str">
            <v>Other</v>
          </cell>
        </row>
      </sheetData>
      <sheetData sheetId="5">
        <row r="5">
          <cell r="Z5">
            <v>0</v>
          </cell>
        </row>
      </sheetData>
      <sheetData sheetId="6"/>
      <sheetData sheetId="7"/>
      <sheetData sheetId="8"/>
      <sheetData sheetId="9">
        <row r="9">
          <cell r="E9" t="str">
            <v>No</v>
          </cell>
        </row>
        <row r="11">
          <cell r="E11">
            <v>2463.9300000000003</v>
          </cell>
          <cell r="L11">
            <v>8.2066725380455882E-2</v>
          </cell>
        </row>
        <row r="12">
          <cell r="E12">
            <v>3483.8</v>
          </cell>
          <cell r="L12">
            <v>5.8466808274489537E-2</v>
          </cell>
        </row>
        <row r="13">
          <cell r="E13">
            <v>3923.9</v>
          </cell>
          <cell r="L13">
            <v>5.1909239956845654E-2</v>
          </cell>
        </row>
        <row r="15">
          <cell r="D15" t="str">
            <v>FSM6 % Primary</v>
          </cell>
          <cell r="E15">
            <v>932.89</v>
          </cell>
          <cell r="L15">
            <v>0.4</v>
          </cell>
        </row>
        <row r="16">
          <cell r="D16" t="str">
            <v>FSM6 % Secondary</v>
          </cell>
          <cell r="F16">
            <v>714.41</v>
          </cell>
          <cell r="M16">
            <v>0.4</v>
          </cell>
        </row>
        <row r="17">
          <cell r="E17">
            <v>116.98</v>
          </cell>
          <cell r="F17">
            <v>92.81</v>
          </cell>
          <cell r="L17">
            <v>0.4</v>
          </cell>
          <cell r="M17">
            <v>0.4</v>
          </cell>
        </row>
        <row r="18">
          <cell r="E18">
            <v>234.2</v>
          </cell>
          <cell r="F18">
            <v>186.3</v>
          </cell>
          <cell r="L18">
            <v>0.4</v>
          </cell>
          <cell r="M18">
            <v>0.4</v>
          </cell>
        </row>
        <row r="19">
          <cell r="E19">
            <v>351.87</v>
          </cell>
          <cell r="F19">
            <v>279.36</v>
          </cell>
          <cell r="L19">
            <v>0.4</v>
          </cell>
          <cell r="M19">
            <v>0.4</v>
          </cell>
        </row>
        <row r="20">
          <cell r="E20">
            <v>469.09</v>
          </cell>
          <cell r="F20">
            <v>372.42</v>
          </cell>
          <cell r="L20">
            <v>0.4</v>
          </cell>
          <cell r="M20">
            <v>0.4</v>
          </cell>
        </row>
        <row r="21">
          <cell r="E21">
            <v>938.42</v>
          </cell>
          <cell r="F21">
            <v>745.51</v>
          </cell>
          <cell r="L21">
            <v>0.4</v>
          </cell>
          <cell r="M21">
            <v>0.4</v>
          </cell>
        </row>
        <row r="22">
          <cell r="E22">
            <v>938.42</v>
          </cell>
          <cell r="F22">
            <v>745.51</v>
          </cell>
          <cell r="L22">
            <v>0.4</v>
          </cell>
          <cell r="M22">
            <v>0.4</v>
          </cell>
        </row>
        <row r="24">
          <cell r="E24">
            <v>1185.1199999999999</v>
          </cell>
          <cell r="L24">
            <v>1</v>
          </cell>
        </row>
        <row r="25">
          <cell r="D25" t="str">
            <v>N/A</v>
          </cell>
        </row>
        <row r="26">
          <cell r="F26">
            <v>581.08000000000004</v>
          </cell>
          <cell r="M26">
            <v>1</v>
          </cell>
        </row>
        <row r="27">
          <cell r="D27" t="str">
            <v>EAL 3 Primary</v>
          </cell>
          <cell r="E27">
            <v>792.45</v>
          </cell>
          <cell r="L27">
            <v>0.45</v>
          </cell>
        </row>
        <row r="28">
          <cell r="D28" t="str">
            <v>EAL 3 Secondary</v>
          </cell>
          <cell r="F28">
            <v>2327.5700000000002</v>
          </cell>
          <cell r="M28">
            <v>0.45</v>
          </cell>
        </row>
        <row r="29">
          <cell r="E29">
            <v>979.33</v>
          </cell>
          <cell r="F29">
            <v>5823.33</v>
          </cell>
          <cell r="L29">
            <v>1</v>
          </cell>
          <cell r="M29">
            <v>1</v>
          </cell>
        </row>
        <row r="35">
          <cell r="E35">
            <v>100000</v>
          </cell>
          <cell r="G35">
            <v>150000</v>
          </cell>
          <cell r="L35">
            <v>0</v>
          </cell>
        </row>
        <row r="36">
          <cell r="E36">
            <v>0</v>
          </cell>
          <cell r="G36">
            <v>0</v>
          </cell>
          <cell r="L36">
            <v>0</v>
          </cell>
        </row>
        <row r="40">
          <cell r="L40">
            <v>0</v>
          </cell>
        </row>
        <row r="41">
          <cell r="L41">
            <v>0</v>
          </cell>
        </row>
        <row r="42">
          <cell r="L42">
            <v>0</v>
          </cell>
        </row>
        <row r="43">
          <cell r="L43">
            <v>0</v>
          </cell>
        </row>
        <row r="44">
          <cell r="L44">
            <v>0</v>
          </cell>
        </row>
        <row r="47">
          <cell r="L47">
            <v>0</v>
          </cell>
        </row>
        <row r="48">
          <cell r="L48">
            <v>0</v>
          </cell>
        </row>
        <row r="49">
          <cell r="L49">
            <v>0</v>
          </cell>
        </row>
        <row r="50">
          <cell r="L50">
            <v>0</v>
          </cell>
        </row>
        <row r="51">
          <cell r="L51">
            <v>0</v>
          </cell>
        </row>
        <row r="52">
          <cell r="L52">
            <v>0</v>
          </cell>
        </row>
        <row r="57">
          <cell r="J57" t="str">
            <v>Yes</v>
          </cell>
        </row>
        <row r="58">
          <cell r="D58">
            <v>0</v>
          </cell>
          <cell r="G58">
            <v>0</v>
          </cell>
        </row>
      </sheetData>
      <sheetData sheetId="10">
        <row r="8">
          <cell r="V8">
            <v>73.013413092534819</v>
          </cell>
        </row>
        <row r="9">
          <cell r="W9">
            <v>59.501067947573944</v>
          </cell>
        </row>
        <row r="10">
          <cell r="V10">
            <v>0</v>
          </cell>
        </row>
        <row r="11">
          <cell r="W11">
            <v>0</v>
          </cell>
        </row>
        <row r="12">
          <cell r="V12">
            <v>0</v>
          </cell>
          <cell r="W12">
            <v>0</v>
          </cell>
        </row>
        <row r="13">
          <cell r="V13">
            <v>0</v>
          </cell>
          <cell r="W13">
            <v>0</v>
          </cell>
        </row>
        <row r="14">
          <cell r="V14">
            <v>0</v>
          </cell>
          <cell r="W14">
            <v>0</v>
          </cell>
        </row>
        <row r="15">
          <cell r="V15">
            <v>0</v>
          </cell>
          <cell r="W15">
            <v>0</v>
          </cell>
        </row>
        <row r="16">
          <cell r="V16">
            <v>0</v>
          </cell>
          <cell r="W16">
            <v>0</v>
          </cell>
        </row>
        <row r="17">
          <cell r="V17">
            <v>0</v>
          </cell>
          <cell r="W17">
            <v>0</v>
          </cell>
        </row>
        <row r="18">
          <cell r="V18">
            <v>0</v>
          </cell>
          <cell r="W18">
            <v>0</v>
          </cell>
        </row>
        <row r="19">
          <cell r="V19">
            <v>0</v>
          </cell>
        </row>
        <row r="20">
          <cell r="W20">
            <v>0</v>
          </cell>
        </row>
        <row r="21">
          <cell r="V21">
            <v>0</v>
          </cell>
        </row>
        <row r="22">
          <cell r="W22">
            <v>0</v>
          </cell>
        </row>
        <row r="23">
          <cell r="V23">
            <v>0</v>
          </cell>
          <cell r="W23">
            <v>0</v>
          </cell>
        </row>
        <row r="24">
          <cell r="V24">
            <v>0</v>
          </cell>
          <cell r="W24">
            <v>0</v>
          </cell>
        </row>
        <row r="26">
          <cell r="V26">
            <v>0</v>
          </cell>
          <cell r="W26">
            <v>0</v>
          </cell>
        </row>
      </sheetData>
      <sheetData sheetId="11">
        <row r="5">
          <cell r="AC5">
            <v>9050000</v>
          </cell>
          <cell r="AD5">
            <v>0</v>
          </cell>
          <cell r="AE5">
            <v>0</v>
          </cell>
          <cell r="AF5">
            <v>19329.919999999998</v>
          </cell>
          <cell r="AG5">
            <v>1705581.59</v>
          </cell>
          <cell r="AH5">
            <v>1011061.4900000001</v>
          </cell>
          <cell r="AI5">
            <v>0</v>
          </cell>
          <cell r="AJ5">
            <v>0</v>
          </cell>
          <cell r="AK5">
            <v>0</v>
          </cell>
          <cell r="AL5">
            <v>0</v>
          </cell>
          <cell r="AM5">
            <v>0</v>
          </cell>
          <cell r="AN5">
            <v>0</v>
          </cell>
          <cell r="AO5">
            <v>0</v>
          </cell>
          <cell r="AS5">
            <v>17739483.207509585</v>
          </cell>
          <cell r="AU5">
            <v>73151351.207061008</v>
          </cell>
          <cell r="AV5">
            <v>60228091.900499485</v>
          </cell>
          <cell r="BB5">
            <v>2222814.5571497544</v>
          </cell>
        </row>
        <row r="6">
          <cell r="C6">
            <v>8312000</v>
          </cell>
        </row>
        <row r="7">
          <cell r="C7">
            <v>8312001</v>
          </cell>
        </row>
        <row r="8">
          <cell r="C8">
            <v>8312002</v>
          </cell>
        </row>
        <row r="9">
          <cell r="C9">
            <v>8312003</v>
          </cell>
        </row>
        <row r="10">
          <cell r="C10">
            <v>8312004</v>
          </cell>
        </row>
        <row r="11">
          <cell r="C11">
            <v>8312005</v>
          </cell>
        </row>
        <row r="12">
          <cell r="C12">
            <v>8312006</v>
          </cell>
        </row>
        <row r="13">
          <cell r="C13">
            <v>8312400</v>
          </cell>
        </row>
        <row r="14">
          <cell r="C14">
            <v>8312405</v>
          </cell>
        </row>
        <row r="15">
          <cell r="C15">
            <v>8312409</v>
          </cell>
        </row>
        <row r="16">
          <cell r="C16">
            <v>8312420</v>
          </cell>
        </row>
        <row r="17">
          <cell r="C17">
            <v>8312423</v>
          </cell>
        </row>
        <row r="18">
          <cell r="C18">
            <v>8312424</v>
          </cell>
        </row>
        <row r="19">
          <cell r="C19">
            <v>8312429</v>
          </cell>
        </row>
        <row r="20">
          <cell r="C20">
            <v>8312430</v>
          </cell>
        </row>
        <row r="21">
          <cell r="C21">
            <v>8312432</v>
          </cell>
        </row>
        <row r="22">
          <cell r="C22">
            <v>8312433</v>
          </cell>
        </row>
        <row r="23">
          <cell r="C23">
            <v>8312434</v>
          </cell>
        </row>
        <row r="24">
          <cell r="C24">
            <v>8312436</v>
          </cell>
        </row>
        <row r="25">
          <cell r="C25">
            <v>8312439</v>
          </cell>
        </row>
        <row r="26">
          <cell r="C26">
            <v>8312440</v>
          </cell>
        </row>
        <row r="27">
          <cell r="C27">
            <v>8312442</v>
          </cell>
        </row>
        <row r="28">
          <cell r="C28">
            <v>8312443</v>
          </cell>
        </row>
        <row r="29">
          <cell r="C29">
            <v>8312444</v>
          </cell>
        </row>
        <row r="30">
          <cell r="C30">
            <v>8312446</v>
          </cell>
        </row>
        <row r="31">
          <cell r="C31">
            <v>8312447</v>
          </cell>
        </row>
        <row r="32">
          <cell r="C32">
            <v>8312448</v>
          </cell>
        </row>
        <row r="33">
          <cell r="C33">
            <v>8312449</v>
          </cell>
        </row>
        <row r="34">
          <cell r="C34">
            <v>8312451</v>
          </cell>
        </row>
        <row r="35">
          <cell r="C35">
            <v>8312452</v>
          </cell>
        </row>
        <row r="36">
          <cell r="C36">
            <v>8312455</v>
          </cell>
        </row>
        <row r="37">
          <cell r="C37">
            <v>8312456</v>
          </cell>
        </row>
        <row r="38">
          <cell r="C38">
            <v>8312457</v>
          </cell>
        </row>
        <row r="39">
          <cell r="C39">
            <v>8312458</v>
          </cell>
        </row>
        <row r="40">
          <cell r="C40">
            <v>8312459</v>
          </cell>
        </row>
        <row r="41">
          <cell r="C41">
            <v>8312462</v>
          </cell>
        </row>
        <row r="42">
          <cell r="C42">
            <v>8312463</v>
          </cell>
        </row>
        <row r="43">
          <cell r="C43">
            <v>8312464</v>
          </cell>
        </row>
        <row r="44">
          <cell r="C44">
            <v>8312466</v>
          </cell>
        </row>
        <row r="45">
          <cell r="C45">
            <v>8312467</v>
          </cell>
        </row>
        <row r="46">
          <cell r="C46">
            <v>8312469</v>
          </cell>
        </row>
        <row r="47">
          <cell r="C47">
            <v>8312471</v>
          </cell>
        </row>
        <row r="48">
          <cell r="C48">
            <v>8312473</v>
          </cell>
        </row>
        <row r="49">
          <cell r="C49">
            <v>8312505</v>
          </cell>
        </row>
        <row r="50">
          <cell r="C50">
            <v>8312509</v>
          </cell>
        </row>
        <row r="51">
          <cell r="C51">
            <v>8312512</v>
          </cell>
        </row>
        <row r="52">
          <cell r="C52">
            <v>8312515</v>
          </cell>
        </row>
        <row r="53">
          <cell r="C53">
            <v>8312518</v>
          </cell>
        </row>
        <row r="54">
          <cell r="C54">
            <v>8312522</v>
          </cell>
        </row>
        <row r="55">
          <cell r="C55">
            <v>8312619</v>
          </cell>
        </row>
        <row r="56">
          <cell r="C56">
            <v>8312627</v>
          </cell>
        </row>
        <row r="57">
          <cell r="C57">
            <v>8312629</v>
          </cell>
        </row>
        <row r="58">
          <cell r="C58">
            <v>8313158</v>
          </cell>
        </row>
        <row r="59">
          <cell r="C59">
            <v>8313525</v>
          </cell>
        </row>
        <row r="60">
          <cell r="C60">
            <v>8313526</v>
          </cell>
        </row>
        <row r="61">
          <cell r="C61">
            <v>8313528</v>
          </cell>
        </row>
        <row r="62">
          <cell r="C62">
            <v>8313530</v>
          </cell>
        </row>
        <row r="63">
          <cell r="C63">
            <v>8313532</v>
          </cell>
        </row>
        <row r="64">
          <cell r="C64">
            <v>8313534</v>
          </cell>
        </row>
        <row r="65">
          <cell r="C65">
            <v>8313535</v>
          </cell>
        </row>
        <row r="66">
          <cell r="C66">
            <v>8313542</v>
          </cell>
        </row>
        <row r="67">
          <cell r="C67">
            <v>8313543</v>
          </cell>
        </row>
        <row r="68">
          <cell r="C68">
            <v>8313544</v>
          </cell>
        </row>
        <row r="69">
          <cell r="C69">
            <v>8313546</v>
          </cell>
        </row>
        <row r="70">
          <cell r="C70">
            <v>8315201</v>
          </cell>
        </row>
        <row r="71">
          <cell r="C71">
            <v>8315203</v>
          </cell>
        </row>
        <row r="72">
          <cell r="C72">
            <v>8315209</v>
          </cell>
        </row>
        <row r="73">
          <cell r="C73">
            <v>8314158</v>
          </cell>
        </row>
        <row r="74">
          <cell r="C74">
            <v>8314177</v>
          </cell>
        </row>
        <row r="75">
          <cell r="C75">
            <v>8314178</v>
          </cell>
        </row>
        <row r="76">
          <cell r="C76">
            <v>8314182</v>
          </cell>
        </row>
        <row r="77">
          <cell r="C77">
            <v>8314608</v>
          </cell>
        </row>
        <row r="78">
          <cell r="C78">
            <v>8314609</v>
          </cell>
        </row>
        <row r="79">
          <cell r="C79">
            <v>8315406</v>
          </cell>
        </row>
        <row r="80">
          <cell r="C80">
            <v>8315407</v>
          </cell>
        </row>
        <row r="81">
          <cell r="C81">
            <v>8312007</v>
          </cell>
        </row>
        <row r="82">
          <cell r="C82">
            <v>8312008</v>
          </cell>
        </row>
        <row r="83">
          <cell r="C83">
            <v>8312009</v>
          </cell>
        </row>
        <row r="84">
          <cell r="C84">
            <v>8313531</v>
          </cell>
        </row>
        <row r="85">
          <cell r="C85">
            <v>8314181</v>
          </cell>
        </row>
        <row r="86">
          <cell r="C86">
            <v>8314607</v>
          </cell>
        </row>
        <row r="87">
          <cell r="C87">
            <v>8315402</v>
          </cell>
        </row>
        <row r="88">
          <cell r="C88">
            <v>8315412</v>
          </cell>
        </row>
        <row r="89">
          <cell r="C89">
            <v>8315414</v>
          </cell>
        </row>
        <row r="90">
          <cell r="C90" t="str">
            <v/>
          </cell>
        </row>
        <row r="91">
          <cell r="C91" t="str">
            <v/>
          </cell>
        </row>
        <row r="92">
          <cell r="C92" t="str">
            <v/>
          </cell>
        </row>
        <row r="93">
          <cell r="C93" t="str">
            <v/>
          </cell>
        </row>
        <row r="94">
          <cell r="C94" t="str">
            <v/>
          </cell>
        </row>
        <row r="95">
          <cell r="C95" t="str">
            <v/>
          </cell>
        </row>
        <row r="96">
          <cell r="C96" t="str">
            <v/>
          </cell>
        </row>
        <row r="97">
          <cell r="C97" t="str">
            <v/>
          </cell>
        </row>
        <row r="98">
          <cell r="C98" t="str">
            <v/>
          </cell>
        </row>
        <row r="99">
          <cell r="C99" t="str">
            <v/>
          </cell>
        </row>
        <row r="100">
          <cell r="C100" t="str">
            <v/>
          </cell>
        </row>
        <row r="101">
          <cell r="C101" t="str">
            <v/>
          </cell>
        </row>
        <row r="102">
          <cell r="C102" t="str">
            <v/>
          </cell>
        </row>
        <row r="103">
          <cell r="C103" t="str">
            <v/>
          </cell>
        </row>
        <row r="104">
          <cell r="C104" t="str">
            <v/>
          </cell>
        </row>
        <row r="105">
          <cell r="C105" t="str">
            <v/>
          </cell>
        </row>
        <row r="106">
          <cell r="C106" t="str">
            <v/>
          </cell>
        </row>
        <row r="107">
          <cell r="C107" t="str">
            <v/>
          </cell>
        </row>
        <row r="108">
          <cell r="C108" t="str">
            <v/>
          </cell>
        </row>
        <row r="109">
          <cell r="C109" t="str">
            <v/>
          </cell>
        </row>
        <row r="110">
          <cell r="C110" t="str">
            <v/>
          </cell>
        </row>
        <row r="111">
          <cell r="C111" t="str">
            <v/>
          </cell>
        </row>
        <row r="112">
          <cell r="C112" t="str">
            <v/>
          </cell>
        </row>
        <row r="113">
          <cell r="C113" t="str">
            <v/>
          </cell>
        </row>
        <row r="114">
          <cell r="C114" t="str">
            <v/>
          </cell>
        </row>
        <row r="115">
          <cell r="C115" t="str">
            <v/>
          </cell>
        </row>
        <row r="116">
          <cell r="C116" t="str">
            <v/>
          </cell>
        </row>
        <row r="117">
          <cell r="C117" t="str">
            <v/>
          </cell>
        </row>
        <row r="118">
          <cell r="C118" t="str">
            <v/>
          </cell>
        </row>
        <row r="119">
          <cell r="C119" t="str">
            <v/>
          </cell>
        </row>
        <row r="120">
          <cell r="C120" t="str">
            <v/>
          </cell>
        </row>
        <row r="121">
          <cell r="C121" t="str">
            <v/>
          </cell>
        </row>
        <row r="122">
          <cell r="C122" t="str">
            <v/>
          </cell>
        </row>
        <row r="123">
          <cell r="C123" t="str">
            <v/>
          </cell>
        </row>
        <row r="124">
          <cell r="C124" t="str">
            <v/>
          </cell>
        </row>
        <row r="125">
          <cell r="C125" t="str">
            <v/>
          </cell>
        </row>
        <row r="126">
          <cell r="C126" t="str">
            <v/>
          </cell>
        </row>
        <row r="127">
          <cell r="C127" t="str">
            <v/>
          </cell>
        </row>
        <row r="128">
          <cell r="C128" t="str">
            <v/>
          </cell>
        </row>
        <row r="129">
          <cell r="C129" t="str">
            <v/>
          </cell>
        </row>
        <row r="130">
          <cell r="C130" t="str">
            <v/>
          </cell>
        </row>
        <row r="131">
          <cell r="C131" t="str">
            <v/>
          </cell>
        </row>
        <row r="132">
          <cell r="C132" t="str">
            <v/>
          </cell>
        </row>
        <row r="133">
          <cell r="C133" t="str">
            <v/>
          </cell>
        </row>
        <row r="134">
          <cell r="C134" t="str">
            <v/>
          </cell>
        </row>
        <row r="135">
          <cell r="C135" t="str">
            <v/>
          </cell>
        </row>
        <row r="136">
          <cell r="C136" t="str">
            <v/>
          </cell>
        </row>
        <row r="137">
          <cell r="C137" t="str">
            <v/>
          </cell>
        </row>
        <row r="138">
          <cell r="C138" t="str">
            <v/>
          </cell>
        </row>
        <row r="139">
          <cell r="C139" t="str">
            <v/>
          </cell>
        </row>
        <row r="140">
          <cell r="C140" t="str">
            <v/>
          </cell>
        </row>
        <row r="141">
          <cell r="C141" t="str">
            <v/>
          </cell>
        </row>
        <row r="142">
          <cell r="C142" t="str">
            <v/>
          </cell>
        </row>
        <row r="143">
          <cell r="C143" t="str">
            <v/>
          </cell>
        </row>
        <row r="144">
          <cell r="C144" t="str">
            <v/>
          </cell>
        </row>
        <row r="145">
          <cell r="C145" t="str">
            <v/>
          </cell>
        </row>
        <row r="146">
          <cell r="C146" t="str">
            <v/>
          </cell>
        </row>
        <row r="147">
          <cell r="C147" t="str">
            <v/>
          </cell>
        </row>
        <row r="148">
          <cell r="C148" t="str">
            <v/>
          </cell>
        </row>
        <row r="149">
          <cell r="C149" t="str">
            <v/>
          </cell>
        </row>
        <row r="150">
          <cell r="C150" t="str">
            <v/>
          </cell>
        </row>
        <row r="151">
          <cell r="C151" t="str">
            <v/>
          </cell>
        </row>
        <row r="152">
          <cell r="C152" t="str">
            <v/>
          </cell>
        </row>
        <row r="153">
          <cell r="C153" t="str">
            <v/>
          </cell>
        </row>
        <row r="154">
          <cell r="C154" t="str">
            <v/>
          </cell>
        </row>
        <row r="155">
          <cell r="C155" t="str">
            <v/>
          </cell>
        </row>
        <row r="156">
          <cell r="C156" t="str">
            <v/>
          </cell>
        </row>
        <row r="157">
          <cell r="C157" t="str">
            <v/>
          </cell>
        </row>
        <row r="158">
          <cell r="C158" t="str">
            <v/>
          </cell>
        </row>
        <row r="159">
          <cell r="C159" t="str">
            <v/>
          </cell>
        </row>
        <row r="160">
          <cell r="C160" t="str">
            <v/>
          </cell>
        </row>
        <row r="161">
          <cell r="C161" t="str">
            <v/>
          </cell>
        </row>
        <row r="162">
          <cell r="C162" t="str">
            <v/>
          </cell>
        </row>
        <row r="163">
          <cell r="C163" t="str">
            <v/>
          </cell>
        </row>
        <row r="164">
          <cell r="C164" t="str">
            <v/>
          </cell>
        </row>
        <row r="165">
          <cell r="C165" t="str">
            <v/>
          </cell>
        </row>
        <row r="166">
          <cell r="C166" t="str">
            <v/>
          </cell>
        </row>
        <row r="167">
          <cell r="C167" t="str">
            <v/>
          </cell>
        </row>
        <row r="168">
          <cell r="C168" t="str">
            <v/>
          </cell>
        </row>
        <row r="169">
          <cell r="C169" t="str">
            <v/>
          </cell>
        </row>
        <row r="170">
          <cell r="C170" t="str">
            <v/>
          </cell>
        </row>
        <row r="171">
          <cell r="C171" t="str">
            <v/>
          </cell>
        </row>
        <row r="172">
          <cell r="C172" t="str">
            <v/>
          </cell>
        </row>
        <row r="173">
          <cell r="C173" t="str">
            <v/>
          </cell>
        </row>
        <row r="174">
          <cell r="C174" t="str">
            <v/>
          </cell>
        </row>
        <row r="175">
          <cell r="C175" t="str">
            <v/>
          </cell>
        </row>
        <row r="176">
          <cell r="C176" t="str">
            <v/>
          </cell>
        </row>
        <row r="177">
          <cell r="C177" t="str">
            <v/>
          </cell>
        </row>
        <row r="178">
          <cell r="C178" t="str">
            <v/>
          </cell>
        </row>
        <row r="179">
          <cell r="C179" t="str">
            <v/>
          </cell>
        </row>
        <row r="180">
          <cell r="C180" t="str">
            <v/>
          </cell>
        </row>
        <row r="181">
          <cell r="C181" t="str">
            <v/>
          </cell>
        </row>
        <row r="182">
          <cell r="C182" t="str">
            <v/>
          </cell>
        </row>
        <row r="183">
          <cell r="C183" t="str">
            <v/>
          </cell>
        </row>
        <row r="184">
          <cell r="C184" t="str">
            <v/>
          </cell>
        </row>
        <row r="185">
          <cell r="C185" t="str">
            <v/>
          </cell>
        </row>
        <row r="186">
          <cell r="C186" t="str">
            <v/>
          </cell>
        </row>
        <row r="187">
          <cell r="C187" t="str">
            <v/>
          </cell>
        </row>
        <row r="188">
          <cell r="C188" t="str">
            <v/>
          </cell>
        </row>
        <row r="189">
          <cell r="C189" t="str">
            <v/>
          </cell>
        </row>
        <row r="190">
          <cell r="C190" t="str">
            <v/>
          </cell>
        </row>
        <row r="191">
          <cell r="C191" t="str">
            <v/>
          </cell>
        </row>
        <row r="192">
          <cell r="C192" t="str">
            <v/>
          </cell>
        </row>
        <row r="193">
          <cell r="C193" t="str">
            <v/>
          </cell>
        </row>
        <row r="194">
          <cell r="C194" t="str">
            <v/>
          </cell>
        </row>
        <row r="195">
          <cell r="C195" t="str">
            <v/>
          </cell>
        </row>
        <row r="196">
          <cell r="C196" t="str">
            <v/>
          </cell>
        </row>
        <row r="197">
          <cell r="C197" t="str">
            <v/>
          </cell>
        </row>
        <row r="198">
          <cell r="C198" t="str">
            <v/>
          </cell>
        </row>
        <row r="199">
          <cell r="C199" t="str">
            <v/>
          </cell>
        </row>
        <row r="200">
          <cell r="C200" t="str">
            <v/>
          </cell>
        </row>
        <row r="201">
          <cell r="C201" t="str">
            <v/>
          </cell>
        </row>
        <row r="202">
          <cell r="C202" t="str">
            <v/>
          </cell>
        </row>
        <row r="203">
          <cell r="C203" t="str">
            <v/>
          </cell>
        </row>
        <row r="204">
          <cell r="C204" t="str">
            <v/>
          </cell>
        </row>
        <row r="205">
          <cell r="C205" t="str">
            <v/>
          </cell>
        </row>
        <row r="206">
          <cell r="C206" t="str">
            <v/>
          </cell>
        </row>
        <row r="207">
          <cell r="C207" t="str">
            <v/>
          </cell>
        </row>
        <row r="208">
          <cell r="C208" t="str">
            <v/>
          </cell>
        </row>
        <row r="209">
          <cell r="C209" t="str">
            <v/>
          </cell>
        </row>
        <row r="210">
          <cell r="C210" t="str">
            <v/>
          </cell>
        </row>
        <row r="211">
          <cell r="C211" t="str">
            <v/>
          </cell>
        </row>
        <row r="212">
          <cell r="C212" t="str">
            <v/>
          </cell>
        </row>
        <row r="213">
          <cell r="C213" t="str">
            <v/>
          </cell>
        </row>
        <row r="214">
          <cell r="C214" t="str">
            <v/>
          </cell>
        </row>
        <row r="215">
          <cell r="C215" t="str">
            <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sheetData>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lines"/>
      <sheetName val="Budgets to delegate"/>
      <sheetName val="lines to delegate"/>
      <sheetName val="CoverSheet"/>
      <sheetName val="LATable"/>
      <sheetName val="SchoolTable"/>
    </sheetNames>
    <sheetDataSet>
      <sheetData sheetId="0"/>
      <sheetData sheetId="1">
        <row r="10">
          <cell r="Q10">
            <v>158406</v>
          </cell>
        </row>
      </sheetData>
      <sheetData sheetId="2"/>
      <sheetData sheetId="3"/>
      <sheetData sheetId="4"/>
      <sheetData sheetId="5">
        <row r="5">
          <cell r="L5" t="str">
            <v>Unit Value Block</v>
          </cell>
          <cell r="CM5" t="str">
            <v xml:space="preserve">Additional Spend Block </v>
          </cell>
          <cell r="ER5" t="str">
            <v>Total Spend Block</v>
          </cell>
        </row>
        <row r="6">
          <cell r="G6" t="str">
            <v xml:space="preserve"> Early Years Pupils funded by the Early Years Single Funding Formula - base rates</v>
          </cell>
          <cell r="O6" t="str">
            <v>Funding Provided above the F E in Maintained Providers</v>
          </cell>
          <cell r="U6" t="str">
            <v xml:space="preserve"> Primary : Funding for children admitted to school and in reception classes: pupils funded by year/age groups  -  age-weighted funding primary schools</v>
          </cell>
          <cell r="AM6" t="str">
            <v>SECONDARY:Funding for children admitted to school and in reception classes:  Pupils funded by year/age groups  -  age-weighted funding Secondary schools</v>
          </cell>
          <cell r="BE6" t="str">
            <v>SPECIAL: Place-led funding</v>
          </cell>
          <cell r="BS6" t="str">
            <v>Early Years Specific Factors</v>
          </cell>
          <cell r="CF6" t="str">
            <v>Additional Pupil Led Funding</v>
          </cell>
          <cell r="CN6" t="str">
            <v xml:space="preserve">EFA funding </v>
          </cell>
          <cell r="CQ6" t="str">
            <v>AEN-Learning needs associated with EAL</v>
          </cell>
          <cell r="CU6" t="str">
            <v>Individually assigned resources</v>
          </cell>
          <cell r="CX6" t="str">
            <v>Funding for designated special classes and units</v>
          </cell>
          <cell r="DA6" t="str">
            <v>All other SEN funding</v>
          </cell>
          <cell r="DD6" t="str">
            <v xml:space="preserve">AEN - Including other learning and social needs </v>
          </cell>
          <cell r="DJ6" t="str">
            <v>Premises factors - general</v>
          </cell>
          <cell r="DR6" t="str">
            <v>Premises factors - exceptional circumstances</v>
          </cell>
          <cell r="DY6" t="str">
            <v>School-specific factors - general</v>
          </cell>
          <cell r="EC6" t="str">
            <v>School-specific factors - exceptional circumstances</v>
          </cell>
          <cell r="EF6" t="str">
            <v>Historical grants factors</v>
          </cell>
          <cell r="EI6" t="str">
            <v>Budget adjustments</v>
          </cell>
          <cell r="EV6" t="str">
            <v>MFG Variation Applied</v>
          </cell>
          <cell r="EY6" t="str">
            <v>Other</v>
          </cell>
        </row>
        <row r="7">
          <cell r="G7" t="str">
            <v>Maintained Nursery</v>
          </cell>
          <cell r="H7" t="str">
            <v>School Based Nursery</v>
          </cell>
          <cell r="I7" t="str">
            <v>PVI Pre School Nursery</v>
          </cell>
          <cell r="J7" t="str">
            <v>PVI Day Nursery</v>
          </cell>
          <cell r="L7" t="str">
            <v>Total Early Years
 age-weighted funding</v>
          </cell>
          <cell r="M7" t="str">
            <v>Total estimated hours used in budgets</v>
          </cell>
          <cell r="N7" t="str">
            <v>Total Early Years FTE</v>
          </cell>
          <cell r="S7" t="str">
            <v>Total Additional Funding Provided above the FE in maintained providers</v>
          </cell>
          <cell r="T7" t="str">
            <v>Total estimated additional hours used in budgets</v>
          </cell>
          <cell r="U7" t="str">
            <v>Reception</v>
          </cell>
          <cell r="Y7" t="str">
            <v>Key Stage 1 -Year 1</v>
          </cell>
          <cell r="Z7" t="str">
            <v>Key Stage 1 -Year 2</v>
          </cell>
          <cell r="AA7" t="str">
            <v>Key Stage 2 -Year 3</v>
          </cell>
          <cell r="AB7" t="str">
            <v>Key Stage 2 -Year 4</v>
          </cell>
          <cell r="AC7" t="str">
            <v>Key Stage 2 -Year 5</v>
          </cell>
          <cell r="AD7" t="str">
            <v>Key Stage 2 -Year 6</v>
          </cell>
          <cell r="AK7" t="str">
            <v>Total Primary
age-weighted funding</v>
          </cell>
          <cell r="AL7" t="str">
            <v>Total Primary FTE</v>
          </cell>
          <cell r="AW7" t="str">
            <v>Key Stage 3 -Year 7</v>
          </cell>
          <cell r="AX7" t="str">
            <v>Key Stage 3 -Year 8</v>
          </cell>
          <cell r="AY7" t="str">
            <v>Key Stage 3 -Year 9</v>
          </cell>
          <cell r="AZ7" t="str">
            <v>Key Stage 4 -Year 10</v>
          </cell>
          <cell r="BA7" t="str">
            <v>Key Stage 4 -Year 11</v>
          </cell>
          <cell r="BB7" t="str">
            <v>Retakes (Year 12+)</v>
          </cell>
          <cell r="BC7" t="str">
            <v>Total Secondary
age-weighted funding</v>
          </cell>
          <cell r="BD7" t="str">
            <v>Total Secondary FTE</v>
          </cell>
          <cell r="BE7" t="str">
            <v>Band 2 Y7+</v>
          </cell>
          <cell r="BF7" t="str">
            <v>Band 3 Y3-6</v>
          </cell>
          <cell r="BG7" t="str">
            <v>Band 3 Y7+</v>
          </cell>
          <cell r="BH7" t="str">
            <v>Band 4 Y1-2</v>
          </cell>
          <cell r="BI7" t="str">
            <v>Band 4 Y3-6</v>
          </cell>
          <cell r="BJ7" t="str">
            <v>Band 4 Y7+</v>
          </cell>
          <cell r="BK7" t="str">
            <v>Band 5 Y1-2</v>
          </cell>
          <cell r="BL7" t="str">
            <v>Band 5 Y3-6</v>
          </cell>
          <cell r="BM7" t="str">
            <v>Band 5 Y7+</v>
          </cell>
          <cell r="BN7" t="str">
            <v>Residential Band 4 7+</v>
          </cell>
          <cell r="BO7" t="str">
            <v>Residential Band 5 7+</v>
          </cell>
          <cell r="BP7" t="str">
            <v>Total Special Place-led funding</v>
          </cell>
          <cell r="BQ7" t="str">
            <v>Total Special FTE</v>
          </cell>
          <cell r="BS7" t="str">
            <v>Deprivation</v>
          </cell>
          <cell r="BT7" t="str">
            <v>Maintained Nursery Base</v>
          </cell>
          <cell r="BU7" t="str">
            <v>EAL</v>
          </cell>
          <cell r="BV7" t="str">
            <v>Retrospective Adjustment - TA Hours</v>
          </cell>
          <cell r="BW7" t="str">
            <v>Rates</v>
          </cell>
          <cell r="BX7" t="str">
            <v>Retrospective Adjustment - EYSFF</v>
          </cell>
          <cell r="BY7" t="str">
            <v>Individually Assigned Resources</v>
          </cell>
          <cell r="BZ7" t="str">
            <v>Vulnerable Children</v>
          </cell>
          <cell r="CA7" t="str">
            <v>PVI Funding Cap</v>
          </cell>
          <cell r="CB7" t="str">
            <v>Enhanced Resource School Funding</v>
          </cell>
          <cell r="CC7" t="str">
            <v>Minimum Funding Guarantee</v>
          </cell>
          <cell r="CD7" t="str">
            <v>Transitional Provision</v>
          </cell>
          <cell r="CE7" t="str">
            <v xml:space="preserve">Total Early Years Specific Factors </v>
          </cell>
          <cell r="CF7" t="str">
            <v>KS1 Alternative Funding Routes Class Based</v>
          </cell>
          <cell r="CI7" t="str">
            <v>Catering Free School Meals - Special Schools</v>
          </cell>
          <cell r="CJ7" t="str">
            <v>Insurance Pupil Numbers</v>
          </cell>
          <cell r="CK7" t="str">
            <v>Pupil Number Allocation</v>
          </cell>
          <cell r="CL7" t="str">
            <v>Catering Paid Meals</v>
          </cell>
          <cell r="CM7" t="str">
            <v>Total Additional Funding</v>
          </cell>
          <cell r="CN7" t="str">
            <v>EFA Grant Allocation Funding Sixth Form Pupils</v>
          </cell>
          <cell r="CO7" t="str">
            <v>EFA Teachers Pay Grant</v>
          </cell>
          <cell r="CP7" t="str">
            <v xml:space="preserve">Total EFA funding   </v>
          </cell>
          <cell r="CQ7" t="str">
            <v>Mobility SEN/EAL Factor</v>
          </cell>
          <cell r="CR7" t="str">
            <v>Access EAL</v>
          </cell>
          <cell r="CS7" t="str">
            <v>EAL Underachieving</v>
          </cell>
          <cell r="CT7" t="str">
            <v>Total AEN Learning needs associated with EAL</v>
          </cell>
          <cell r="CU7" t="str">
            <v>Named Pupil - Teaching Assistant Hours</v>
          </cell>
          <cell r="CV7" t="str">
            <v>Named Pupil - Children Out of Catchment Area Teaching Assistant Hours</v>
          </cell>
          <cell r="CW7" t="str">
            <v>Total Individually assigned resources</v>
          </cell>
          <cell r="CX7" t="str">
            <v>Enhanced Resource Schools</v>
          </cell>
          <cell r="CZ7" t="str">
            <v xml:space="preserve"> Total Funding for designated special classes and units</v>
          </cell>
          <cell r="DC7" t="str">
            <v>Total All other SEN funding</v>
          </cell>
          <cell r="DD7" t="str">
            <v>Social Deprivation</v>
          </cell>
          <cell r="DE7" t="str">
            <v>Index of Multiple Deprivation Funding</v>
          </cell>
          <cell r="DF7" t="str">
            <v>Vulnerable Children</v>
          </cell>
          <cell r="DG7" t="str">
            <v>Non-Statemented KS2 Prior Attainment</v>
          </cell>
          <cell r="DH7" t="str">
            <v>Inclusion</v>
          </cell>
          <cell r="DI7" t="str">
            <v>Total AEN - Including other learning and social needs</v>
          </cell>
          <cell r="DJ7" t="str">
            <v>Insurance</v>
          </cell>
          <cell r="DK7" t="str">
            <v>Rates</v>
          </cell>
          <cell r="DL7" t="str">
            <v>Maintenance - Assessed Need</v>
          </cell>
          <cell r="DM7" t="str">
            <v>Block Base Budget</v>
          </cell>
          <cell r="DN7" t="str">
            <v>Residential Base Budget</v>
          </cell>
          <cell r="DO7" t="str">
            <v>Floor Area - Special Schools</v>
          </cell>
          <cell r="DP7" t="str">
            <v>Pupil Density - Special Schools</v>
          </cell>
          <cell r="DQ7" t="str">
            <v>Total Premises factors - general</v>
          </cell>
          <cell r="DR7" t="str">
            <v>PFI Factor</v>
          </cell>
          <cell r="DS7" t="str">
            <v>PFI BSF Factor</v>
          </cell>
          <cell r="DT7" t="str">
            <v>PFI Utility Factor</v>
          </cell>
          <cell r="DU7" t="str">
            <v>Split Site Budget</v>
          </cell>
          <cell r="DV7" t="str">
            <v>Hydrotherapy Pool</v>
          </cell>
          <cell r="DW7" t="str">
            <v>Nursing - Special Schools</v>
          </cell>
          <cell r="DX7" t="str">
            <v>Total Premises factors - exceptional circumstances</v>
          </cell>
          <cell r="DY7" t="str">
            <v>Mobility - Pupil Turnover</v>
          </cell>
          <cell r="DZ7" t="str">
            <v>Admissions</v>
          </cell>
          <cell r="EA7" t="str">
            <v>Small School Protection</v>
          </cell>
          <cell r="EB7" t="str">
            <v>Total School-specific factors - general</v>
          </cell>
          <cell r="EE7" t="str">
            <v>Total School-specific factors - exceptional circumstances</v>
          </cell>
          <cell r="EH7" t="str">
            <v>Total Historical grants factors</v>
          </cell>
          <cell r="EI7" t="str">
            <v>Transitional provision</v>
          </cell>
          <cell r="EK7" t="str">
            <v>Abatement of Secondary Funding</v>
          </cell>
          <cell r="EL7" t="str">
            <v>Retrospective Adjustments - TA Hours</v>
          </cell>
          <cell r="EM7" t="str">
            <v>Retrospective Adjustments - ERS Places</v>
          </cell>
          <cell r="EO7" t="str">
            <v>Total budget adjustments</v>
          </cell>
          <cell r="EP7" t="str">
            <v xml:space="preserve">
Minimum Funding Guarantee</v>
          </cell>
          <cell r="EQ7" t="str">
            <v>Total Early Years funding</v>
          </cell>
          <cell r="ER7" t="str">
            <v xml:space="preserve">
Total Budget Share</v>
          </cell>
          <cell r="ES7" t="str">
            <v xml:space="preserve">  EFA numbers (Jan 2012)</v>
          </cell>
          <cell r="ET7" t="str">
            <v xml:space="preserve">
Total January 2012 Pupil Count (FTE registered pupils)</v>
          </cell>
          <cell r="EU7" t="str">
            <v xml:space="preserve"> £ per pupil</v>
          </cell>
          <cell r="EV7" t="str">
            <v>If a variation has been applied for any of your schools can you please provide more information in the description cell provided below</v>
          </cell>
          <cell r="EW7" t="str">
            <v>Pupil Premium Allocated to Schools</v>
          </cell>
          <cell r="EX7" t="str">
            <v xml:space="preserve">
Threshold and Performance Pay</v>
          </cell>
          <cell r="EY7" t="str">
            <v xml:space="preserve">
Support for Schools in Financial Difficulty</v>
          </cell>
          <cell r="EZ7" t="str">
            <v xml:space="preserve">
Notional SEN Budget</v>
          </cell>
        </row>
        <row r="8">
          <cell r="B8" t="str">
            <v>All Through Schools and Federated Indicator</v>
          </cell>
          <cell r="C8" t="str">
            <v>School name</v>
          </cell>
          <cell r="D8" t="str">
            <v xml:space="preserve"> DfE number</v>
          </cell>
          <cell r="E8" t="str">
            <v xml:space="preserve">
School Opening / Closing/ Converting</v>
          </cell>
          <cell r="F8" t="str">
            <v xml:space="preserve"> 
Date Opening / Closing</v>
          </cell>
          <cell r="BR8" t="str">
            <v xml:space="preserve">Additional Spend Block </v>
          </cell>
        </row>
        <row r="9">
          <cell r="G9" t="str">
            <v>HOURS</v>
          </cell>
          <cell r="H9" t="str">
            <v>HOURS</v>
          </cell>
          <cell r="I9" t="str">
            <v>HOURS</v>
          </cell>
          <cell r="J9" t="str">
            <v>HOURS</v>
          </cell>
          <cell r="K9" t="str">
            <v>HOURS</v>
          </cell>
          <cell r="L9" t="str">
            <v>£</v>
          </cell>
          <cell r="M9" t="str">
            <v>HOURS</v>
          </cell>
          <cell r="N9" t="str">
            <v>FTE</v>
          </cell>
          <cell r="O9" t="str">
            <v>HOURS</v>
          </cell>
          <cell r="P9" t="str">
            <v>HOURS</v>
          </cell>
          <cell r="Q9" t="str">
            <v>HOURS</v>
          </cell>
          <cell r="R9" t="str">
            <v>HOURS</v>
          </cell>
          <cell r="S9" t="str">
            <v>£</v>
          </cell>
          <cell r="T9" t="str">
            <v>HOURS</v>
          </cell>
          <cell r="U9" t="str">
            <v>PUPILS</v>
          </cell>
          <cell r="V9" t="str">
            <v>PUPILS</v>
          </cell>
          <cell r="W9" t="str">
            <v>PUPILS</v>
          </cell>
          <cell r="X9" t="str">
            <v>PUPILS</v>
          </cell>
          <cell r="Y9" t="str">
            <v>PUPILS</v>
          </cell>
          <cell r="Z9" t="str">
            <v>PUPILS</v>
          </cell>
          <cell r="AA9" t="str">
            <v>PUPILS</v>
          </cell>
          <cell r="AB9" t="str">
            <v>PUPILS</v>
          </cell>
          <cell r="AC9" t="str">
            <v>PUPILS</v>
          </cell>
          <cell r="AD9" t="str">
            <v>PUPILS</v>
          </cell>
          <cell r="AE9" t="str">
            <v>PUPILS</v>
          </cell>
          <cell r="AF9" t="str">
            <v>PUPILS</v>
          </cell>
          <cell r="AG9" t="str">
            <v>PUPILS</v>
          </cell>
          <cell r="AH9" t="str">
            <v>PUPILS</v>
          </cell>
          <cell r="AI9" t="str">
            <v>PUPILS</v>
          </cell>
          <cell r="AJ9" t="str">
            <v>PUPILS</v>
          </cell>
          <cell r="AL9" t="str">
            <v>FTE</v>
          </cell>
          <cell r="AM9" t="str">
            <v>PUPILS</v>
          </cell>
          <cell r="AN9" t="str">
            <v>PUPILS</v>
          </cell>
          <cell r="AO9" t="str">
            <v>PUPILS</v>
          </cell>
          <cell r="AP9" t="str">
            <v>PUPILS</v>
          </cell>
          <cell r="AQ9" t="str">
            <v>PUPILS</v>
          </cell>
          <cell r="AR9" t="str">
            <v>PUPILS</v>
          </cell>
          <cell r="AS9" t="str">
            <v>PUPILS</v>
          </cell>
          <cell r="AT9" t="str">
            <v>PUPILS</v>
          </cell>
          <cell r="AU9" t="str">
            <v>PUPILS</v>
          </cell>
          <cell r="AV9" t="str">
            <v>PUPILS</v>
          </cell>
          <cell r="AW9" t="str">
            <v>PUPILS</v>
          </cell>
          <cell r="AX9" t="str">
            <v>PUPILS</v>
          </cell>
          <cell r="AY9" t="str">
            <v>PUPILS</v>
          </cell>
          <cell r="AZ9" t="str">
            <v>PUPILS</v>
          </cell>
          <cell r="BA9" t="str">
            <v>PUPILS</v>
          </cell>
          <cell r="BB9" t="str">
            <v>PUPILS</v>
          </cell>
          <cell r="BD9" t="str">
            <v>FTE</v>
          </cell>
          <cell r="BE9" t="str">
            <v>PLACES</v>
          </cell>
          <cell r="BF9" t="str">
            <v>PLACES</v>
          </cell>
          <cell r="BG9" t="str">
            <v>PLACES</v>
          </cell>
          <cell r="BH9" t="str">
            <v>PLACES</v>
          </cell>
          <cell r="BI9" t="str">
            <v>PLACES</v>
          </cell>
          <cell r="BJ9" t="str">
            <v>PLACES</v>
          </cell>
          <cell r="BK9" t="str">
            <v>PLACES</v>
          </cell>
          <cell r="BL9" t="str">
            <v>PLACES</v>
          </cell>
          <cell r="BM9" t="str">
            <v>PLACES</v>
          </cell>
          <cell r="BN9" t="str">
            <v>PLACES</v>
          </cell>
          <cell r="BO9" t="str">
            <v>PLACES</v>
          </cell>
          <cell r="BQ9" t="str">
            <v>FTE</v>
          </cell>
          <cell r="BS9" t="str">
            <v>£</v>
          </cell>
          <cell r="BT9" t="str">
            <v>£</v>
          </cell>
          <cell r="BU9" t="str">
            <v>£</v>
          </cell>
          <cell r="BV9" t="str">
            <v>£</v>
          </cell>
          <cell r="BW9" t="str">
            <v>£</v>
          </cell>
          <cell r="BX9" t="str">
            <v>£</v>
          </cell>
          <cell r="BY9" t="str">
            <v>£</v>
          </cell>
          <cell r="BZ9" t="str">
            <v>£</v>
          </cell>
          <cell r="CA9" t="str">
            <v>£</v>
          </cell>
          <cell r="CB9" t="str">
            <v>£</v>
          </cell>
          <cell r="CC9" t="str">
            <v>£</v>
          </cell>
          <cell r="CD9" t="str">
            <v>£</v>
          </cell>
          <cell r="CE9" t="str">
            <v>£</v>
          </cell>
          <cell r="CF9" t="str">
            <v>£</v>
          </cell>
          <cell r="CG9" t="str">
            <v>£</v>
          </cell>
          <cell r="CH9" t="str">
            <v>£</v>
          </cell>
          <cell r="CI9" t="str">
            <v>£</v>
          </cell>
          <cell r="CJ9" t="str">
            <v>£</v>
          </cell>
          <cell r="CK9" t="str">
            <v>£</v>
          </cell>
          <cell r="CL9" t="str">
            <v>£</v>
          </cell>
          <cell r="CM9" t="str">
            <v>£</v>
          </cell>
          <cell r="CN9" t="str">
            <v>£</v>
          </cell>
          <cell r="CO9" t="str">
            <v>£</v>
          </cell>
          <cell r="CP9" t="str">
            <v>£</v>
          </cell>
          <cell r="CQ9" t="str">
            <v>£</v>
          </cell>
          <cell r="CR9" t="str">
            <v>£</v>
          </cell>
          <cell r="CS9" t="str">
            <v>£</v>
          </cell>
          <cell r="CT9" t="str">
            <v>£</v>
          </cell>
          <cell r="CU9" t="str">
            <v>£</v>
          </cell>
          <cell r="CV9" t="str">
            <v>£</v>
          </cell>
          <cell r="CW9" t="str">
            <v>£</v>
          </cell>
          <cell r="CX9" t="str">
            <v>£</v>
          </cell>
          <cell r="CY9" t="str">
            <v>£</v>
          </cell>
          <cell r="CZ9" t="str">
            <v>£</v>
          </cell>
          <cell r="DA9" t="str">
            <v>£</v>
          </cell>
          <cell r="DB9" t="str">
            <v>£</v>
          </cell>
          <cell r="DC9" t="str">
            <v>£</v>
          </cell>
          <cell r="DD9" t="str">
            <v>£</v>
          </cell>
          <cell r="DE9" t="str">
            <v>£</v>
          </cell>
          <cell r="DF9" t="str">
            <v>£</v>
          </cell>
          <cell r="DG9" t="str">
            <v>£</v>
          </cell>
          <cell r="DH9" t="str">
            <v>£</v>
          </cell>
          <cell r="DI9" t="str">
            <v>£</v>
          </cell>
          <cell r="DJ9" t="str">
            <v>£</v>
          </cell>
          <cell r="DK9" t="str">
            <v>£</v>
          </cell>
          <cell r="DL9" t="str">
            <v>£</v>
          </cell>
          <cell r="DM9" t="str">
            <v>£</v>
          </cell>
          <cell r="DN9" t="str">
            <v>£</v>
          </cell>
          <cell r="DO9" t="str">
            <v>£</v>
          </cell>
          <cell r="DP9" t="str">
            <v>£</v>
          </cell>
          <cell r="DQ9" t="str">
            <v>£</v>
          </cell>
          <cell r="DR9" t="str">
            <v>£</v>
          </cell>
          <cell r="DS9" t="str">
            <v>£</v>
          </cell>
          <cell r="DT9" t="str">
            <v>£</v>
          </cell>
          <cell r="DU9" t="str">
            <v>£</v>
          </cell>
          <cell r="DV9" t="str">
            <v>£</v>
          </cell>
          <cell r="DW9" t="str">
            <v>£</v>
          </cell>
          <cell r="DX9" t="str">
            <v>£</v>
          </cell>
          <cell r="DY9" t="str">
            <v>£</v>
          </cell>
          <cell r="DZ9" t="str">
            <v>£</v>
          </cell>
          <cell r="EA9" t="str">
            <v>£</v>
          </cell>
          <cell r="EB9" t="str">
            <v>£</v>
          </cell>
          <cell r="EC9" t="str">
            <v>£</v>
          </cell>
          <cell r="ED9" t="str">
            <v>£</v>
          </cell>
          <cell r="EE9" t="str">
            <v>£</v>
          </cell>
          <cell r="EF9" t="str">
            <v>£</v>
          </cell>
          <cell r="EG9" t="str">
            <v>£</v>
          </cell>
          <cell r="EH9" t="str">
            <v>£</v>
          </cell>
          <cell r="EI9" t="str">
            <v>£</v>
          </cell>
          <cell r="EJ9" t="str">
            <v>£</v>
          </cell>
          <cell r="EK9" t="str">
            <v>£</v>
          </cell>
          <cell r="EL9" t="str">
            <v>£</v>
          </cell>
          <cell r="EM9" t="str">
            <v>£</v>
          </cell>
          <cell r="EN9" t="str">
            <v>£</v>
          </cell>
          <cell r="EO9" t="str">
            <v>£</v>
          </cell>
        </row>
        <row r="10">
          <cell r="A10" t="str">
            <v>Column Status</v>
          </cell>
          <cell r="G10" t="str">
            <v>Include</v>
          </cell>
          <cell r="H10" t="str">
            <v>Include</v>
          </cell>
          <cell r="I10" t="str">
            <v>Include</v>
          </cell>
          <cell r="J10" t="str">
            <v>Include</v>
          </cell>
          <cell r="K10" t="str">
            <v>Exclude</v>
          </cell>
          <cell r="L10" t="str">
            <v>Group Total</v>
          </cell>
          <cell r="M10" t="str">
            <v>Group Total</v>
          </cell>
          <cell r="N10" t="str">
            <v>Group Total</v>
          </cell>
          <cell r="O10" t="str">
            <v>Exclude</v>
          </cell>
          <cell r="P10" t="str">
            <v>Exclude</v>
          </cell>
          <cell r="Q10" t="str">
            <v>Exclude</v>
          </cell>
          <cell r="R10" t="str">
            <v>Exclude</v>
          </cell>
          <cell r="S10" t="str">
            <v>Group Total</v>
          </cell>
          <cell r="T10" t="str">
            <v>Group Total</v>
          </cell>
          <cell r="U10" t="str">
            <v>Include</v>
          </cell>
          <cell r="V10" t="str">
            <v>Exclude</v>
          </cell>
          <cell r="W10" t="str">
            <v>Exclude</v>
          </cell>
          <cell r="X10" t="str">
            <v>Exclude</v>
          </cell>
          <cell r="Y10" t="str">
            <v>Include</v>
          </cell>
          <cell r="Z10" t="str">
            <v>Include</v>
          </cell>
          <cell r="AA10" t="str">
            <v>Include</v>
          </cell>
          <cell r="AB10" t="str">
            <v>Include</v>
          </cell>
          <cell r="AC10" t="str">
            <v>Include</v>
          </cell>
          <cell r="AD10" t="str">
            <v>Include</v>
          </cell>
          <cell r="AE10" t="str">
            <v>Exclude</v>
          </cell>
          <cell r="AF10" t="str">
            <v>Exclude</v>
          </cell>
          <cell r="AG10" t="str">
            <v>Exclude</v>
          </cell>
          <cell r="AH10" t="str">
            <v>Exclude</v>
          </cell>
          <cell r="AI10" t="str">
            <v>Exclude</v>
          </cell>
          <cell r="AJ10" t="str">
            <v>Exclude</v>
          </cell>
          <cell r="AK10" t="str">
            <v>Group Total</v>
          </cell>
          <cell r="AL10" t="str">
            <v>Group Total</v>
          </cell>
          <cell r="AM10" t="str">
            <v>Exclude</v>
          </cell>
          <cell r="AN10" t="str">
            <v>Exclude</v>
          </cell>
          <cell r="AO10" t="str">
            <v>Exclude</v>
          </cell>
          <cell r="AP10" t="str">
            <v>Exclude</v>
          </cell>
          <cell r="AQ10" t="str">
            <v>Exclude</v>
          </cell>
          <cell r="AR10" t="str">
            <v>Exclude</v>
          </cell>
          <cell r="AS10" t="str">
            <v>Exclude</v>
          </cell>
          <cell r="AT10" t="str">
            <v>Exclude</v>
          </cell>
          <cell r="AU10" t="str">
            <v>Exclude</v>
          </cell>
          <cell r="AV10" t="str">
            <v>Exclude</v>
          </cell>
          <cell r="AW10" t="str">
            <v>Include</v>
          </cell>
          <cell r="AX10" t="str">
            <v>Include</v>
          </cell>
          <cell r="AY10" t="str">
            <v>Include</v>
          </cell>
          <cell r="AZ10" t="str">
            <v>Include</v>
          </cell>
          <cell r="BA10" t="str">
            <v>Include</v>
          </cell>
          <cell r="BB10" t="str">
            <v>Include</v>
          </cell>
          <cell r="BC10" t="str">
            <v>Group Total</v>
          </cell>
          <cell r="BD10" t="str">
            <v>Group Total</v>
          </cell>
          <cell r="BE10" t="str">
            <v>Include</v>
          </cell>
          <cell r="BF10" t="str">
            <v>Include</v>
          </cell>
          <cell r="BG10" t="str">
            <v>Include</v>
          </cell>
          <cell r="BH10" t="str">
            <v>Include</v>
          </cell>
          <cell r="BI10" t="str">
            <v>Include</v>
          </cell>
          <cell r="BJ10" t="str">
            <v>Include</v>
          </cell>
          <cell r="BK10" t="str">
            <v>Include</v>
          </cell>
          <cell r="BL10" t="str">
            <v>Include</v>
          </cell>
          <cell r="BM10" t="str">
            <v>Include</v>
          </cell>
          <cell r="BN10" t="str">
            <v>Include</v>
          </cell>
          <cell r="BO10" t="str">
            <v>Include</v>
          </cell>
          <cell r="BP10" t="str">
            <v>Group Total</v>
          </cell>
          <cell r="BQ10" t="str">
            <v>Group Total</v>
          </cell>
          <cell r="BR10" t="str">
            <v>group total</v>
          </cell>
          <cell r="BS10" t="str">
            <v>Include</v>
          </cell>
          <cell r="BT10" t="str">
            <v>Include</v>
          </cell>
          <cell r="BU10" t="str">
            <v>Include</v>
          </cell>
          <cell r="BV10" t="str">
            <v>Include</v>
          </cell>
          <cell r="BW10" t="str">
            <v>Include</v>
          </cell>
          <cell r="BX10" t="str">
            <v>Include</v>
          </cell>
          <cell r="BY10" t="str">
            <v>Include</v>
          </cell>
          <cell r="BZ10" t="str">
            <v>Include</v>
          </cell>
          <cell r="CA10" t="str">
            <v>Include</v>
          </cell>
          <cell r="CB10" t="str">
            <v>Include</v>
          </cell>
          <cell r="CC10" t="str">
            <v>Include</v>
          </cell>
          <cell r="CD10" t="str">
            <v>Include</v>
          </cell>
          <cell r="CE10" t="str">
            <v>Group Total</v>
          </cell>
          <cell r="CF10" t="str">
            <v>Include</v>
          </cell>
          <cell r="CG10" t="str">
            <v>Exclude</v>
          </cell>
          <cell r="CH10" t="str">
            <v>Exclude</v>
          </cell>
          <cell r="CI10" t="str">
            <v>Include</v>
          </cell>
          <cell r="CJ10" t="str">
            <v>Include</v>
          </cell>
          <cell r="CK10" t="str">
            <v>Include</v>
          </cell>
          <cell r="CL10" t="str">
            <v>Include</v>
          </cell>
          <cell r="CM10" t="str">
            <v>Group Total</v>
          </cell>
          <cell r="CN10" t="str">
            <v>Include</v>
          </cell>
          <cell r="CO10" t="str">
            <v>Include</v>
          </cell>
          <cell r="CP10" t="str">
            <v>Group Total</v>
          </cell>
          <cell r="CQ10" t="str">
            <v>Include</v>
          </cell>
          <cell r="CR10" t="str">
            <v>Include</v>
          </cell>
          <cell r="CS10" t="str">
            <v>Include</v>
          </cell>
          <cell r="CT10" t="str">
            <v>Group Total</v>
          </cell>
          <cell r="CU10" t="str">
            <v>Include</v>
          </cell>
          <cell r="CV10" t="str">
            <v>Include</v>
          </cell>
          <cell r="CW10" t="str">
            <v>Group Total</v>
          </cell>
          <cell r="CX10" t="str">
            <v>Include</v>
          </cell>
          <cell r="CY10" t="str">
            <v>Exclude</v>
          </cell>
          <cell r="CZ10" t="str">
            <v>Group Total</v>
          </cell>
          <cell r="DA10" t="str">
            <v>Exclude</v>
          </cell>
          <cell r="DB10" t="str">
            <v>Exclude</v>
          </cell>
          <cell r="DC10" t="str">
            <v>Group Total</v>
          </cell>
          <cell r="DD10" t="str">
            <v>Include</v>
          </cell>
          <cell r="DE10" t="str">
            <v>Include</v>
          </cell>
          <cell r="DF10" t="str">
            <v>Include</v>
          </cell>
          <cell r="DG10" t="str">
            <v>Include</v>
          </cell>
          <cell r="DH10" t="str">
            <v>Include</v>
          </cell>
          <cell r="DI10" t="str">
            <v>Group Total</v>
          </cell>
          <cell r="DJ10" t="str">
            <v>Include</v>
          </cell>
          <cell r="DK10" t="str">
            <v>Include</v>
          </cell>
          <cell r="DL10" t="str">
            <v>Include</v>
          </cell>
          <cell r="DM10" t="str">
            <v>Include</v>
          </cell>
          <cell r="DN10" t="str">
            <v>Include</v>
          </cell>
          <cell r="DO10" t="str">
            <v>Include</v>
          </cell>
          <cell r="DP10" t="str">
            <v>Include</v>
          </cell>
          <cell r="DQ10" t="str">
            <v>Group Total</v>
          </cell>
          <cell r="DR10" t="str">
            <v>Include</v>
          </cell>
          <cell r="DS10" t="str">
            <v>Include</v>
          </cell>
          <cell r="DT10" t="str">
            <v>Include</v>
          </cell>
          <cell r="DU10" t="str">
            <v>Include</v>
          </cell>
          <cell r="DV10" t="str">
            <v>Include</v>
          </cell>
          <cell r="DW10" t="str">
            <v>Include</v>
          </cell>
          <cell r="DX10" t="str">
            <v>Group Total</v>
          </cell>
          <cell r="DY10" t="str">
            <v>Include</v>
          </cell>
          <cell r="DZ10" t="str">
            <v>Include</v>
          </cell>
          <cell r="EA10" t="str">
            <v>Include</v>
          </cell>
          <cell r="EB10" t="str">
            <v>Group Total</v>
          </cell>
          <cell r="EC10" t="str">
            <v>Exclude</v>
          </cell>
          <cell r="ED10" t="str">
            <v>Exclude</v>
          </cell>
          <cell r="EE10" t="str">
            <v>Group Total</v>
          </cell>
          <cell r="EF10" t="str">
            <v>Exclude</v>
          </cell>
          <cell r="EG10" t="str">
            <v>Exclude</v>
          </cell>
          <cell r="EH10" t="str">
            <v>Group Total</v>
          </cell>
          <cell r="EI10" t="str">
            <v>Include</v>
          </cell>
          <cell r="EJ10" t="str">
            <v>Exclude</v>
          </cell>
          <cell r="EK10" t="str">
            <v>Include</v>
          </cell>
          <cell r="EL10" t="str">
            <v>Include</v>
          </cell>
          <cell r="EM10" t="str">
            <v>Include</v>
          </cell>
          <cell r="EN10" t="str">
            <v>Exclude</v>
          </cell>
          <cell r="EO10" t="str">
            <v>Group Total</v>
          </cell>
        </row>
        <row r="11">
          <cell r="A11" t="str">
            <v>Methodology</v>
          </cell>
          <cell r="G11" t="str">
            <v>Maintained Nursery rate per hour obtained from costing exercise. Includes elements of buildings, and now elements of mainstreamed grants</v>
          </cell>
          <cell r="H11" t="str">
            <v>School based Nursery rate per hour obtained from costing exercise. Includes elements of buildings, and now elements of mainstreamed grants</v>
          </cell>
          <cell r="I11" t="str">
            <v xml:space="preserve">PVI Pre School average cost per hour from costing exercise </v>
          </cell>
          <cell r="J11" t="str">
            <v xml:space="preserve">PVI Day Nursery average cost per hour from costing exercise </v>
          </cell>
          <cell r="U11" t="str">
            <v>Pupils based on Jan 2012 Census by AWPU multiplier. This multiplier now includes an element of historical grants, as agreed after consultation with Schools Forum.</v>
          </cell>
          <cell r="Y11" t="str">
            <v>Pupils based on Jan 2012 Census by AWPU multiplier. This multiplier now includes an element of historical grants, as agreed after consultation with Schools Forum.</v>
          </cell>
          <cell r="Z11" t="str">
            <v>Pupils based on Jan 2012 Census by AWPU multiplier. This multiplier now includes an element of historical grants, as agreed after consultation with Schools Forum.</v>
          </cell>
          <cell r="AA11" t="str">
            <v>Pupils based on Jan 2012 Census by AWPU multiplier. This multiplier now includes an element of historical grants, as agreed after consultation with Schools Forum.</v>
          </cell>
          <cell r="AB11" t="str">
            <v>Pupils based on Jan 2012 Census by AWPU multiplier. This multiplier now includes an element of historical grants, as agreed after consultation with Schools Forum.</v>
          </cell>
          <cell r="AC11" t="str">
            <v>Pupils based on Jan 2012 Census by AWPU multiplier. This multiplier now includes an element of historical grants, as agreed after consultation with Schools Forum.</v>
          </cell>
          <cell r="AD11" t="str">
            <v>Pupils based on Jan 2012 Census by AWPU multiplier. This multiplier now includes an element of historical grants, as agreed after consultation with Schools Forum.</v>
          </cell>
          <cell r="AW11" t="str">
            <v>Pupils based on Jan 2012 Census by AWPU multiplier. This multiplier now includes an element of historical grants, as agreed after consultation with Schools Forum.</v>
          </cell>
          <cell r="AX11" t="str">
            <v>Pupils based on Jan 2012 Census by AWPU multiplier. This multiplier now includes an element of historical grants, as agreed after consultation with Schools Forum.</v>
          </cell>
          <cell r="AY11" t="str">
            <v>Pupils based on Jan 2012 Census by AWPU multiplier. This multiplier now includes an element of historical grants, as agreed after consultation with Schools Forum.</v>
          </cell>
          <cell r="AZ11" t="str">
            <v>Pupils based on Jan 2012 Census by AWPU multiplier. This multiplier now includes an element of historical grants, as agreed after consultation with Schools Forum.</v>
          </cell>
          <cell r="BA11" t="str">
            <v>Pupils based on Jan 2012 Census by AWPU multiplier. This multiplier now includes an element of historical grants, as agreed after consultation with Schools Forum.</v>
          </cell>
          <cell r="BB11" t="str">
            <v>Pupils based on Jan 2012 Census by AWPU multiplier. This multiplier now includes an element of historical grants, as agreed after consultation with Schools Forum.</v>
          </cell>
          <cell r="BE11" t="str">
            <v>An amount for each special needs place purchased by the LA</v>
          </cell>
          <cell r="BF11" t="str">
            <v>An amount for each special needs place purchased by the LA</v>
          </cell>
          <cell r="BG11" t="str">
            <v>An amount for each special needs place purchased by the LA</v>
          </cell>
          <cell r="BH11" t="str">
            <v>An amount for each special needs place purchased by the LA</v>
          </cell>
          <cell r="BI11" t="str">
            <v>An amount for each special needs place purchased by the LA</v>
          </cell>
          <cell r="BJ11" t="str">
            <v>An amount for each special needs place purchased by the LA</v>
          </cell>
          <cell r="BK11" t="str">
            <v>An amount for each special needs place purchased by the LA</v>
          </cell>
          <cell r="BL11" t="str">
            <v>An amount for each special needs place purchased by the LA</v>
          </cell>
          <cell r="BM11" t="str">
            <v>An amount for each special needs place purchased by the LA</v>
          </cell>
          <cell r="BN11" t="str">
            <v>An amount for each special needs place purchased by the LA</v>
          </cell>
          <cell r="BO11" t="str">
            <v>An amount for each special needs place purchased by the LA</v>
          </cell>
          <cell r="BR11" t="str">
            <v>Methodology</v>
          </cell>
          <cell r="BS11" t="str">
            <v xml:space="preserve">Hours of children in the IMD 40% most deprived areas, with a triple weighting for those in the top 20% deprived areas. </v>
          </cell>
          <cell r="BT11" t="str">
            <v>Base allocation for maintained Nursery Schools. This was calculated to allocate some of the historical grants to Nurseries following a consultation process and School Forum approval.</v>
          </cell>
          <cell r="BU11" t="str">
            <v>The number of underachieving pupils at January 2012 Census with English as an additional language by an hourly multiplier from EYSFF costing exercise.</v>
          </cell>
          <cell r="BV11" t="str">
            <v>Special needs TAs - actual hours allocated in January 2012 are compared with the estimate used in the 2011-12 budget and an adjustment is applied equal to 7/12 of the difference. Pupils with Statements - actual numbers of pupils in January 2012 are compar</v>
          </cell>
          <cell r="BW11" t="str">
            <v>Actual rates charge for 2012-13</v>
          </cell>
          <cell r="BX11" t="str">
            <v>Early Years Budget Adjustment to 2011-12 payments for Nurseries and Maintained Schools Nurseries</v>
          </cell>
          <cell r="BY11" t="str">
            <v>Teaching support - the number of pupils with statements, the  weighted average of 5/12 of the figure as at January 2012 and 7/12 of the estimate for January 2013.</v>
          </cell>
          <cell r="BZ11" t="str">
            <v>Number of children (in hours) known to Social Services by multiplier derived form EYSFF costing exercise</v>
          </cell>
          <cell r="CA11" t="str">
            <v>Ceiling of 3% Increase on prior year budget</v>
          </cell>
          <cell r="CB11" t="str">
            <v>Enhanced resource schools are funded according to the places purchased by the local authority at each school. There is a different tariff for each type of special need.</v>
          </cell>
          <cell r="CC11" t="str">
            <v>Early years Specific Minimum Funding Guarantee. To ensure that all Early Years Funding is captured in Early Years.</v>
          </cell>
          <cell r="CD11" t="str">
            <v>Provision at 50% to protect schools for deletion of AST funding as agreed with Schools Forum. This protection is for 2012-13 only.</v>
          </cell>
          <cell r="CF11" t="str">
            <v>An allocation is made to primary schools based on the school's standard number (SN). An SN up to 30 counts as one unit, 31-60 counts as 2 units, etc.</v>
          </cell>
          <cell r="CI11" t="str">
            <v>Multiplier by number of pupils per school taking free meals</v>
          </cell>
          <cell r="CJ11" t="str">
            <v>Multiplier by number of pupils for each school that has insurance function devolved</v>
          </cell>
          <cell r="CK11" t="str">
            <v>Multiplier by number of pupils in each school</v>
          </cell>
          <cell r="CL11" t="str">
            <v>Multiplier by number of pupils per school taking paid meals</v>
          </cell>
          <cell r="CN11" t="str">
            <v>Funding levels are allocated by the EFA. The allocation includes the main funding for the 2012-13 financial year.</v>
          </cell>
          <cell r="CO11" t="str">
            <v>Teachers Pay grant EFA funded - an amount per sixth form teacher entitled to performance pay</v>
          </cell>
          <cell r="CQ11" t="str">
            <v>Mobility SEN/EAL: 20% of previous years' growth is allocated though the number of pupils in the latest school census who arrived at the school in the past year and have English as an additional language or special educational needs.</v>
          </cell>
          <cell r="CR11" t="str">
            <v>The number of pupils at January 2012 Census with English as an additional language</v>
          </cell>
          <cell r="CS11" t="str">
            <v>The number of underachieving pupils at January 2012 Census with English as an additional language</v>
          </cell>
          <cell r="CU11" t="str">
            <v>Teaching support - the number of pupils with statements, the  weighted average of 5/12 of the figure as at January 2010 and 7/12 of the estimate for January 2011. The funding is only given for pupils with statements of more than 15 hours of support per we</v>
          </cell>
          <cell r="CV11" t="str">
            <v>Teaching support out of the catchment area - the number of pupils with statements who live outside the school's normal catchment area.</v>
          </cell>
          <cell r="CX11" t="str">
            <v>Enhanced resource schools are funded according to the places purchased by the local authority at each school. There is a different tariff for each type of special need.</v>
          </cell>
          <cell r="DD11" t="str">
            <v>Social deprivation -calculated by taking the percentage of pupils entitled to free school meals and multiplying it by the Net Pupil Numbers</v>
          </cell>
          <cell r="DE11" t="str">
            <v>IMD: 80% of previous growth is allocated through the number of pupils in the IMD 40% most deprived areas, with a triple weighting for those in the 20% most deprived areas. This year an additional amount of funding has been allocated through this factor fr</v>
          </cell>
          <cell r="DF11" t="str">
            <v>Vulnerable children - numbers of children known to Social Services</v>
          </cell>
          <cell r="DG11" t="str">
            <v>KS2 prior attainment - allocations based on the number of pupils achieving below level 4 at KS2, with a double weighting for those achieving below level 3</v>
          </cell>
          <cell r="DH11" t="str">
            <v>Inclusion - funding calculated using a mixture of a base allocation for each secondary school and a weighted combination of total pupil turnover as at January Census, pupils with free meal funding and the pupil turnover numbers .</v>
          </cell>
          <cell r="DJ11" t="str">
            <v>Premises insurance - unit value multiplied by the reinstatement value of the building (expressed in £100,000s) where schools have requested delegation</v>
          </cell>
          <cell r="DK11" t="str">
            <v>Actual Charge for 2012-13</v>
          </cell>
          <cell r="DL11" t="str">
            <v>Maintenance (Assessed Need) - floor area multiplied by condition factor,  where 1 is best condition and 5 is worst</v>
          </cell>
          <cell r="DM11" t="str">
            <v>Base - Lump sum allocation. Includes premium for small schools of £4,649 for Primary Schools with less than 200 pupils. Includes elements of historical grants following consultation with Schools Forum. Bases vary slightly for Special Schools due to indivi</v>
          </cell>
          <cell r="DN11" t="str">
            <v>Base - lump sum allocation for residential schools</v>
          </cell>
          <cell r="DO11" t="str">
            <v>Floor area - total area of the building in square metres. There is a weighting of 1.5 for residential special needs</v>
          </cell>
          <cell r="DP11" t="str">
            <v>Maintenance (Pupil density) - unit value multiplied by pupil numbers, divided by floor area and multiplied again by pupil numbers</v>
          </cell>
          <cell r="DR11" t="str">
            <v>PFI - actual cost of the addition to the main unitary charge</v>
          </cell>
          <cell r="DS11" t="str">
            <v>PFI - actual cost of the addition to the main unitary charge BSF related</v>
          </cell>
          <cell r="DT11" t="str">
            <v>PFI Utility Factor - compensation for increased utility bills in PFI schools</v>
          </cell>
          <cell r="DU11" t="str">
            <v xml:space="preserve">Split site - lump sum allocation for schools with buildings on more than one site. Split site index - number of year groups on the minor site multiplied by total pupil numbers. Split site base - lump sum allocation for schools with buildings on more than </v>
          </cell>
          <cell r="DV11" t="str">
            <v>Budget for Hydrotherapy Pool at Special school</v>
          </cell>
          <cell r="DW11" t="str">
            <v>Nursing  - banded allocations, the amount for each school depends on the pupil profile in each school</v>
          </cell>
          <cell r="DY11" t="str">
            <v>Additional pupils arriving at school in addition to normal intake for school attract funding for the process.</v>
          </cell>
          <cell r="DZ11" t="str">
            <v>Admissions - total pupil numbers (aided and cheque book schools only)</v>
          </cell>
          <cell r="EA11" t="str">
            <v>Small schools curriculum - secondary funding for schools with less than 750 pupils and primaries with less than 160 pupils. The actual pupil numbers are subtracted from 750/160 and the resulting number is multiplied by the unit value.</v>
          </cell>
          <cell r="EI11" t="str">
            <v>Provision at 50% to protect schools for deletion of AST funding as agreed with Schools Forum. This protection is for 2012-13 only.</v>
          </cell>
          <cell r="EK11" t="str">
            <v>The percentage of the total number of pupils in the Sixth Form is applied to the total of all formula factors, excluding age weighted funding and LSC allocations. Where a school has an enhanced resource unit, the deduction from the funding for these place</v>
          </cell>
          <cell r="EL11" t="str">
            <v>Special needs TAs - actual hours allocated in January 2012 are compared with the estimate used in the 2011-12 budget and an adjustment is applied equal to 7/12 of the difference. Pupils with Statements - actual numbers of pupils in January 2012 are compar</v>
          </cell>
          <cell r="EM11" t="str">
            <v>Adjustment to 2011-12 Forecast for ERS places compared to actual places.</v>
          </cell>
        </row>
        <row r="12">
          <cell r="BR12" t="str">
            <v>Deprivation</v>
          </cell>
          <cell r="BS12">
            <v>1</v>
          </cell>
          <cell r="BT12">
            <v>0</v>
          </cell>
          <cell r="BU12">
            <v>0</v>
          </cell>
          <cell r="BV12">
            <v>0</v>
          </cell>
          <cell r="BW12">
            <v>0</v>
          </cell>
          <cell r="BX12">
            <v>0</v>
          </cell>
          <cell r="BY12">
            <v>0.27</v>
          </cell>
          <cell r="BZ12">
            <v>1</v>
          </cell>
          <cell r="CA12">
            <v>0</v>
          </cell>
          <cell r="CB12">
            <v>0</v>
          </cell>
          <cell r="CC12">
            <v>0</v>
          </cell>
          <cell r="CD12">
            <v>0</v>
          </cell>
          <cell r="CF12">
            <v>0</v>
          </cell>
          <cell r="CI12">
            <v>0</v>
          </cell>
          <cell r="CJ12">
            <v>0</v>
          </cell>
          <cell r="CK12">
            <v>0</v>
          </cell>
          <cell r="CL12">
            <v>0</v>
          </cell>
          <cell r="CN12">
            <v>0</v>
          </cell>
          <cell r="CO12">
            <v>0</v>
          </cell>
          <cell r="CQ12">
            <v>1</v>
          </cell>
          <cell r="CR12">
            <v>1</v>
          </cell>
          <cell r="CS12">
            <v>0</v>
          </cell>
          <cell r="CU12">
            <v>0.27</v>
          </cell>
          <cell r="CV12">
            <v>0.27</v>
          </cell>
          <cell r="CX12">
            <v>0</v>
          </cell>
          <cell r="DD12">
            <v>1</v>
          </cell>
          <cell r="DE12">
            <v>1</v>
          </cell>
          <cell r="DF12">
            <v>1</v>
          </cell>
          <cell r="DG12">
            <v>0.75</v>
          </cell>
          <cell r="DH12">
            <v>1</v>
          </cell>
          <cell r="DJ12">
            <v>0</v>
          </cell>
          <cell r="DK12">
            <v>0</v>
          </cell>
          <cell r="DL12">
            <v>0</v>
          </cell>
          <cell r="DM12">
            <v>0</v>
          </cell>
          <cell r="DN12">
            <v>0</v>
          </cell>
          <cell r="DO12">
            <v>0</v>
          </cell>
          <cell r="DP12">
            <v>0</v>
          </cell>
          <cell r="DR12">
            <v>0</v>
          </cell>
          <cell r="DS12">
            <v>0</v>
          </cell>
          <cell r="DT12">
            <v>0</v>
          </cell>
          <cell r="DU12">
            <v>0</v>
          </cell>
          <cell r="DV12">
            <v>0</v>
          </cell>
          <cell r="DW12">
            <v>0</v>
          </cell>
          <cell r="DY12">
            <v>0</v>
          </cell>
          <cell r="DZ12">
            <v>0</v>
          </cell>
          <cell r="EA12">
            <v>0</v>
          </cell>
          <cell r="EI12">
            <v>0</v>
          </cell>
          <cell r="EK12">
            <v>0</v>
          </cell>
          <cell r="EL12">
            <v>0</v>
          </cell>
          <cell r="EM12">
            <v>0</v>
          </cell>
        </row>
        <row r="14">
          <cell r="A14" t="str">
            <v>Unit Value</v>
          </cell>
          <cell r="G14">
            <v>6.0990005421484437</v>
          </cell>
          <cell r="H14">
            <v>3.496431241446202</v>
          </cell>
          <cell r="I14">
            <v>3.0528145657894745</v>
          </cell>
          <cell r="J14">
            <v>3.5625093391139</v>
          </cell>
          <cell r="U14">
            <v>2906.7795787694736</v>
          </cell>
          <cell r="Y14">
            <v>2450.3294975227932</v>
          </cell>
          <cell r="Z14">
            <v>2450.3294975227932</v>
          </cell>
          <cell r="AA14">
            <v>2569.3031288080288</v>
          </cell>
          <cell r="AB14">
            <v>2569.3031288080288</v>
          </cell>
          <cell r="AC14">
            <v>2569.3031288080288</v>
          </cell>
          <cell r="AD14">
            <v>2569.3031288080288</v>
          </cell>
          <cell r="AW14">
            <v>3326.3930074312998</v>
          </cell>
          <cell r="AX14">
            <v>3326.3930074312998</v>
          </cell>
          <cell r="AY14">
            <v>3326.3930074312998</v>
          </cell>
          <cell r="AZ14">
            <v>3789.6558982946494</v>
          </cell>
          <cell r="BA14">
            <v>3789.6558982946494</v>
          </cell>
          <cell r="BB14">
            <v>3789.6558982946494</v>
          </cell>
          <cell r="BE14">
            <v>7856.1976204856383</v>
          </cell>
          <cell r="BF14">
            <v>11968.689829424153</v>
          </cell>
          <cell r="BG14">
            <v>11906.359666484763</v>
          </cell>
          <cell r="BH14">
            <v>13256.846530171551</v>
          </cell>
          <cell r="BI14">
            <v>13072.453131475855</v>
          </cell>
          <cell r="BJ14">
            <v>12889.358277841397</v>
          </cell>
          <cell r="BK14">
            <v>17244.756325934959</v>
          </cell>
          <cell r="BL14">
            <v>17122.01784674681</v>
          </cell>
          <cell r="BM14">
            <v>18904.219001492551</v>
          </cell>
          <cell r="BN14">
            <v>6014.8607236511534</v>
          </cell>
          <cell r="BO14">
            <v>18488.684581896614</v>
          </cell>
        </row>
        <row r="16">
          <cell r="A16" t="str">
            <v>Additional Spend Unit Values Early Years</v>
          </cell>
          <cell r="BR16" t="str">
            <v>Additional Spend Unit Values Early Years</v>
          </cell>
          <cell r="BS16">
            <v>0.2036</v>
          </cell>
          <cell r="BT16">
            <v>47500</v>
          </cell>
          <cell r="BU16">
            <v>0.2036</v>
          </cell>
          <cell r="BV16">
            <v>1E-3</v>
          </cell>
          <cell r="BW16">
            <v>1.0000000000000001E-5</v>
          </cell>
          <cell r="BX16">
            <v>1E-4</v>
          </cell>
          <cell r="BY16">
            <v>1E-3</v>
          </cell>
          <cell r="BZ16">
            <v>1.7611399999999999</v>
          </cell>
          <cell r="CA16">
            <v>1E-3</v>
          </cell>
          <cell r="CB16">
            <v>1E-3</v>
          </cell>
          <cell r="CC16">
            <v>1E-3</v>
          </cell>
          <cell r="CD16">
            <v>1E-3</v>
          </cell>
        </row>
        <row r="17">
          <cell r="A17" t="str">
            <v>Additional Spend Unit Values Primary</v>
          </cell>
          <cell r="BR17" t="str">
            <v>Additional Spend Unit Values Primary</v>
          </cell>
          <cell r="CF17">
            <v>11340.305565018814</v>
          </cell>
          <cell r="CJ17">
            <v>17.304430933686298</v>
          </cell>
          <cell r="CK17">
            <v>20.29699924132888</v>
          </cell>
          <cell r="CL17">
            <v>38.475058218147801</v>
          </cell>
          <cell r="CQ17">
            <v>1.0000000000000001E-5</v>
          </cell>
          <cell r="CR17">
            <v>200.97142192711499</v>
          </cell>
          <cell r="CS17">
            <v>202.08526015125898</v>
          </cell>
          <cell r="CU17">
            <v>600.64775020415561</v>
          </cell>
          <cell r="CV17">
            <v>600.64775020415561</v>
          </cell>
          <cell r="CX17">
            <v>1E-3</v>
          </cell>
          <cell r="DD17">
            <v>1474.7154134107291</v>
          </cell>
          <cell r="DE17">
            <v>1E-3</v>
          </cell>
          <cell r="DF17">
            <v>856.11742475261747</v>
          </cell>
          <cell r="DJ17">
            <v>190.94503354876039</v>
          </cell>
          <cell r="DK17">
            <v>1E-3</v>
          </cell>
          <cell r="DL17">
            <v>1.4313420310162734</v>
          </cell>
          <cell r="DM17">
            <v>70073</v>
          </cell>
          <cell r="DR17">
            <v>1E-3</v>
          </cell>
          <cell r="DS17">
            <v>1E-3</v>
          </cell>
          <cell r="DT17">
            <v>1E-3</v>
          </cell>
          <cell r="DY17">
            <v>326.7839442401052</v>
          </cell>
          <cell r="DZ17">
            <v>3.4536126504642066</v>
          </cell>
          <cell r="EA17">
            <v>282.35603008131017</v>
          </cell>
          <cell r="EI17">
            <v>1E-3</v>
          </cell>
          <cell r="EL17">
            <v>1E-3</v>
          </cell>
          <cell r="EM17">
            <v>1E-3</v>
          </cell>
        </row>
        <row r="18">
          <cell r="A18" t="str">
            <v>Additional Spend Unit Values Secondary</v>
          </cell>
          <cell r="BR18" t="str">
            <v>Additional Spend Unit Values Secondary</v>
          </cell>
          <cell r="CJ18">
            <v>17.304430933686298</v>
          </cell>
          <cell r="CK18">
            <v>30.92201278725328</v>
          </cell>
          <cell r="CL18">
            <v>38.475058218147801</v>
          </cell>
          <cell r="CN18">
            <v>1E-3</v>
          </cell>
          <cell r="CO18">
            <v>1E-3</v>
          </cell>
          <cell r="CQ18">
            <v>1E-3</v>
          </cell>
          <cell r="CR18">
            <v>205.98797312478598</v>
          </cell>
          <cell r="CS18">
            <v>202.65829189359198</v>
          </cell>
          <cell r="CU18">
            <v>582.64924143295434</v>
          </cell>
          <cell r="CX18">
            <v>1E-3</v>
          </cell>
          <cell r="DD18">
            <v>1280.2255130501539</v>
          </cell>
          <cell r="DE18">
            <v>1E-3</v>
          </cell>
          <cell r="DF18">
            <v>1657.4868066924982</v>
          </cell>
          <cell r="DG18">
            <v>874.23602830713594</v>
          </cell>
          <cell r="DH18">
            <v>1E-3</v>
          </cell>
          <cell r="DJ18">
            <v>190.94503354876039</v>
          </cell>
          <cell r="DK18">
            <v>0.01</v>
          </cell>
          <cell r="DL18">
            <v>1.3812002145126985</v>
          </cell>
          <cell r="DM18">
            <v>349775</v>
          </cell>
          <cell r="DR18">
            <v>1E-3</v>
          </cell>
          <cell r="DS18">
            <v>1E-3</v>
          </cell>
          <cell r="DT18">
            <v>1E-3</v>
          </cell>
          <cell r="DU18">
            <v>19329.921551105632</v>
          </cell>
          <cell r="DY18">
            <v>1303.1030892469601</v>
          </cell>
          <cell r="DZ18">
            <v>5.2319654331659242</v>
          </cell>
          <cell r="EA18">
            <v>384.83242785983924</v>
          </cell>
          <cell r="EI18">
            <v>1E-3</v>
          </cell>
          <cell r="EK18">
            <v>1E-3</v>
          </cell>
          <cell r="EL18">
            <v>1E-3</v>
          </cell>
          <cell r="EM18">
            <v>1E-3</v>
          </cell>
        </row>
        <row r="19">
          <cell r="A19" t="str">
            <v>Additional Spend Unit Values Special</v>
          </cell>
          <cell r="BR19" t="str">
            <v>Additional Spend Unit Values Special</v>
          </cell>
          <cell r="CI19">
            <v>664.76</v>
          </cell>
          <cell r="CL19">
            <v>38.1545422637979</v>
          </cell>
          <cell r="DL19">
            <v>150.85167049027518</v>
          </cell>
          <cell r="DM19">
            <v>1E-3</v>
          </cell>
          <cell r="DN19">
            <v>144621.54837177516</v>
          </cell>
          <cell r="DO19">
            <v>42.425727805104955</v>
          </cell>
          <cell r="DP19">
            <v>189.53701857300527</v>
          </cell>
          <cell r="DR19">
            <v>1E-3</v>
          </cell>
          <cell r="DS19">
            <v>1E-3</v>
          </cell>
          <cell r="DT19">
            <v>1E-3</v>
          </cell>
          <cell r="DV19">
            <v>143000</v>
          </cell>
          <cell r="DW19">
            <v>1E-3</v>
          </cell>
          <cell r="EI19">
            <v>1E-3</v>
          </cell>
          <cell r="EK19">
            <v>1E-3</v>
          </cell>
          <cell r="EL19">
            <v>1E-3</v>
          </cell>
          <cell r="EM19">
            <v>1E-3</v>
          </cell>
        </row>
        <row r="20">
          <cell r="BR20">
            <v>0</v>
          </cell>
        </row>
        <row r="21">
          <cell r="A21" t="str">
            <v>Nursery Schools</v>
          </cell>
        </row>
        <row r="22">
          <cell r="C22" t="str">
            <v>Lord Street Nursery School</v>
          </cell>
          <cell r="D22">
            <v>1005</v>
          </cell>
          <cell r="F22" t="str">
            <v/>
          </cell>
          <cell r="G22">
            <v>53010</v>
          </cell>
          <cell r="H22">
            <v>0</v>
          </cell>
          <cell r="I22">
            <v>0</v>
          </cell>
          <cell r="J22">
            <v>0</v>
          </cell>
          <cell r="L22">
            <v>323308.01873928902</v>
          </cell>
          <cell r="M22">
            <v>53010</v>
          </cell>
          <cell r="N22">
            <v>55.8</v>
          </cell>
          <cell r="S22">
            <v>0</v>
          </cell>
          <cell r="T22">
            <v>0</v>
          </cell>
          <cell r="BS22">
            <v>33074.82</v>
          </cell>
          <cell r="BT22">
            <v>47500</v>
          </cell>
          <cell r="BU22">
            <v>1740.78</v>
          </cell>
          <cell r="BV22">
            <v>0</v>
          </cell>
          <cell r="BW22">
            <v>7959.48</v>
          </cell>
          <cell r="BX22">
            <v>3753.5553359434125</v>
          </cell>
          <cell r="BY22">
            <v>0</v>
          </cell>
          <cell r="BZ22">
            <v>7026.9486000000006</v>
          </cell>
          <cell r="CA22">
            <v>0</v>
          </cell>
          <cell r="CB22">
            <v>84309.717893589856</v>
          </cell>
          <cell r="CC22">
            <v>0</v>
          </cell>
          <cell r="CD22">
            <v>0</v>
          </cell>
          <cell r="CE22">
            <v>185365.30182953327</v>
          </cell>
          <cell r="EP22">
            <v>0</v>
          </cell>
          <cell r="EQ22">
            <v>508673.32056882232</v>
          </cell>
          <cell r="ER22">
            <v>508673.32056882232</v>
          </cell>
          <cell r="ET22">
            <v>55.8</v>
          </cell>
          <cell r="EU22">
            <v>9116.009329190365</v>
          </cell>
          <cell r="EV22" t="str">
            <v>No Variation Applied</v>
          </cell>
          <cell r="EX22">
            <v>0</v>
          </cell>
          <cell r="EY22">
            <v>0</v>
          </cell>
          <cell r="EZ22">
            <v>93077.446493589858</v>
          </cell>
        </row>
        <row r="23">
          <cell r="C23" t="str">
            <v>Central Community Nursery School</v>
          </cell>
          <cell r="D23">
            <v>1006</v>
          </cell>
          <cell r="F23" t="str">
            <v/>
          </cell>
          <cell r="G23">
            <v>37524</v>
          </cell>
          <cell r="H23">
            <v>0</v>
          </cell>
          <cell r="I23">
            <v>0</v>
          </cell>
          <cell r="J23">
            <v>0</v>
          </cell>
          <cell r="L23">
            <v>228858.89634357821</v>
          </cell>
          <cell r="M23">
            <v>37524</v>
          </cell>
          <cell r="N23">
            <v>39.498947368421049</v>
          </cell>
          <cell r="S23">
            <v>0</v>
          </cell>
          <cell r="T23">
            <v>0</v>
          </cell>
          <cell r="BS23">
            <v>12371.1432</v>
          </cell>
          <cell r="BT23">
            <v>47500</v>
          </cell>
          <cell r="BU23">
            <v>1508.6759999999999</v>
          </cell>
          <cell r="BV23">
            <v>1502</v>
          </cell>
          <cell r="BW23">
            <v>4379.08</v>
          </cell>
          <cell r="BX23">
            <v>39495.21009628725</v>
          </cell>
          <cell r="BY23">
            <v>3754.0484387759725</v>
          </cell>
          <cell r="BZ23">
            <v>2007.6995999999999</v>
          </cell>
          <cell r="CA23">
            <v>0</v>
          </cell>
          <cell r="CB23">
            <v>84309.717893589856</v>
          </cell>
          <cell r="CC23">
            <v>36894.824524094758</v>
          </cell>
          <cell r="CD23">
            <v>0</v>
          </cell>
          <cell r="CE23">
            <v>233722.39975274785</v>
          </cell>
          <cell r="EP23">
            <v>0</v>
          </cell>
          <cell r="EQ23">
            <v>462581.29609632608</v>
          </cell>
          <cell r="ER23">
            <v>462581.29609632608</v>
          </cell>
          <cell r="ET23">
            <v>39.498947368421049</v>
          </cell>
          <cell r="EU23">
            <v>11711.230979946429</v>
          </cell>
          <cell r="EV23" t="str">
            <v>No Variation Applied</v>
          </cell>
          <cell r="EX23">
            <v>0</v>
          </cell>
          <cell r="EY23">
            <v>0</v>
          </cell>
          <cell r="EZ23">
            <v>91580.141932365848</v>
          </cell>
        </row>
        <row r="24">
          <cell r="C24" t="str">
            <v>Harrington Nursery School</v>
          </cell>
          <cell r="D24">
            <v>1008</v>
          </cell>
          <cell r="F24" t="str">
            <v/>
          </cell>
          <cell r="G24">
            <v>45600</v>
          </cell>
          <cell r="H24">
            <v>0</v>
          </cell>
          <cell r="I24">
            <v>0</v>
          </cell>
          <cell r="J24">
            <v>0</v>
          </cell>
          <cell r="L24">
            <v>278114.42472196906</v>
          </cell>
          <cell r="M24">
            <v>45600</v>
          </cell>
          <cell r="N24">
            <v>48</v>
          </cell>
          <cell r="S24">
            <v>0</v>
          </cell>
          <cell r="T24">
            <v>0</v>
          </cell>
          <cell r="BS24">
            <v>27156.167999999998</v>
          </cell>
          <cell r="BT24">
            <v>47500</v>
          </cell>
          <cell r="BU24">
            <v>6034.7039999999997</v>
          </cell>
          <cell r="BV24">
            <v>16143</v>
          </cell>
          <cell r="BW24">
            <v>1692.76</v>
          </cell>
          <cell r="BX24">
            <v>-8.623310754832346</v>
          </cell>
          <cell r="BY24">
            <v>23275.100320411031</v>
          </cell>
          <cell r="BZ24">
            <v>4015.3991999999998</v>
          </cell>
          <cell r="CA24">
            <v>0</v>
          </cell>
          <cell r="CB24">
            <v>0</v>
          </cell>
          <cell r="CC24">
            <v>4282.864690168004</v>
          </cell>
          <cell r="CD24">
            <v>0</v>
          </cell>
          <cell r="CE24">
            <v>130091.3728998242</v>
          </cell>
          <cell r="EP24">
            <v>0</v>
          </cell>
          <cell r="EQ24">
            <v>408205.79762179323</v>
          </cell>
          <cell r="ER24">
            <v>408205.79762179323</v>
          </cell>
          <cell r="ET24">
            <v>48</v>
          </cell>
          <cell r="EU24">
            <v>8504.287450454025</v>
          </cell>
          <cell r="EV24" t="str">
            <v>No Variation Applied</v>
          </cell>
          <cell r="EX24">
            <v>0</v>
          </cell>
          <cell r="EY24">
            <v>0</v>
          </cell>
          <cell r="EZ24">
            <v>33325.203520411029</v>
          </cell>
        </row>
        <row r="25">
          <cell r="C25" t="str">
            <v>Walbrook Nursery School</v>
          </cell>
          <cell r="D25">
            <v>1009</v>
          </cell>
          <cell r="F25" t="str">
            <v/>
          </cell>
          <cell r="G25">
            <v>45600</v>
          </cell>
          <cell r="H25">
            <v>0</v>
          </cell>
          <cell r="I25">
            <v>0</v>
          </cell>
          <cell r="J25">
            <v>0</v>
          </cell>
          <cell r="L25">
            <v>278114.42472196906</v>
          </cell>
          <cell r="M25">
            <v>45600</v>
          </cell>
          <cell r="N25">
            <v>48</v>
          </cell>
          <cell r="S25">
            <v>0</v>
          </cell>
          <cell r="T25">
            <v>0</v>
          </cell>
          <cell r="BS25">
            <v>25763.544000000002</v>
          </cell>
          <cell r="BT25">
            <v>47500</v>
          </cell>
          <cell r="BU25">
            <v>3713.6640000000002</v>
          </cell>
          <cell r="BV25">
            <v>0</v>
          </cell>
          <cell r="BW25">
            <v>3320.41</v>
          </cell>
          <cell r="BX25">
            <v>-3298.4292772845947</v>
          </cell>
          <cell r="BY25">
            <v>9760.525940817528</v>
          </cell>
          <cell r="BZ25">
            <v>2007.6995999999999</v>
          </cell>
          <cell r="CA25">
            <v>0</v>
          </cell>
          <cell r="CB25">
            <v>0</v>
          </cell>
          <cell r="CC25">
            <v>1540.2654465621454</v>
          </cell>
          <cell r="CD25">
            <v>8840.6951250000002</v>
          </cell>
          <cell r="CE25">
            <v>99148.374835095077</v>
          </cell>
          <cell r="EP25">
            <v>0</v>
          </cell>
          <cell r="EQ25">
            <v>377262.79955706414</v>
          </cell>
          <cell r="ER25">
            <v>377262.79955706414</v>
          </cell>
          <cell r="ET25">
            <v>48</v>
          </cell>
          <cell r="EU25">
            <v>7859.6416574388359</v>
          </cell>
          <cell r="EV25" t="str">
            <v>No Variation Applied</v>
          </cell>
          <cell r="EX25">
            <v>0</v>
          </cell>
          <cell r="EY25">
            <v>0</v>
          </cell>
          <cell r="EZ25">
            <v>15481.889540817529</v>
          </cell>
        </row>
        <row r="26">
          <cell r="C26" t="str">
            <v>Stonehill Nursery School</v>
          </cell>
          <cell r="D26">
            <v>1010</v>
          </cell>
          <cell r="F26" t="str">
            <v/>
          </cell>
          <cell r="G26">
            <v>37650</v>
          </cell>
          <cell r="H26">
            <v>0</v>
          </cell>
          <cell r="I26">
            <v>0</v>
          </cell>
          <cell r="J26">
            <v>0</v>
          </cell>
          <cell r="L26">
            <v>229627.3704118889</v>
          </cell>
          <cell r="M26">
            <v>37650</v>
          </cell>
          <cell r="N26">
            <v>39.631578947368418</v>
          </cell>
          <cell r="S26">
            <v>0</v>
          </cell>
          <cell r="T26">
            <v>0</v>
          </cell>
          <cell r="BS26">
            <v>19148.580000000002</v>
          </cell>
          <cell r="BT26">
            <v>47500</v>
          </cell>
          <cell r="BU26">
            <v>5918.652</v>
          </cell>
          <cell r="BV26">
            <v>0</v>
          </cell>
          <cell r="BW26">
            <v>1725.32</v>
          </cell>
          <cell r="BX26">
            <v>-23045.603770437243</v>
          </cell>
          <cell r="BY26">
            <v>9760.525940817528</v>
          </cell>
          <cell r="BZ26">
            <v>1003.8498</v>
          </cell>
          <cell r="CA26">
            <v>0</v>
          </cell>
          <cell r="CB26">
            <v>0</v>
          </cell>
          <cell r="CC26">
            <v>94616.697208817641</v>
          </cell>
          <cell r="CD26">
            <v>0</v>
          </cell>
          <cell r="CE26">
            <v>156628.02117919794</v>
          </cell>
          <cell r="EP26">
            <v>0</v>
          </cell>
          <cell r="EQ26">
            <v>386255.39159108687</v>
          </cell>
          <cell r="ER26">
            <v>386255.39159108687</v>
          </cell>
          <cell r="ET26">
            <v>39.631578947368418</v>
          </cell>
          <cell r="EU26">
            <v>9746.1519790579696</v>
          </cell>
          <cell r="EV26" t="str">
            <v>No Variation Applied</v>
          </cell>
          <cell r="EX26">
            <v>0</v>
          </cell>
          <cell r="EY26">
            <v>0</v>
          </cell>
          <cell r="EZ26">
            <v>16683.027740817528</v>
          </cell>
        </row>
        <row r="27">
          <cell r="C27" t="str">
            <v>Ashgate Nursery School</v>
          </cell>
          <cell r="D27">
            <v>1014</v>
          </cell>
          <cell r="F27" t="str">
            <v/>
          </cell>
          <cell r="G27">
            <v>31698</v>
          </cell>
          <cell r="H27">
            <v>0</v>
          </cell>
          <cell r="I27">
            <v>0</v>
          </cell>
          <cell r="J27">
            <v>0</v>
          </cell>
          <cell r="L27">
            <v>193326.11918502138</v>
          </cell>
          <cell r="M27">
            <v>31698</v>
          </cell>
          <cell r="N27">
            <v>33.366315789473681</v>
          </cell>
          <cell r="S27">
            <v>0</v>
          </cell>
          <cell r="T27">
            <v>0</v>
          </cell>
          <cell r="BS27">
            <v>9377.0015999999996</v>
          </cell>
          <cell r="BT27">
            <v>47500</v>
          </cell>
          <cell r="BU27">
            <v>464.20800000000003</v>
          </cell>
          <cell r="BV27">
            <v>0</v>
          </cell>
          <cell r="BW27">
            <v>6560.64</v>
          </cell>
          <cell r="BX27">
            <v>-5586.1423095781356</v>
          </cell>
          <cell r="BY27">
            <v>0</v>
          </cell>
          <cell r="BZ27">
            <v>4015.3991999999998</v>
          </cell>
          <cell r="CA27">
            <v>0</v>
          </cell>
          <cell r="CB27">
            <v>0</v>
          </cell>
          <cell r="CC27">
            <v>45591.875325018947</v>
          </cell>
          <cell r="CD27">
            <v>0</v>
          </cell>
          <cell r="CE27">
            <v>107922.98181544081</v>
          </cell>
          <cell r="EP27">
            <v>0</v>
          </cell>
          <cell r="EQ27">
            <v>301249.10100046219</v>
          </cell>
          <cell r="ER27">
            <v>301249.10100046219</v>
          </cell>
          <cell r="ET27">
            <v>33.366315789473681</v>
          </cell>
          <cell r="EU27">
            <v>9028.5395277443095</v>
          </cell>
          <cell r="EV27" t="str">
            <v>No Variation Applied</v>
          </cell>
          <cell r="EX27">
            <v>0</v>
          </cell>
          <cell r="EY27">
            <v>0</v>
          </cell>
          <cell r="EZ27">
            <v>4479.6071999999995</v>
          </cell>
        </row>
        <row r="28">
          <cell r="C28" t="str">
            <v>Whitecross Nursery School</v>
          </cell>
          <cell r="D28">
            <v>1015</v>
          </cell>
          <cell r="F28" t="str">
            <v/>
          </cell>
          <cell r="G28">
            <v>43338</v>
          </cell>
          <cell r="H28">
            <v>0</v>
          </cell>
          <cell r="I28">
            <v>0</v>
          </cell>
          <cell r="J28">
            <v>0</v>
          </cell>
          <cell r="L28">
            <v>264318.48549562925</v>
          </cell>
          <cell r="M28">
            <v>43338</v>
          </cell>
          <cell r="N28">
            <v>45.618947368421054</v>
          </cell>
          <cell r="S28">
            <v>0</v>
          </cell>
          <cell r="T28">
            <v>0</v>
          </cell>
          <cell r="BS28">
            <v>3272.6664000000001</v>
          </cell>
          <cell r="BT28">
            <v>47500</v>
          </cell>
          <cell r="BU28">
            <v>232.10400000000001</v>
          </cell>
          <cell r="BV28">
            <v>0</v>
          </cell>
          <cell r="BW28">
            <v>2148.5100000000002</v>
          </cell>
          <cell r="BX28">
            <v>20232.521069210634</v>
          </cell>
          <cell r="BY28">
            <v>22824.614507757913</v>
          </cell>
          <cell r="BZ28">
            <v>1003.8498</v>
          </cell>
          <cell r="CA28">
            <v>0</v>
          </cell>
          <cell r="CB28">
            <v>0</v>
          </cell>
          <cell r="CC28">
            <v>0</v>
          </cell>
          <cell r="CD28">
            <v>0</v>
          </cell>
          <cell r="CE28">
            <v>97214.265776968547</v>
          </cell>
          <cell r="EP28">
            <v>0</v>
          </cell>
          <cell r="EQ28">
            <v>361532.75127259782</v>
          </cell>
          <cell r="ER28">
            <v>361532.75127259782</v>
          </cell>
          <cell r="ET28">
            <v>45.618947368421054</v>
          </cell>
          <cell r="EU28">
            <v>7925.0568487001692</v>
          </cell>
          <cell r="EV28" t="str">
            <v>No Variation Applied</v>
          </cell>
          <cell r="EX28">
            <v>0</v>
          </cell>
          <cell r="EY28">
            <v>0</v>
          </cell>
          <cell r="EZ28">
            <v>24060.568307757912</v>
          </cell>
        </row>
        <row r="29">
          <cell r="C29" t="str">
            <v>Castle Nursery School</v>
          </cell>
          <cell r="D29">
            <v>1017</v>
          </cell>
          <cell r="F29" t="str">
            <v/>
          </cell>
          <cell r="G29">
            <v>16572</v>
          </cell>
          <cell r="H29">
            <v>0</v>
          </cell>
          <cell r="I29">
            <v>0</v>
          </cell>
          <cell r="J29">
            <v>0</v>
          </cell>
          <cell r="L29">
            <v>101072.63698448401</v>
          </cell>
          <cell r="M29">
            <v>16572</v>
          </cell>
          <cell r="N29">
            <v>17.444210526315789</v>
          </cell>
          <cell r="S29">
            <v>0</v>
          </cell>
          <cell r="T29">
            <v>0</v>
          </cell>
          <cell r="BS29">
            <v>7357.6968000000006</v>
          </cell>
          <cell r="BT29">
            <v>47500</v>
          </cell>
          <cell r="BU29">
            <v>1740.78</v>
          </cell>
          <cell r="BV29">
            <v>1001</v>
          </cell>
          <cell r="BW29">
            <v>4287.2700000000004</v>
          </cell>
          <cell r="BX29">
            <v>29373.456776685489</v>
          </cell>
          <cell r="BY29">
            <v>1251.349479591991</v>
          </cell>
          <cell r="BZ29">
            <v>1003.8498</v>
          </cell>
          <cell r="CA29">
            <v>0</v>
          </cell>
          <cell r="CB29">
            <v>0</v>
          </cell>
          <cell r="CC29">
            <v>58442.177117062209</v>
          </cell>
          <cell r="CD29">
            <v>0</v>
          </cell>
          <cell r="CE29">
            <v>151957.57997333969</v>
          </cell>
          <cell r="EP29">
            <v>0</v>
          </cell>
          <cell r="EQ29">
            <v>253030.21695782369</v>
          </cell>
          <cell r="ER29">
            <v>253030.21695782369</v>
          </cell>
          <cell r="ET29">
            <v>17.444210526315789</v>
          </cell>
          <cell r="EU29">
            <v>14505.111399344227</v>
          </cell>
          <cell r="EV29" t="str">
            <v>No Variation Applied</v>
          </cell>
          <cell r="EX29">
            <v>0</v>
          </cell>
          <cell r="EY29">
            <v>0</v>
          </cell>
          <cell r="EZ29">
            <v>3995.9792795919911</v>
          </cell>
        </row>
        <row r="31">
          <cell r="B31" t="str">
            <v>Total/average Nursery Schools</v>
          </cell>
          <cell r="G31">
            <v>310992</v>
          </cell>
          <cell r="H31">
            <v>0</v>
          </cell>
          <cell r="I31">
            <v>0</v>
          </cell>
          <cell r="J31">
            <v>0</v>
          </cell>
          <cell r="K31">
            <v>0</v>
          </cell>
          <cell r="L31">
            <v>1896740.376603829</v>
          </cell>
          <cell r="M31">
            <v>310992</v>
          </cell>
          <cell r="N31">
            <v>327.35999999999996</v>
          </cell>
          <cell r="O31">
            <v>0</v>
          </cell>
          <cell r="P31">
            <v>0</v>
          </cell>
          <cell r="Q31">
            <v>0</v>
          </cell>
          <cell r="R31">
            <v>0</v>
          </cell>
          <cell r="S31">
            <v>0</v>
          </cell>
          <cell r="T31">
            <v>0</v>
          </cell>
          <cell r="BS31">
            <v>137521.62</v>
          </cell>
          <cell r="BT31">
            <v>380000</v>
          </cell>
          <cell r="BU31">
            <v>21353.567999999999</v>
          </cell>
          <cell r="BV31">
            <v>18646</v>
          </cell>
          <cell r="BW31">
            <v>32073.469999999998</v>
          </cell>
          <cell r="BX31">
            <v>60915.94461007198</v>
          </cell>
          <cell r="BY31">
            <v>70626.164628171973</v>
          </cell>
          <cell r="BZ31">
            <v>22084.695599999999</v>
          </cell>
          <cell r="CA31">
            <v>0</v>
          </cell>
          <cell r="CB31">
            <v>168619.43578717971</v>
          </cell>
          <cell r="CC31">
            <v>241368.7043117237</v>
          </cell>
          <cell r="CD31">
            <v>8840.6951250000002</v>
          </cell>
          <cell r="CE31">
            <v>1162050.2980621473</v>
          </cell>
          <cell r="EP31">
            <v>0</v>
          </cell>
          <cell r="EQ31">
            <v>3058790.6746659768</v>
          </cell>
          <cell r="ER31">
            <v>3058790.6746659763</v>
          </cell>
          <cell r="ET31">
            <v>327.35999999999996</v>
          </cell>
          <cell r="EU31">
            <v>9343.8131557489505</v>
          </cell>
          <cell r="EX31">
            <v>0</v>
          </cell>
          <cell r="EY31">
            <v>0</v>
          </cell>
          <cell r="EZ31">
            <v>282683.86401535169</v>
          </cell>
        </row>
        <row r="33">
          <cell r="B33" t="str">
            <v>PVI Providers TOTAL</v>
          </cell>
          <cell r="G33">
            <v>0</v>
          </cell>
          <cell r="H33">
            <v>0</v>
          </cell>
          <cell r="I33">
            <v>264836</v>
          </cell>
          <cell r="J33">
            <v>672478</v>
          </cell>
          <cell r="L33">
            <v>3204204.3536940585</v>
          </cell>
          <cell r="M33">
            <v>937314</v>
          </cell>
          <cell r="N33">
            <v>986.64631578947365</v>
          </cell>
          <cell r="S33">
            <v>0</v>
          </cell>
          <cell r="T33">
            <v>0</v>
          </cell>
          <cell r="BS33">
            <v>190963.15880000003</v>
          </cell>
          <cell r="BT33">
            <v>0</v>
          </cell>
          <cell r="BU33">
            <v>25605.753999999994</v>
          </cell>
          <cell r="BV33">
            <v>0</v>
          </cell>
          <cell r="BW33">
            <v>0</v>
          </cell>
          <cell r="BX33">
            <v>0</v>
          </cell>
          <cell r="BY33">
            <v>0</v>
          </cell>
          <cell r="BZ33">
            <v>40622.455239999981</v>
          </cell>
          <cell r="CA33">
            <v>-123465.43852615121</v>
          </cell>
          <cell r="CB33">
            <v>0</v>
          </cell>
          <cell r="CC33">
            <v>90744</v>
          </cell>
          <cell r="CD33">
            <v>0</v>
          </cell>
          <cell r="CE33">
            <v>224469.92951384879</v>
          </cell>
          <cell r="EP33">
            <v>0</v>
          </cell>
          <cell r="EQ33">
            <v>3428674.2832079073</v>
          </cell>
          <cell r="ER33">
            <v>3428674.2832079073</v>
          </cell>
          <cell r="ET33">
            <v>937314</v>
          </cell>
          <cell r="EU33">
            <v>3.6579783116521329</v>
          </cell>
          <cell r="EX33">
            <v>0</v>
          </cell>
          <cell r="EY33">
            <v>0</v>
          </cell>
          <cell r="EZ33">
            <v>0</v>
          </cell>
        </row>
        <row r="35">
          <cell r="A35" t="str">
            <v>Primary Schools</v>
          </cell>
        </row>
        <row r="36">
          <cell r="C36" t="str">
            <v>Reigate Primary School</v>
          </cell>
          <cell r="D36">
            <v>2000</v>
          </cell>
          <cell r="F36" t="str">
            <v/>
          </cell>
          <cell r="G36">
            <v>0</v>
          </cell>
          <cell r="H36">
            <v>17940</v>
          </cell>
          <cell r="I36">
            <v>0</v>
          </cell>
          <cell r="J36">
            <v>0</v>
          </cell>
          <cell r="L36">
            <v>62725.976471544862</v>
          </cell>
          <cell r="M36">
            <v>17940</v>
          </cell>
          <cell r="N36">
            <v>18.88421052631579</v>
          </cell>
          <cell r="S36">
            <v>0</v>
          </cell>
          <cell r="T36">
            <v>0</v>
          </cell>
          <cell r="U36">
            <v>52</v>
          </cell>
          <cell r="Y36">
            <v>38</v>
          </cell>
          <cell r="Z36">
            <v>46</v>
          </cell>
          <cell r="AA36">
            <v>42</v>
          </cell>
          <cell r="AB36">
            <v>38</v>
          </cell>
          <cell r="AC36">
            <v>40</v>
          </cell>
          <cell r="AD36">
            <v>53</v>
          </cell>
          <cell r="AK36">
            <v>801469.65717171633</v>
          </cell>
          <cell r="AL36">
            <v>309</v>
          </cell>
          <cell r="BS36">
            <v>4758.1319999999996</v>
          </cell>
          <cell r="BT36">
            <v>0</v>
          </cell>
          <cell r="BU36">
            <v>464.20800000000003</v>
          </cell>
          <cell r="BV36">
            <v>0</v>
          </cell>
          <cell r="BW36">
            <v>0</v>
          </cell>
          <cell r="BX36">
            <v>-3185.652731254886</v>
          </cell>
          <cell r="BY36">
            <v>0</v>
          </cell>
          <cell r="BZ36">
            <v>0</v>
          </cell>
          <cell r="CA36">
            <v>0</v>
          </cell>
          <cell r="CB36">
            <v>0</v>
          </cell>
          <cell r="CC36">
            <v>0</v>
          </cell>
          <cell r="CD36">
            <v>0</v>
          </cell>
          <cell r="CE36">
            <v>2036.6872687451132</v>
          </cell>
          <cell r="CF36">
            <v>22680.611130037629</v>
          </cell>
          <cell r="CI36">
            <v>0</v>
          </cell>
          <cell r="CJ36">
            <v>0</v>
          </cell>
          <cell r="CK36">
            <v>6271.77</v>
          </cell>
          <cell r="CL36">
            <v>2300.8084814452386</v>
          </cell>
          <cell r="CM36">
            <v>31253.189611482867</v>
          </cell>
          <cell r="CQ36">
            <v>3046.9238377843717</v>
          </cell>
          <cell r="CR36">
            <v>2612.63</v>
          </cell>
          <cell r="CS36">
            <v>3637.5346827226617</v>
          </cell>
          <cell r="CT36">
            <v>9297.0885205070335</v>
          </cell>
          <cell r="CU36">
            <v>0</v>
          </cell>
          <cell r="CV36">
            <v>0</v>
          </cell>
          <cell r="CW36">
            <v>0</v>
          </cell>
          <cell r="CX36">
            <v>410850.88821681798</v>
          </cell>
          <cell r="CZ36">
            <v>410850.88821681798</v>
          </cell>
          <cell r="DC36">
            <v>0</v>
          </cell>
          <cell r="DD36">
            <v>119805.88018548762</v>
          </cell>
          <cell r="DE36">
            <v>75718.016615653687</v>
          </cell>
          <cell r="DF36">
            <v>6848.9393980209397</v>
          </cell>
          <cell r="DG36">
            <v>0</v>
          </cell>
          <cell r="DH36">
            <v>0</v>
          </cell>
          <cell r="DI36">
            <v>202372.83619916227</v>
          </cell>
          <cell r="DJ36">
            <v>0</v>
          </cell>
          <cell r="DK36">
            <v>15228.5</v>
          </cell>
          <cell r="DL36">
            <v>7828.26</v>
          </cell>
          <cell r="DM36">
            <v>70073.495851086889</v>
          </cell>
          <cell r="DN36">
            <v>0</v>
          </cell>
          <cell r="DO36">
            <v>0</v>
          </cell>
          <cell r="DP36">
            <v>0</v>
          </cell>
          <cell r="DQ36">
            <v>93130.255851086898</v>
          </cell>
          <cell r="DR36">
            <v>0</v>
          </cell>
          <cell r="DS36">
            <v>0</v>
          </cell>
          <cell r="DT36">
            <v>0</v>
          </cell>
          <cell r="DU36">
            <v>0</v>
          </cell>
          <cell r="DV36">
            <v>0</v>
          </cell>
          <cell r="DW36">
            <v>0</v>
          </cell>
          <cell r="DX36">
            <v>0</v>
          </cell>
          <cell r="DY36">
            <v>6208.8949405619987</v>
          </cell>
          <cell r="DZ36">
            <v>0</v>
          </cell>
          <cell r="EA36">
            <v>0</v>
          </cell>
          <cell r="EB36">
            <v>6208.8949405619987</v>
          </cell>
          <cell r="EE36">
            <v>0</v>
          </cell>
          <cell r="EH36">
            <v>0</v>
          </cell>
          <cell r="EI36">
            <v>0</v>
          </cell>
          <cell r="EK36">
            <v>0</v>
          </cell>
          <cell r="EL36">
            <v>3504</v>
          </cell>
          <cell r="EM36">
            <v>22184</v>
          </cell>
          <cell r="EO36">
            <v>25688</v>
          </cell>
          <cell r="EP36">
            <v>0</v>
          </cell>
          <cell r="EQ36">
            <v>64762.663740289972</v>
          </cell>
          <cell r="ER36">
            <v>1645033.4742516256</v>
          </cell>
          <cell r="ET36">
            <v>327.88421052631577</v>
          </cell>
          <cell r="EU36">
            <v>5017.1170841408857</v>
          </cell>
          <cell r="EV36" t="str">
            <v>No Variation Applied</v>
          </cell>
          <cell r="EW36">
            <v>69250</v>
          </cell>
          <cell r="EX36">
            <v>0</v>
          </cell>
          <cell r="EY36">
            <v>0</v>
          </cell>
          <cell r="EZ36">
            <v>562799.03318154742</v>
          </cell>
        </row>
        <row r="37">
          <cell r="C37" t="str">
            <v>Roe Farm Primary School</v>
          </cell>
          <cell r="D37">
            <v>2001</v>
          </cell>
          <cell r="F37" t="str">
            <v/>
          </cell>
          <cell r="G37">
            <v>0</v>
          </cell>
          <cell r="H37">
            <v>35940</v>
          </cell>
          <cell r="I37">
            <v>0</v>
          </cell>
          <cell r="J37">
            <v>0</v>
          </cell>
          <cell r="L37">
            <v>125661.73881757649</v>
          </cell>
          <cell r="M37">
            <v>35940</v>
          </cell>
          <cell r="N37">
            <v>37.831578947368421</v>
          </cell>
          <cell r="S37">
            <v>0</v>
          </cell>
          <cell r="T37">
            <v>0</v>
          </cell>
          <cell r="U37">
            <v>46</v>
          </cell>
          <cell r="Y37">
            <v>42</v>
          </cell>
          <cell r="Z37">
            <v>49</v>
          </cell>
          <cell r="AA37">
            <v>45</v>
          </cell>
          <cell r="AB37">
            <v>44</v>
          </cell>
          <cell r="AC37">
            <v>27</v>
          </cell>
          <cell r="AD37">
            <v>38</v>
          </cell>
          <cell r="AK37">
            <v>752364.52673440636</v>
          </cell>
          <cell r="AL37">
            <v>291</v>
          </cell>
          <cell r="BS37">
            <v>15318.864</v>
          </cell>
          <cell r="BT37">
            <v>0</v>
          </cell>
          <cell r="BU37">
            <v>580.26</v>
          </cell>
          <cell r="BV37">
            <v>0</v>
          </cell>
          <cell r="BW37">
            <v>0</v>
          </cell>
          <cell r="BX37">
            <v>13978.400800000003</v>
          </cell>
          <cell r="BY37">
            <v>0</v>
          </cell>
          <cell r="BZ37">
            <v>8030.7983999999997</v>
          </cell>
          <cell r="CA37">
            <v>0</v>
          </cell>
          <cell r="CB37">
            <v>0</v>
          </cell>
          <cell r="CC37">
            <v>0</v>
          </cell>
          <cell r="CD37">
            <v>0</v>
          </cell>
          <cell r="CE37">
            <v>37908.323199999999</v>
          </cell>
          <cell r="CF37">
            <v>22680.611130037629</v>
          </cell>
          <cell r="CI37">
            <v>0</v>
          </cell>
          <cell r="CJ37">
            <v>0</v>
          </cell>
          <cell r="CK37">
            <v>5906.43</v>
          </cell>
          <cell r="CL37">
            <v>1689.0550557766885</v>
          </cell>
          <cell r="CM37">
            <v>30276.096185814316</v>
          </cell>
          <cell r="CQ37">
            <v>2285.1928783382787</v>
          </cell>
          <cell r="CR37">
            <v>4622.34</v>
          </cell>
          <cell r="CS37">
            <v>3233.3641624201437</v>
          </cell>
          <cell r="CT37">
            <v>10140.897040758424</v>
          </cell>
          <cell r="CU37">
            <v>10511.335628572724</v>
          </cell>
          <cell r="CV37">
            <v>0</v>
          </cell>
          <cell r="CW37">
            <v>10511.335628572724</v>
          </cell>
          <cell r="CX37">
            <v>0</v>
          </cell>
          <cell r="CZ37">
            <v>0</v>
          </cell>
          <cell r="DC37">
            <v>0</v>
          </cell>
          <cell r="DD37">
            <v>213111.12439198446</v>
          </cell>
          <cell r="DE37">
            <v>147115.78603702085</v>
          </cell>
          <cell r="DF37">
            <v>24827.405317825906</v>
          </cell>
          <cell r="DG37">
            <v>0</v>
          </cell>
          <cell r="DH37">
            <v>0</v>
          </cell>
          <cell r="DI37">
            <v>385054.31574683118</v>
          </cell>
          <cell r="DJ37">
            <v>0</v>
          </cell>
          <cell r="DK37">
            <v>17289.5</v>
          </cell>
          <cell r="DL37">
            <v>10144.719999999999</v>
          </cell>
          <cell r="DM37">
            <v>70073.495851086889</v>
          </cell>
          <cell r="DN37">
            <v>0</v>
          </cell>
          <cell r="DO37">
            <v>0</v>
          </cell>
          <cell r="DP37">
            <v>0</v>
          </cell>
          <cell r="DQ37">
            <v>97507.71585108689</v>
          </cell>
          <cell r="DR37">
            <v>0</v>
          </cell>
          <cell r="DS37">
            <v>0</v>
          </cell>
          <cell r="DT37">
            <v>0</v>
          </cell>
          <cell r="DU37">
            <v>0</v>
          </cell>
          <cell r="DV37">
            <v>0</v>
          </cell>
          <cell r="DW37">
            <v>0</v>
          </cell>
          <cell r="DX37">
            <v>0</v>
          </cell>
          <cell r="DY37">
            <v>4248.1912751213677</v>
          </cell>
          <cell r="DZ37">
            <v>0</v>
          </cell>
          <cell r="EA37">
            <v>0</v>
          </cell>
          <cell r="EB37">
            <v>4248.1912751213677</v>
          </cell>
          <cell r="EE37">
            <v>0</v>
          </cell>
          <cell r="EH37">
            <v>0</v>
          </cell>
          <cell r="EI37">
            <v>0</v>
          </cell>
          <cell r="EK37">
            <v>0</v>
          </cell>
          <cell r="EL37">
            <v>0</v>
          </cell>
          <cell r="EM37">
            <v>0</v>
          </cell>
          <cell r="EO37">
            <v>0</v>
          </cell>
          <cell r="EP37">
            <v>0</v>
          </cell>
          <cell r="EQ37">
            <v>163570.06201757648</v>
          </cell>
          <cell r="ER37">
            <v>1453673.1404801679</v>
          </cell>
          <cell r="ET37">
            <v>328.83157894736843</v>
          </cell>
          <cell r="EU37">
            <v>4420.7224413590684</v>
          </cell>
          <cell r="EV37" t="str">
            <v>No Variation Applied</v>
          </cell>
          <cell r="EW37">
            <v>114600</v>
          </cell>
          <cell r="EX37">
            <v>0</v>
          </cell>
          <cell r="EY37">
            <v>0</v>
          </cell>
          <cell r="EZ37">
            <v>280422.32609066629</v>
          </cell>
        </row>
        <row r="38">
          <cell r="C38" t="str">
            <v>Griffe Field Primary School</v>
          </cell>
          <cell r="D38">
            <v>2002</v>
          </cell>
          <cell r="F38" t="str">
            <v/>
          </cell>
          <cell r="G38">
            <v>0</v>
          </cell>
          <cell r="H38">
            <v>28170</v>
          </cell>
          <cell r="I38">
            <v>0</v>
          </cell>
          <cell r="J38">
            <v>0</v>
          </cell>
          <cell r="L38">
            <v>98494.468071539508</v>
          </cell>
          <cell r="M38">
            <v>28170</v>
          </cell>
          <cell r="N38">
            <v>29.652631578947368</v>
          </cell>
          <cell r="S38">
            <v>0</v>
          </cell>
          <cell r="T38">
            <v>0</v>
          </cell>
          <cell r="U38">
            <v>60</v>
          </cell>
          <cell r="Y38">
            <v>60</v>
          </cell>
          <cell r="Z38">
            <v>60</v>
          </cell>
          <cell r="AA38">
            <v>60</v>
          </cell>
          <cell r="AB38">
            <v>63</v>
          </cell>
          <cell r="AC38">
            <v>60</v>
          </cell>
          <cell r="AD38">
            <v>59</v>
          </cell>
          <cell r="AK38">
            <v>1090217.6716004466</v>
          </cell>
          <cell r="AL38">
            <v>422</v>
          </cell>
          <cell r="BS38">
            <v>580.26</v>
          </cell>
          <cell r="BT38">
            <v>0</v>
          </cell>
          <cell r="BU38">
            <v>116.05200000000001</v>
          </cell>
          <cell r="BV38">
            <v>0</v>
          </cell>
          <cell r="BW38">
            <v>0</v>
          </cell>
          <cell r="BX38">
            <v>10213.682199999996</v>
          </cell>
          <cell r="BY38">
            <v>0</v>
          </cell>
          <cell r="BZ38">
            <v>0</v>
          </cell>
          <cell r="CA38">
            <v>0</v>
          </cell>
          <cell r="CB38">
            <v>0</v>
          </cell>
          <cell r="CC38">
            <v>0</v>
          </cell>
          <cell r="CD38">
            <v>0</v>
          </cell>
          <cell r="CE38">
            <v>10909.994199999996</v>
          </cell>
          <cell r="CF38">
            <v>22680.611130037629</v>
          </cell>
          <cell r="CI38">
            <v>0</v>
          </cell>
          <cell r="CJ38">
            <v>0</v>
          </cell>
          <cell r="CK38">
            <v>8565.33</v>
          </cell>
          <cell r="CL38">
            <v>5353.1631000849638</v>
          </cell>
          <cell r="CM38">
            <v>36599.104230122597</v>
          </cell>
          <cell r="CQ38">
            <v>3808.6547972304647</v>
          </cell>
          <cell r="CR38">
            <v>2813.6</v>
          </cell>
          <cell r="CS38">
            <v>10508.433527865467</v>
          </cell>
          <cell r="CT38">
            <v>17130.688325095933</v>
          </cell>
          <cell r="CU38">
            <v>38291.294075514917</v>
          </cell>
          <cell r="CV38">
            <v>27029.148759187003</v>
          </cell>
          <cell r="CW38">
            <v>65320.44283470192</v>
          </cell>
          <cell r="CX38">
            <v>0</v>
          </cell>
          <cell r="CZ38">
            <v>0</v>
          </cell>
          <cell r="DC38">
            <v>0</v>
          </cell>
          <cell r="DD38">
            <v>45553.959120257423</v>
          </cell>
          <cell r="DE38">
            <v>4320.2471942865468</v>
          </cell>
          <cell r="DF38">
            <v>4280.5871237630872</v>
          </cell>
          <cell r="DG38">
            <v>0</v>
          </cell>
          <cell r="DH38">
            <v>0</v>
          </cell>
          <cell r="DI38">
            <v>54154.793438307053</v>
          </cell>
          <cell r="DJ38">
            <v>0</v>
          </cell>
          <cell r="DK38">
            <v>42365</v>
          </cell>
          <cell r="DL38">
            <v>2906.08</v>
          </cell>
          <cell r="DM38">
            <v>70073.495851086889</v>
          </cell>
          <cell r="DN38">
            <v>0</v>
          </cell>
          <cell r="DO38">
            <v>0</v>
          </cell>
          <cell r="DP38">
            <v>0</v>
          </cell>
          <cell r="DQ38">
            <v>115344.57585108689</v>
          </cell>
          <cell r="DR38">
            <v>0</v>
          </cell>
          <cell r="DS38">
            <v>0</v>
          </cell>
          <cell r="DT38">
            <v>0</v>
          </cell>
          <cell r="DU38">
            <v>0</v>
          </cell>
          <cell r="DV38">
            <v>0</v>
          </cell>
          <cell r="DW38">
            <v>0</v>
          </cell>
          <cell r="DX38">
            <v>0</v>
          </cell>
          <cell r="DY38">
            <v>2614.2715539208416</v>
          </cell>
          <cell r="DZ38">
            <v>0</v>
          </cell>
          <cell r="EA38">
            <v>0</v>
          </cell>
          <cell r="EB38">
            <v>2614.2715539208416</v>
          </cell>
          <cell r="EE38">
            <v>0</v>
          </cell>
          <cell r="EH38">
            <v>0</v>
          </cell>
          <cell r="EI38">
            <v>0</v>
          </cell>
          <cell r="EK38">
            <v>0</v>
          </cell>
          <cell r="EL38">
            <v>8885</v>
          </cell>
          <cell r="EM38">
            <v>0</v>
          </cell>
          <cell r="EO38">
            <v>8885</v>
          </cell>
          <cell r="EP38">
            <v>0</v>
          </cell>
          <cell r="EQ38">
            <v>109404.46227153951</v>
          </cell>
          <cell r="ER38">
            <v>1499671.0101052213</v>
          </cell>
          <cell r="ET38">
            <v>451.65263157894736</v>
          </cell>
          <cell r="EU38">
            <v>3320.4079977625101</v>
          </cell>
          <cell r="EV38" t="str">
            <v>No Variation Applied</v>
          </cell>
          <cell r="EW38">
            <v>25800</v>
          </cell>
          <cell r="EX38">
            <v>0</v>
          </cell>
          <cell r="EY38">
            <v>0</v>
          </cell>
          <cell r="EZ38">
            <v>142207.8980137347</v>
          </cell>
        </row>
        <row r="39">
          <cell r="C39" t="str">
            <v>Parkview Primary School</v>
          </cell>
          <cell r="D39">
            <v>2003</v>
          </cell>
          <cell r="F39" t="str">
            <v/>
          </cell>
          <cell r="G39">
            <v>0</v>
          </cell>
          <cell r="H39">
            <v>29640</v>
          </cell>
          <cell r="I39">
            <v>0</v>
          </cell>
          <cell r="J39">
            <v>0</v>
          </cell>
          <cell r="L39">
            <v>103634.22199646542</v>
          </cell>
          <cell r="M39">
            <v>29640</v>
          </cell>
          <cell r="N39">
            <v>31.2</v>
          </cell>
          <cell r="S39">
            <v>0</v>
          </cell>
          <cell r="T39">
            <v>0</v>
          </cell>
          <cell r="U39">
            <v>30</v>
          </cell>
          <cell r="Y39">
            <v>30</v>
          </cell>
          <cell r="Z39">
            <v>30</v>
          </cell>
          <cell r="AA39">
            <v>31</v>
          </cell>
          <cell r="AB39">
            <v>30</v>
          </cell>
          <cell r="AC39">
            <v>33</v>
          </cell>
          <cell r="AD39">
            <v>30</v>
          </cell>
          <cell r="AK39">
            <v>552816.7451866474</v>
          </cell>
          <cell r="AL39">
            <v>214</v>
          </cell>
          <cell r="BS39">
            <v>348.15600000000001</v>
          </cell>
          <cell r="BT39">
            <v>0</v>
          </cell>
          <cell r="BU39">
            <v>232.10400000000001</v>
          </cell>
          <cell r="BV39">
            <v>0</v>
          </cell>
          <cell r="BW39">
            <v>0</v>
          </cell>
          <cell r="BX39">
            <v>-7194.4679999999935</v>
          </cell>
          <cell r="BY39">
            <v>0</v>
          </cell>
          <cell r="BZ39">
            <v>0</v>
          </cell>
          <cell r="CA39">
            <v>0</v>
          </cell>
          <cell r="CB39">
            <v>0</v>
          </cell>
          <cell r="CC39">
            <v>0</v>
          </cell>
          <cell r="CD39">
            <v>0</v>
          </cell>
          <cell r="CE39">
            <v>-6614.2079999999933</v>
          </cell>
          <cell r="CF39">
            <v>11340.305565018814</v>
          </cell>
          <cell r="CI39">
            <v>0</v>
          </cell>
          <cell r="CJ39">
            <v>0</v>
          </cell>
          <cell r="CK39">
            <v>4343.5600000000004</v>
          </cell>
          <cell r="CL39">
            <v>1337.9701495360898</v>
          </cell>
          <cell r="CM39">
            <v>17021.835714554905</v>
          </cell>
          <cell r="CQ39">
            <v>1523.4619188921858</v>
          </cell>
          <cell r="CR39">
            <v>803.89</v>
          </cell>
          <cell r="CS39">
            <v>606.25578045377688</v>
          </cell>
          <cell r="CT39">
            <v>2933.6076993459628</v>
          </cell>
          <cell r="CU39">
            <v>8133.7716173479403</v>
          </cell>
          <cell r="CV39">
            <v>0</v>
          </cell>
          <cell r="CW39">
            <v>8133.7716173479403</v>
          </cell>
          <cell r="CX39">
            <v>0</v>
          </cell>
          <cell r="CZ39">
            <v>0</v>
          </cell>
          <cell r="DC39">
            <v>0</v>
          </cell>
          <cell r="DD39">
            <v>13818.083423658531</v>
          </cell>
          <cell r="DE39">
            <v>1591.6700189476753</v>
          </cell>
          <cell r="DF39">
            <v>856.11742475261747</v>
          </cell>
          <cell r="DG39">
            <v>0</v>
          </cell>
          <cell r="DH39">
            <v>0</v>
          </cell>
          <cell r="DI39">
            <v>16265.870867358824</v>
          </cell>
          <cell r="DJ39">
            <v>0</v>
          </cell>
          <cell r="DK39">
            <v>26335</v>
          </cell>
          <cell r="DL39">
            <v>1927.14</v>
          </cell>
          <cell r="DM39">
            <v>70073.495851086889</v>
          </cell>
          <cell r="DN39">
            <v>0</v>
          </cell>
          <cell r="DO39">
            <v>0</v>
          </cell>
          <cell r="DP39">
            <v>0</v>
          </cell>
          <cell r="DQ39">
            <v>98335.635851086889</v>
          </cell>
          <cell r="DR39">
            <v>0</v>
          </cell>
          <cell r="DS39">
            <v>0</v>
          </cell>
          <cell r="DT39">
            <v>0</v>
          </cell>
          <cell r="DU39">
            <v>0</v>
          </cell>
          <cell r="DV39">
            <v>0</v>
          </cell>
          <cell r="DW39">
            <v>0</v>
          </cell>
          <cell r="DX39">
            <v>0</v>
          </cell>
          <cell r="DY39">
            <v>1633.9197212005261</v>
          </cell>
          <cell r="DZ39">
            <v>0</v>
          </cell>
          <cell r="EA39">
            <v>0</v>
          </cell>
          <cell r="EB39">
            <v>1633.9197212005261</v>
          </cell>
          <cell r="EE39">
            <v>0</v>
          </cell>
          <cell r="EH39">
            <v>0</v>
          </cell>
          <cell r="EI39">
            <v>0</v>
          </cell>
          <cell r="EK39">
            <v>0</v>
          </cell>
          <cell r="EL39">
            <v>7258</v>
          </cell>
          <cell r="EM39">
            <v>0</v>
          </cell>
          <cell r="EO39">
            <v>7258</v>
          </cell>
          <cell r="EP39">
            <v>4006.0548974060221</v>
          </cell>
          <cell r="EQ39">
            <v>97020.013996465423</v>
          </cell>
          <cell r="ER39">
            <v>805425.45555141394</v>
          </cell>
          <cell r="ET39">
            <v>245.2</v>
          </cell>
          <cell r="EU39">
            <v>3284.7693945816231</v>
          </cell>
          <cell r="EV39" t="str">
            <v>No Variation Applied</v>
          </cell>
          <cell r="EW39">
            <v>9000</v>
          </cell>
          <cell r="EX39">
            <v>0</v>
          </cell>
          <cell r="EY39">
            <v>0</v>
          </cell>
          <cell r="EZ39">
            <v>35977.345131790782</v>
          </cell>
        </row>
        <row r="40">
          <cell r="C40" t="str">
            <v>Beaufort Community Primary School</v>
          </cell>
          <cell r="D40">
            <v>2004</v>
          </cell>
          <cell r="F40" t="str">
            <v/>
          </cell>
          <cell r="G40">
            <v>0</v>
          </cell>
          <cell r="H40">
            <v>34620</v>
          </cell>
          <cell r="I40">
            <v>0</v>
          </cell>
          <cell r="J40">
            <v>0</v>
          </cell>
          <cell r="L40">
            <v>121046.44957886751</v>
          </cell>
          <cell r="M40">
            <v>34620</v>
          </cell>
          <cell r="N40">
            <v>36.442105263157892</v>
          </cell>
          <cell r="S40">
            <v>0</v>
          </cell>
          <cell r="T40">
            <v>0</v>
          </cell>
          <cell r="U40">
            <v>44</v>
          </cell>
          <cell r="Y40">
            <v>41</v>
          </cell>
          <cell r="Z40">
            <v>31</v>
          </cell>
          <cell r="AA40">
            <v>30</v>
          </cell>
          <cell r="AB40">
            <v>32</v>
          </cell>
          <cell r="AC40">
            <v>32</v>
          </cell>
          <cell r="AD40">
            <v>29</v>
          </cell>
          <cell r="AK40">
            <v>620346.31013088557</v>
          </cell>
          <cell r="AL40">
            <v>239</v>
          </cell>
          <cell r="BS40">
            <v>17175.696</v>
          </cell>
          <cell r="BT40">
            <v>0</v>
          </cell>
          <cell r="BU40">
            <v>116.05200000000001</v>
          </cell>
          <cell r="BV40">
            <v>0</v>
          </cell>
          <cell r="BW40">
            <v>0</v>
          </cell>
          <cell r="BX40">
            <v>2150.1065999999992</v>
          </cell>
          <cell r="BY40">
            <v>0</v>
          </cell>
          <cell r="BZ40">
            <v>3011.5493999999999</v>
          </cell>
          <cell r="CA40">
            <v>0</v>
          </cell>
          <cell r="CB40">
            <v>0</v>
          </cell>
          <cell r="CC40">
            <v>0</v>
          </cell>
          <cell r="CD40">
            <v>0</v>
          </cell>
          <cell r="CE40">
            <v>22453.403999999999</v>
          </cell>
          <cell r="CF40">
            <v>22680.611130037629</v>
          </cell>
          <cell r="CI40">
            <v>0</v>
          </cell>
          <cell r="CJ40">
            <v>0</v>
          </cell>
          <cell r="CK40">
            <v>4850.9799999999996</v>
          </cell>
          <cell r="CL40">
            <v>1488.9847530423201</v>
          </cell>
          <cell r="CM40">
            <v>29020.57588307995</v>
          </cell>
          <cell r="CQ40">
            <v>8379.0405539070216</v>
          </cell>
          <cell r="CR40">
            <v>1406.8</v>
          </cell>
          <cell r="CS40">
            <v>2829.1936421176256</v>
          </cell>
          <cell r="CT40">
            <v>12615.034196024646</v>
          </cell>
          <cell r="CU40">
            <v>0</v>
          </cell>
          <cell r="CV40">
            <v>0</v>
          </cell>
          <cell r="CW40">
            <v>0</v>
          </cell>
          <cell r="CX40">
            <v>0</v>
          </cell>
          <cell r="CZ40">
            <v>0</v>
          </cell>
          <cell r="DC40">
            <v>0</v>
          </cell>
          <cell r="DD40">
            <v>176965.84960928748</v>
          </cell>
          <cell r="DE40">
            <v>136883.62162950006</v>
          </cell>
          <cell r="DF40">
            <v>17122.348495052349</v>
          </cell>
          <cell r="DG40">
            <v>0</v>
          </cell>
          <cell r="DH40">
            <v>0</v>
          </cell>
          <cell r="DI40">
            <v>330971.81973383989</v>
          </cell>
          <cell r="DJ40">
            <v>0</v>
          </cell>
          <cell r="DK40">
            <v>14427</v>
          </cell>
          <cell r="DL40">
            <v>17735.38</v>
          </cell>
          <cell r="DM40">
            <v>70073.495851086889</v>
          </cell>
          <cell r="DN40">
            <v>0</v>
          </cell>
          <cell r="DO40">
            <v>0</v>
          </cell>
          <cell r="DP40">
            <v>0</v>
          </cell>
          <cell r="DQ40">
            <v>102235.87585108689</v>
          </cell>
          <cell r="DR40">
            <v>0</v>
          </cell>
          <cell r="DS40">
            <v>0</v>
          </cell>
          <cell r="DT40">
            <v>0</v>
          </cell>
          <cell r="DU40">
            <v>0</v>
          </cell>
          <cell r="DV40">
            <v>0</v>
          </cell>
          <cell r="DW40">
            <v>0</v>
          </cell>
          <cell r="DX40">
            <v>0</v>
          </cell>
          <cell r="DY40">
            <v>7516.0307175224198</v>
          </cell>
          <cell r="DZ40">
            <v>0</v>
          </cell>
          <cell r="EA40">
            <v>0</v>
          </cell>
          <cell r="EB40">
            <v>7516.0307175224198</v>
          </cell>
          <cell r="EE40">
            <v>0</v>
          </cell>
          <cell r="EH40">
            <v>0</v>
          </cell>
          <cell r="EI40">
            <v>0</v>
          </cell>
          <cell r="EK40">
            <v>0</v>
          </cell>
          <cell r="EL40">
            <v>0</v>
          </cell>
          <cell r="EM40">
            <v>0</v>
          </cell>
          <cell r="EO40">
            <v>0</v>
          </cell>
          <cell r="EP40">
            <v>131618.87808295595</v>
          </cell>
          <cell r="EQ40">
            <v>143499.85357886751</v>
          </cell>
          <cell r="ER40">
            <v>1377824.3781742626</v>
          </cell>
          <cell r="ET40">
            <v>275.44210526315788</v>
          </cell>
          <cell r="EU40">
            <v>5002.228605745976</v>
          </cell>
          <cell r="EV40" t="str">
            <v>No Variation Applied</v>
          </cell>
          <cell r="EW40">
            <v>93000</v>
          </cell>
          <cell r="EX40">
            <v>0</v>
          </cell>
          <cell r="EY40">
            <v>0</v>
          </cell>
          <cell r="EZ40">
            <v>224542.26558511236</v>
          </cell>
        </row>
        <row r="41">
          <cell r="C41" t="str">
            <v>Ashgate Primary School</v>
          </cell>
          <cell r="D41">
            <v>2005</v>
          </cell>
          <cell r="F41" t="str">
            <v/>
          </cell>
          <cell r="G41">
            <v>0</v>
          </cell>
          <cell r="H41">
            <v>0</v>
          </cell>
          <cell r="I41">
            <v>0</v>
          </cell>
          <cell r="J41">
            <v>0</v>
          </cell>
          <cell r="L41">
            <v>0</v>
          </cell>
          <cell r="M41">
            <v>0</v>
          </cell>
          <cell r="N41">
            <v>0</v>
          </cell>
          <cell r="S41">
            <v>0</v>
          </cell>
          <cell r="T41">
            <v>0</v>
          </cell>
          <cell r="U41">
            <v>44</v>
          </cell>
          <cell r="Y41">
            <v>41</v>
          </cell>
          <cell r="Z41">
            <v>42</v>
          </cell>
          <cell r="AA41">
            <v>39</v>
          </cell>
          <cell r="AB41">
            <v>40</v>
          </cell>
          <cell r="AC41">
            <v>38</v>
          </cell>
          <cell r="AD41">
            <v>27</v>
          </cell>
          <cell r="AK41">
            <v>701255.30030860484</v>
          </cell>
          <cell r="AL41">
            <v>271</v>
          </cell>
          <cell r="BS41">
            <v>0</v>
          </cell>
          <cell r="BT41">
            <v>0</v>
          </cell>
          <cell r="BU41">
            <v>0</v>
          </cell>
          <cell r="BV41">
            <v>0</v>
          </cell>
          <cell r="BW41">
            <v>0</v>
          </cell>
          <cell r="BX41">
            <v>0</v>
          </cell>
          <cell r="BY41">
            <v>0</v>
          </cell>
          <cell r="BZ41">
            <v>0</v>
          </cell>
          <cell r="CA41">
            <v>0</v>
          </cell>
          <cell r="CB41">
            <v>0</v>
          </cell>
          <cell r="CC41">
            <v>0</v>
          </cell>
          <cell r="CD41">
            <v>0</v>
          </cell>
          <cell r="CE41">
            <v>0</v>
          </cell>
          <cell r="CF41">
            <v>22680.611130037629</v>
          </cell>
          <cell r="CI41">
            <v>0</v>
          </cell>
          <cell r="CJ41">
            <v>0</v>
          </cell>
          <cell r="CK41">
            <v>5500.49</v>
          </cell>
          <cell r="CL41">
            <v>2245.0196470289243</v>
          </cell>
          <cell r="CM41">
            <v>30426.12077706655</v>
          </cell>
          <cell r="CQ41">
            <v>9140.7715133531146</v>
          </cell>
          <cell r="CR41">
            <v>8038.86</v>
          </cell>
          <cell r="CS41">
            <v>5658.3872842352512</v>
          </cell>
          <cell r="CT41">
            <v>22838.018797588364</v>
          </cell>
          <cell r="CU41">
            <v>0</v>
          </cell>
          <cell r="CV41">
            <v>0</v>
          </cell>
          <cell r="CW41">
            <v>0</v>
          </cell>
          <cell r="CX41">
            <v>0</v>
          </cell>
          <cell r="CZ41">
            <v>0</v>
          </cell>
          <cell r="DC41">
            <v>0</v>
          </cell>
          <cell r="DD41">
            <v>150671.6737881742</v>
          </cell>
          <cell r="DE41">
            <v>95500.201136860516</v>
          </cell>
          <cell r="DF41">
            <v>6848.9393980209397</v>
          </cell>
          <cell r="DG41">
            <v>0</v>
          </cell>
          <cell r="DH41">
            <v>0</v>
          </cell>
          <cell r="DI41">
            <v>253020.81432305565</v>
          </cell>
          <cell r="DJ41">
            <v>0</v>
          </cell>
          <cell r="DK41">
            <v>14427</v>
          </cell>
          <cell r="DL41">
            <v>8293.5400000000009</v>
          </cell>
          <cell r="DM41">
            <v>70073.495851086889</v>
          </cell>
          <cell r="DN41">
            <v>0</v>
          </cell>
          <cell r="DO41">
            <v>0</v>
          </cell>
          <cell r="DP41">
            <v>0</v>
          </cell>
          <cell r="DQ41">
            <v>92794.035851086897</v>
          </cell>
          <cell r="DR41">
            <v>0</v>
          </cell>
          <cell r="DS41">
            <v>0</v>
          </cell>
          <cell r="DT41">
            <v>0</v>
          </cell>
          <cell r="DU41">
            <v>0</v>
          </cell>
          <cell r="DV41">
            <v>0</v>
          </cell>
          <cell r="DW41">
            <v>0</v>
          </cell>
          <cell r="DX41">
            <v>0</v>
          </cell>
          <cell r="DY41">
            <v>6208.8949405619987</v>
          </cell>
          <cell r="DZ41">
            <v>0</v>
          </cell>
          <cell r="EA41">
            <v>0</v>
          </cell>
          <cell r="EB41">
            <v>6208.8949405619987</v>
          </cell>
          <cell r="EE41">
            <v>0</v>
          </cell>
          <cell r="EH41">
            <v>0</v>
          </cell>
          <cell r="EI41">
            <v>0</v>
          </cell>
          <cell r="EK41">
            <v>0</v>
          </cell>
          <cell r="EL41">
            <v>0</v>
          </cell>
          <cell r="EM41">
            <v>0</v>
          </cell>
          <cell r="EO41">
            <v>0</v>
          </cell>
          <cell r="EP41">
            <v>0</v>
          </cell>
          <cell r="EQ41">
            <v>0</v>
          </cell>
          <cell r="ER41">
            <v>1106543.1849979644</v>
          </cell>
          <cell r="ET41">
            <v>271</v>
          </cell>
          <cell r="EU41">
            <v>4083.1851844943335</v>
          </cell>
          <cell r="EV41" t="str">
            <v>No Variation Applied</v>
          </cell>
          <cell r="EW41">
            <v>85800</v>
          </cell>
          <cell r="EX41">
            <v>0</v>
          </cell>
          <cell r="EY41">
            <v>0</v>
          </cell>
          <cell r="EZ41">
            <v>192275.93961221055</v>
          </cell>
        </row>
        <row r="42">
          <cell r="C42" t="str">
            <v>Homefields Primary School</v>
          </cell>
          <cell r="D42">
            <v>2006</v>
          </cell>
          <cell r="F42" t="str">
            <v/>
          </cell>
          <cell r="G42">
            <v>0</v>
          </cell>
          <cell r="H42">
            <v>27144</v>
          </cell>
          <cell r="I42">
            <v>0</v>
          </cell>
          <cell r="J42">
            <v>0</v>
          </cell>
          <cell r="L42">
            <v>94907.129617815706</v>
          </cell>
          <cell r="M42">
            <v>27144</v>
          </cell>
          <cell r="N42">
            <v>28.572631578947369</v>
          </cell>
          <cell r="S42">
            <v>0</v>
          </cell>
          <cell r="T42">
            <v>0</v>
          </cell>
          <cell r="U42">
            <v>31</v>
          </cell>
          <cell r="Y42">
            <v>30</v>
          </cell>
          <cell r="Z42">
            <v>30</v>
          </cell>
          <cell r="AA42">
            <v>32</v>
          </cell>
          <cell r="AB42">
            <v>32</v>
          </cell>
          <cell r="AC42">
            <v>33</v>
          </cell>
          <cell r="AD42">
            <v>32</v>
          </cell>
          <cell r="AK42">
            <v>568570.04040945694</v>
          </cell>
          <cell r="AL42">
            <v>220</v>
          </cell>
          <cell r="BS42">
            <v>580.26</v>
          </cell>
          <cell r="BT42">
            <v>0</v>
          </cell>
          <cell r="BU42">
            <v>0</v>
          </cell>
          <cell r="BV42">
            <v>0</v>
          </cell>
          <cell r="BW42">
            <v>0</v>
          </cell>
          <cell r="BX42">
            <v>2490.4785858862451</v>
          </cell>
          <cell r="BY42">
            <v>0</v>
          </cell>
          <cell r="BZ42">
            <v>0</v>
          </cell>
          <cell r="CA42">
            <v>0</v>
          </cell>
          <cell r="CB42">
            <v>0</v>
          </cell>
          <cell r="CC42">
            <v>0</v>
          </cell>
          <cell r="CD42">
            <v>0</v>
          </cell>
          <cell r="CE42">
            <v>3070.7385858862453</v>
          </cell>
          <cell r="CF42">
            <v>11340.305565018814</v>
          </cell>
          <cell r="CI42">
            <v>0</v>
          </cell>
          <cell r="CJ42">
            <v>0</v>
          </cell>
          <cell r="CK42">
            <v>4465.34</v>
          </cell>
          <cell r="CL42">
            <v>3608.9604608622635</v>
          </cell>
          <cell r="CM42">
            <v>19414.606025881079</v>
          </cell>
          <cell r="CQ42">
            <v>4570.3857566765573</v>
          </cell>
          <cell r="CR42">
            <v>3416.51</v>
          </cell>
          <cell r="CS42">
            <v>1010.4263007562949</v>
          </cell>
          <cell r="CT42">
            <v>8997.3220574328516</v>
          </cell>
          <cell r="CU42">
            <v>8634.3114091847365</v>
          </cell>
          <cell r="CV42">
            <v>0</v>
          </cell>
          <cell r="CW42">
            <v>8634.3114091847365</v>
          </cell>
          <cell r="CX42">
            <v>0</v>
          </cell>
          <cell r="CZ42">
            <v>0</v>
          </cell>
          <cell r="DC42">
            <v>0</v>
          </cell>
          <cell r="DD42">
            <v>17003.468716625706</v>
          </cell>
          <cell r="DE42">
            <v>8867.8758198513333</v>
          </cell>
          <cell r="DF42">
            <v>4280.5871237630872</v>
          </cell>
          <cell r="DG42">
            <v>0</v>
          </cell>
          <cell r="DH42">
            <v>0</v>
          </cell>
          <cell r="DI42">
            <v>30151.931660240123</v>
          </cell>
          <cell r="DJ42">
            <v>0</v>
          </cell>
          <cell r="DK42">
            <v>26793</v>
          </cell>
          <cell r="DL42">
            <v>1819.74</v>
          </cell>
          <cell r="DM42">
            <v>70073.495851086889</v>
          </cell>
          <cell r="DN42">
            <v>0</v>
          </cell>
          <cell r="DO42">
            <v>0</v>
          </cell>
          <cell r="DP42">
            <v>0</v>
          </cell>
          <cell r="DQ42">
            <v>98686.235851086894</v>
          </cell>
          <cell r="DR42">
            <v>0</v>
          </cell>
          <cell r="DS42">
            <v>0</v>
          </cell>
          <cell r="DT42">
            <v>0</v>
          </cell>
          <cell r="DU42">
            <v>0</v>
          </cell>
          <cell r="DV42">
            <v>0</v>
          </cell>
          <cell r="DW42">
            <v>0</v>
          </cell>
          <cell r="DX42">
            <v>0</v>
          </cell>
          <cell r="DY42">
            <v>2941.0554981609466</v>
          </cell>
          <cell r="DZ42">
            <v>0</v>
          </cell>
          <cell r="EA42">
            <v>0</v>
          </cell>
          <cell r="EB42">
            <v>2941.0554981609466</v>
          </cell>
          <cell r="EE42">
            <v>0</v>
          </cell>
          <cell r="EH42">
            <v>0</v>
          </cell>
          <cell r="EI42">
            <v>0</v>
          </cell>
          <cell r="EK42">
            <v>0</v>
          </cell>
          <cell r="EL42">
            <v>0</v>
          </cell>
          <cell r="EM42">
            <v>0</v>
          </cell>
          <cell r="EO42">
            <v>0</v>
          </cell>
          <cell r="EP42">
            <v>37617.409550808487</v>
          </cell>
          <cell r="EQ42">
            <v>97977.868203701946</v>
          </cell>
          <cell r="ER42">
            <v>872990.78066595411</v>
          </cell>
          <cell r="ET42">
            <v>248.57263157894738</v>
          </cell>
          <cell r="EU42">
            <v>3512.0148791951369</v>
          </cell>
          <cell r="EV42" t="str">
            <v>No Variation Applied</v>
          </cell>
          <cell r="EW42">
            <v>10600</v>
          </cell>
          <cell r="EX42">
            <v>0</v>
          </cell>
          <cell r="EY42">
            <v>0</v>
          </cell>
          <cell r="EZ42">
            <v>50073.978998367005</v>
          </cell>
        </row>
        <row r="43">
          <cell r="C43" t="str">
            <v>Allenton Community Primary School</v>
          </cell>
          <cell r="D43">
            <v>2400</v>
          </cell>
          <cell r="F43" t="str">
            <v/>
          </cell>
          <cell r="G43">
            <v>0</v>
          </cell>
          <cell r="H43">
            <v>0</v>
          </cell>
          <cell r="I43">
            <v>0</v>
          </cell>
          <cell r="J43">
            <v>0</v>
          </cell>
          <cell r="L43">
            <v>0</v>
          </cell>
          <cell r="M43">
            <v>0</v>
          </cell>
          <cell r="N43">
            <v>0</v>
          </cell>
          <cell r="S43">
            <v>0</v>
          </cell>
          <cell r="T43">
            <v>0</v>
          </cell>
          <cell r="U43">
            <v>50</v>
          </cell>
          <cell r="Y43">
            <v>40</v>
          </cell>
          <cell r="Z43">
            <v>35</v>
          </cell>
          <cell r="AA43">
            <v>44</v>
          </cell>
          <cell r="AB43">
            <v>31</v>
          </cell>
          <cell r="AC43">
            <v>32</v>
          </cell>
          <cell r="AD43">
            <v>25</v>
          </cell>
          <cell r="AK43">
            <v>668261.70425534295</v>
          </cell>
          <cell r="AL43">
            <v>257</v>
          </cell>
          <cell r="BS43">
            <v>0</v>
          </cell>
          <cell r="BT43">
            <v>0</v>
          </cell>
          <cell r="BU43">
            <v>0</v>
          </cell>
          <cell r="BV43">
            <v>0</v>
          </cell>
          <cell r="BW43">
            <v>0</v>
          </cell>
          <cell r="BX43">
            <v>0</v>
          </cell>
          <cell r="BY43">
            <v>0</v>
          </cell>
          <cell r="BZ43">
            <v>0</v>
          </cell>
          <cell r="CA43">
            <v>0</v>
          </cell>
          <cell r="CB43">
            <v>0</v>
          </cell>
          <cell r="CC43">
            <v>0</v>
          </cell>
          <cell r="CD43">
            <v>0</v>
          </cell>
          <cell r="CE43">
            <v>0</v>
          </cell>
          <cell r="CF43">
            <v>22680.611130037629</v>
          </cell>
          <cell r="CI43">
            <v>0</v>
          </cell>
          <cell r="CJ43">
            <v>0</v>
          </cell>
          <cell r="CK43">
            <v>5216.33</v>
          </cell>
          <cell r="CL43">
            <v>1932.7304244916245</v>
          </cell>
          <cell r="CM43">
            <v>29829.671554529254</v>
          </cell>
          <cell r="CQ43">
            <v>9140.7715133531146</v>
          </cell>
          <cell r="CR43">
            <v>9043.7099999999991</v>
          </cell>
          <cell r="CS43">
            <v>5052.1315037814747</v>
          </cell>
          <cell r="CT43">
            <v>23236.61301713459</v>
          </cell>
          <cell r="CU43">
            <v>0</v>
          </cell>
          <cell r="CV43">
            <v>0</v>
          </cell>
          <cell r="CW43">
            <v>0</v>
          </cell>
          <cell r="CX43">
            <v>0</v>
          </cell>
          <cell r="CZ43">
            <v>0</v>
          </cell>
          <cell r="DC43">
            <v>0</v>
          </cell>
          <cell r="DD43">
            <v>212432.75530181554</v>
          </cell>
          <cell r="DE43">
            <v>169853.92916484477</v>
          </cell>
          <cell r="DF43">
            <v>11985.643946536644</v>
          </cell>
          <cell r="DG43">
            <v>0</v>
          </cell>
          <cell r="DH43">
            <v>0</v>
          </cell>
          <cell r="DI43">
            <v>394272.32841319696</v>
          </cell>
          <cell r="DJ43">
            <v>0</v>
          </cell>
          <cell r="DK43">
            <v>27251</v>
          </cell>
          <cell r="DL43">
            <v>4765.08</v>
          </cell>
          <cell r="DM43">
            <v>70073.495851086889</v>
          </cell>
          <cell r="DN43">
            <v>0</v>
          </cell>
          <cell r="DO43">
            <v>0</v>
          </cell>
          <cell r="DP43">
            <v>0</v>
          </cell>
          <cell r="DQ43">
            <v>102089.57585108689</v>
          </cell>
          <cell r="DR43">
            <v>0</v>
          </cell>
          <cell r="DS43">
            <v>0</v>
          </cell>
          <cell r="DT43">
            <v>0</v>
          </cell>
          <cell r="DU43">
            <v>0</v>
          </cell>
          <cell r="DV43">
            <v>0</v>
          </cell>
          <cell r="DW43">
            <v>0</v>
          </cell>
          <cell r="DX43">
            <v>0</v>
          </cell>
          <cell r="DY43">
            <v>5555.3270520817887</v>
          </cell>
          <cell r="DZ43">
            <v>0</v>
          </cell>
          <cell r="EA43">
            <v>0</v>
          </cell>
          <cell r="EB43">
            <v>5555.3270520817887</v>
          </cell>
          <cell r="EE43">
            <v>0</v>
          </cell>
          <cell r="EH43">
            <v>0</v>
          </cell>
          <cell r="EI43">
            <v>0</v>
          </cell>
          <cell r="EK43">
            <v>0</v>
          </cell>
          <cell r="EL43">
            <v>0</v>
          </cell>
          <cell r="EM43">
            <v>0</v>
          </cell>
          <cell r="EO43">
            <v>0</v>
          </cell>
          <cell r="EP43">
            <v>0</v>
          </cell>
          <cell r="EQ43">
            <v>0</v>
          </cell>
          <cell r="ER43">
            <v>1223245.2201433724</v>
          </cell>
          <cell r="ET43">
            <v>257</v>
          </cell>
          <cell r="EU43">
            <v>4759.7090277952238</v>
          </cell>
          <cell r="EV43" t="str">
            <v>No Variation Applied</v>
          </cell>
          <cell r="EW43">
            <v>102000</v>
          </cell>
          <cell r="EX43">
            <v>0</v>
          </cell>
          <cell r="EY43">
            <v>0</v>
          </cell>
          <cell r="EZ43">
            <v>258937.79302718112</v>
          </cell>
        </row>
        <row r="44">
          <cell r="C44" t="str">
            <v>Becket Primary School</v>
          </cell>
          <cell r="D44">
            <v>2405</v>
          </cell>
          <cell r="F44" t="str">
            <v/>
          </cell>
          <cell r="G44">
            <v>0</v>
          </cell>
          <cell r="H44">
            <v>23310</v>
          </cell>
          <cell r="I44">
            <v>0</v>
          </cell>
          <cell r="J44">
            <v>0</v>
          </cell>
          <cell r="L44">
            <v>81501.812238110972</v>
          </cell>
          <cell r="M44">
            <v>23310</v>
          </cell>
          <cell r="N44">
            <v>24.536842105263158</v>
          </cell>
          <cell r="S44">
            <v>0</v>
          </cell>
          <cell r="T44">
            <v>0</v>
          </cell>
          <cell r="U44">
            <v>30</v>
          </cell>
          <cell r="Y44">
            <v>29</v>
          </cell>
          <cell r="Z44">
            <v>28</v>
          </cell>
          <cell r="AA44">
            <v>29</v>
          </cell>
          <cell r="AB44">
            <v>22</v>
          </cell>
          <cell r="AC44">
            <v>24</v>
          </cell>
          <cell r="AD44">
            <v>21</v>
          </cell>
          <cell r="AK44">
            <v>473525.26908745419</v>
          </cell>
          <cell r="AL44">
            <v>183</v>
          </cell>
          <cell r="BS44">
            <v>10560.732</v>
          </cell>
          <cell r="BT44">
            <v>0</v>
          </cell>
          <cell r="BU44">
            <v>1856.8320000000001</v>
          </cell>
          <cell r="BV44">
            <v>0</v>
          </cell>
          <cell r="BW44">
            <v>0</v>
          </cell>
          <cell r="BX44">
            <v>-12455.373399999997</v>
          </cell>
          <cell r="BY44">
            <v>0</v>
          </cell>
          <cell r="BZ44">
            <v>3011.5493999999999</v>
          </cell>
          <cell r="CA44">
            <v>0</v>
          </cell>
          <cell r="CB44">
            <v>0</v>
          </cell>
          <cell r="CC44">
            <v>0</v>
          </cell>
          <cell r="CD44">
            <v>0</v>
          </cell>
          <cell r="CE44">
            <v>2973.7400000000034</v>
          </cell>
          <cell r="CF44">
            <v>11340.305565018814</v>
          </cell>
          <cell r="CI44">
            <v>0</v>
          </cell>
          <cell r="CJ44">
            <v>0</v>
          </cell>
          <cell r="CK44">
            <v>3714.35</v>
          </cell>
          <cell r="CL44">
            <v>1508.222282151394</v>
          </cell>
          <cell r="CM44">
            <v>16562.87784717021</v>
          </cell>
          <cell r="CQ44">
            <v>10664.233432245301</v>
          </cell>
          <cell r="CR44">
            <v>6833.03</v>
          </cell>
          <cell r="CS44">
            <v>5456.3020240839924</v>
          </cell>
          <cell r="CT44">
            <v>22953.565456329292</v>
          </cell>
          <cell r="CU44">
            <v>22524.290632655837</v>
          </cell>
          <cell r="CV44">
            <v>0</v>
          </cell>
          <cell r="CW44">
            <v>22524.290632655837</v>
          </cell>
          <cell r="CX44">
            <v>100923.30180935774</v>
          </cell>
          <cell r="CZ44">
            <v>100923.30180935774</v>
          </cell>
          <cell r="DC44">
            <v>0</v>
          </cell>
          <cell r="DD44">
            <v>124982.13128655929</v>
          </cell>
          <cell r="DE44">
            <v>85495.418160617977</v>
          </cell>
          <cell r="DF44">
            <v>14553.996220794497</v>
          </cell>
          <cell r="DG44">
            <v>0</v>
          </cell>
          <cell r="DH44">
            <v>0</v>
          </cell>
          <cell r="DI44">
            <v>225031.54566797178</v>
          </cell>
          <cell r="DJ44">
            <v>0</v>
          </cell>
          <cell r="DK44">
            <v>12595</v>
          </cell>
          <cell r="DL44">
            <v>4311.09</v>
          </cell>
          <cell r="DM44">
            <v>70073.495851086889</v>
          </cell>
          <cell r="DN44">
            <v>0</v>
          </cell>
          <cell r="DO44">
            <v>0</v>
          </cell>
          <cell r="DP44">
            <v>0</v>
          </cell>
          <cell r="DQ44">
            <v>86979.585851086886</v>
          </cell>
          <cell r="DR44">
            <v>0</v>
          </cell>
          <cell r="DS44">
            <v>0</v>
          </cell>
          <cell r="DT44">
            <v>0</v>
          </cell>
          <cell r="DU44">
            <v>0</v>
          </cell>
          <cell r="DV44">
            <v>0</v>
          </cell>
          <cell r="DW44">
            <v>0</v>
          </cell>
          <cell r="DX44">
            <v>0</v>
          </cell>
          <cell r="DY44">
            <v>7842.8146617625243</v>
          </cell>
          <cell r="DZ44">
            <v>0</v>
          </cell>
          <cell r="EA44">
            <v>0</v>
          </cell>
          <cell r="EB44">
            <v>7842.8146617625243</v>
          </cell>
          <cell r="EE44">
            <v>0</v>
          </cell>
          <cell r="EH44">
            <v>0</v>
          </cell>
          <cell r="EI44">
            <v>0</v>
          </cell>
          <cell r="EK44">
            <v>0</v>
          </cell>
          <cell r="EL44">
            <v>9260</v>
          </cell>
          <cell r="EM44">
            <v>0</v>
          </cell>
          <cell r="EO44">
            <v>9260</v>
          </cell>
          <cell r="EP44">
            <v>11367.63220066228</v>
          </cell>
          <cell r="EQ44">
            <v>84475.552238110977</v>
          </cell>
          <cell r="ER44">
            <v>1061446.4354525616</v>
          </cell>
          <cell r="ET44">
            <v>207.53684210526316</v>
          </cell>
          <cell r="EU44">
            <v>5114.4964175285731</v>
          </cell>
          <cell r="EV44" t="str">
            <v>No Variation Applied</v>
          </cell>
          <cell r="EW44">
            <v>63500</v>
          </cell>
          <cell r="EX44">
            <v>0</v>
          </cell>
          <cell r="EY44">
            <v>0</v>
          </cell>
          <cell r="EZ44">
            <v>300867.91521789314</v>
          </cell>
        </row>
        <row r="45">
          <cell r="C45" t="str">
            <v>Boulton Primary School</v>
          </cell>
          <cell r="D45">
            <v>2407</v>
          </cell>
          <cell r="E45" t="str">
            <v>Converter</v>
          </cell>
          <cell r="F45">
            <v>41153</v>
          </cell>
          <cell r="G45">
            <v>0</v>
          </cell>
          <cell r="H45">
            <v>22830</v>
          </cell>
          <cell r="I45">
            <v>0</v>
          </cell>
          <cell r="J45">
            <v>0</v>
          </cell>
          <cell r="L45">
            <v>79823.525242216798</v>
          </cell>
          <cell r="M45">
            <v>22830</v>
          </cell>
          <cell r="N45">
            <v>24.03157894736842</v>
          </cell>
          <cell r="S45">
            <v>0</v>
          </cell>
          <cell r="T45">
            <v>0</v>
          </cell>
          <cell r="U45">
            <v>37</v>
          </cell>
          <cell r="Y45">
            <v>51</v>
          </cell>
          <cell r="Z45">
            <v>32</v>
          </cell>
          <cell r="AA45">
            <v>39</v>
          </cell>
          <cell r="AB45">
            <v>29</v>
          </cell>
          <cell r="AC45">
            <v>31</v>
          </cell>
          <cell r="AD45">
            <v>25</v>
          </cell>
          <cell r="AK45">
            <v>629521.78068105795</v>
          </cell>
          <cell r="AL45">
            <v>244</v>
          </cell>
          <cell r="BS45">
            <v>13229.928</v>
          </cell>
          <cell r="BT45">
            <v>0</v>
          </cell>
          <cell r="BU45">
            <v>812.36400000000003</v>
          </cell>
          <cell r="BV45">
            <v>0</v>
          </cell>
          <cell r="BW45">
            <v>0</v>
          </cell>
          <cell r="BX45">
            <v>5100.8629999999976</v>
          </cell>
          <cell r="BY45">
            <v>0</v>
          </cell>
          <cell r="BZ45">
            <v>5019.2489999999998</v>
          </cell>
          <cell r="CA45">
            <v>0</v>
          </cell>
          <cell r="CB45">
            <v>0</v>
          </cell>
          <cell r="CC45">
            <v>0</v>
          </cell>
          <cell r="CD45">
            <v>0</v>
          </cell>
          <cell r="CE45">
            <v>24162.403999999999</v>
          </cell>
          <cell r="CF45">
            <v>22680.611130037629</v>
          </cell>
          <cell r="CI45">
            <v>0</v>
          </cell>
          <cell r="CJ45">
            <v>0</v>
          </cell>
          <cell r="CK45">
            <v>4952.47</v>
          </cell>
          <cell r="CL45">
            <v>927.2489030573621</v>
          </cell>
          <cell r="CM45">
            <v>28560.330033094993</v>
          </cell>
          <cell r="CQ45">
            <v>6855.5786350148364</v>
          </cell>
          <cell r="CR45">
            <v>6833.03</v>
          </cell>
          <cell r="CS45">
            <v>5658.3872842352512</v>
          </cell>
          <cell r="CT45">
            <v>19346.995919250086</v>
          </cell>
          <cell r="CU45">
            <v>11137.010368368719</v>
          </cell>
          <cell r="CV45">
            <v>9009.7162530623336</v>
          </cell>
          <cell r="CW45">
            <v>20146.726621431051</v>
          </cell>
          <cell r="CX45">
            <v>0</v>
          </cell>
          <cell r="CZ45">
            <v>0</v>
          </cell>
          <cell r="DC45">
            <v>0</v>
          </cell>
          <cell r="DD45">
            <v>159121.79310701767</v>
          </cell>
          <cell r="DE45">
            <v>131653.84871010057</v>
          </cell>
          <cell r="DF45">
            <v>23115.17046832067</v>
          </cell>
          <cell r="DG45">
            <v>0</v>
          </cell>
          <cell r="DH45">
            <v>0</v>
          </cell>
          <cell r="DI45">
            <v>313890.81228543894</v>
          </cell>
          <cell r="DJ45">
            <v>0</v>
          </cell>
          <cell r="DK45">
            <v>14240.29</v>
          </cell>
          <cell r="DL45">
            <v>9409.0300000000007</v>
          </cell>
          <cell r="DM45">
            <v>70073.495851086889</v>
          </cell>
          <cell r="DN45">
            <v>0</v>
          </cell>
          <cell r="DO45">
            <v>0</v>
          </cell>
          <cell r="DP45">
            <v>0</v>
          </cell>
          <cell r="DQ45">
            <v>93722.815851086896</v>
          </cell>
          <cell r="DR45">
            <v>0</v>
          </cell>
          <cell r="DS45">
            <v>0</v>
          </cell>
          <cell r="DT45">
            <v>0</v>
          </cell>
          <cell r="DU45">
            <v>0</v>
          </cell>
          <cell r="DV45">
            <v>0</v>
          </cell>
          <cell r="DW45">
            <v>0</v>
          </cell>
          <cell r="DX45">
            <v>0</v>
          </cell>
          <cell r="DY45">
            <v>12744.573825364103</v>
          </cell>
          <cell r="DZ45">
            <v>0</v>
          </cell>
          <cell r="EA45">
            <v>0</v>
          </cell>
          <cell r="EB45">
            <v>12744.573825364103</v>
          </cell>
          <cell r="EE45">
            <v>0</v>
          </cell>
          <cell r="EH45">
            <v>0</v>
          </cell>
          <cell r="EI45">
            <v>0</v>
          </cell>
          <cell r="EK45">
            <v>0</v>
          </cell>
          <cell r="EL45">
            <v>13264</v>
          </cell>
          <cell r="EM45">
            <v>0</v>
          </cell>
          <cell r="EO45">
            <v>13264</v>
          </cell>
          <cell r="EP45">
            <v>0</v>
          </cell>
          <cell r="EQ45">
            <v>103985.92924221679</v>
          </cell>
          <cell r="ER45">
            <v>1235183.9644589408</v>
          </cell>
          <cell r="ET45">
            <v>268.03157894736842</v>
          </cell>
          <cell r="EU45">
            <v>4608.3523788869879</v>
          </cell>
          <cell r="EV45" t="str">
            <v>No Variation Applied</v>
          </cell>
          <cell r="EW45">
            <v>82600</v>
          </cell>
          <cell r="EX45">
            <v>0</v>
          </cell>
          <cell r="EY45">
            <v>0</v>
          </cell>
          <cell r="EZ45">
            <v>244882.80002317223</v>
          </cell>
        </row>
        <row r="46">
          <cell r="C46" t="str">
            <v>Dale Community Primary School</v>
          </cell>
          <cell r="D46">
            <v>2409</v>
          </cell>
          <cell r="F46" t="str">
            <v/>
          </cell>
          <cell r="G46">
            <v>0</v>
          </cell>
          <cell r="H46">
            <v>0</v>
          </cell>
          <cell r="I46">
            <v>0</v>
          </cell>
          <cell r="J46">
            <v>0</v>
          </cell>
          <cell r="L46">
            <v>0</v>
          </cell>
          <cell r="M46">
            <v>0</v>
          </cell>
          <cell r="N46">
            <v>0</v>
          </cell>
          <cell r="S46">
            <v>0</v>
          </cell>
          <cell r="T46">
            <v>0</v>
          </cell>
          <cell r="U46">
            <v>81</v>
          </cell>
          <cell r="Y46">
            <v>75</v>
          </cell>
          <cell r="Z46">
            <v>77</v>
          </cell>
          <cell r="AA46">
            <v>82</v>
          </cell>
          <cell r="AB46">
            <v>81</v>
          </cell>
          <cell r="AC46">
            <v>81</v>
          </cell>
          <cell r="AD46">
            <v>78</v>
          </cell>
          <cell r="AK46">
            <v>1435214.8369799773</v>
          </cell>
          <cell r="AL46">
            <v>555</v>
          </cell>
          <cell r="BS46">
            <v>0</v>
          </cell>
          <cell r="BT46">
            <v>0</v>
          </cell>
          <cell r="BU46">
            <v>0</v>
          </cell>
          <cell r="BV46">
            <v>0</v>
          </cell>
          <cell r="BW46">
            <v>0</v>
          </cell>
          <cell r="BX46">
            <v>0</v>
          </cell>
          <cell r="BY46">
            <v>0</v>
          </cell>
          <cell r="BZ46">
            <v>0</v>
          </cell>
          <cell r="CA46">
            <v>0</v>
          </cell>
          <cell r="CB46">
            <v>0</v>
          </cell>
          <cell r="CC46">
            <v>0</v>
          </cell>
          <cell r="CD46">
            <v>0</v>
          </cell>
          <cell r="CE46">
            <v>0</v>
          </cell>
          <cell r="CF46">
            <v>34020.916695056439</v>
          </cell>
          <cell r="CI46">
            <v>0</v>
          </cell>
          <cell r="CJ46">
            <v>0</v>
          </cell>
          <cell r="CK46">
            <v>11264.83</v>
          </cell>
          <cell r="CL46">
            <v>5744.3261919694669</v>
          </cell>
          <cell r="CM46">
            <v>51030.072887025904</v>
          </cell>
          <cell r="CQ46">
            <v>23613.659742828881</v>
          </cell>
          <cell r="CR46">
            <v>81393.429999999993</v>
          </cell>
          <cell r="CS46">
            <v>91544.622848520317</v>
          </cell>
          <cell r="CT46">
            <v>196551.71259134921</v>
          </cell>
          <cell r="CU46">
            <v>16517.813130614279</v>
          </cell>
          <cell r="CV46">
            <v>0</v>
          </cell>
          <cell r="CW46">
            <v>16517.813130614279</v>
          </cell>
          <cell r="CX46">
            <v>0</v>
          </cell>
          <cell r="CZ46">
            <v>0</v>
          </cell>
          <cell r="DC46">
            <v>0</v>
          </cell>
          <cell r="DD46">
            <v>176951.10245515336</v>
          </cell>
          <cell r="DE46">
            <v>296960.14924938057</v>
          </cell>
          <cell r="DF46">
            <v>22259.053043568056</v>
          </cell>
          <cell r="DG46">
            <v>0</v>
          </cell>
          <cell r="DH46">
            <v>0</v>
          </cell>
          <cell r="DI46">
            <v>496170.30474810197</v>
          </cell>
          <cell r="DJ46">
            <v>0</v>
          </cell>
          <cell r="DK46">
            <v>30457</v>
          </cell>
          <cell r="DL46">
            <v>3805.41</v>
          </cell>
          <cell r="DM46">
            <v>70073.495851086889</v>
          </cell>
          <cell r="DN46">
            <v>0</v>
          </cell>
          <cell r="DO46">
            <v>0</v>
          </cell>
          <cell r="DP46">
            <v>0</v>
          </cell>
          <cell r="DQ46">
            <v>104335.90585108689</v>
          </cell>
          <cell r="DR46">
            <v>0</v>
          </cell>
          <cell r="DS46">
            <v>0</v>
          </cell>
          <cell r="DT46">
            <v>0</v>
          </cell>
          <cell r="DU46">
            <v>0</v>
          </cell>
          <cell r="DV46">
            <v>0</v>
          </cell>
          <cell r="DW46">
            <v>0</v>
          </cell>
          <cell r="DX46">
            <v>0</v>
          </cell>
          <cell r="DY46">
            <v>10457.086215683366</v>
          </cell>
          <cell r="DZ46">
            <v>0</v>
          </cell>
          <cell r="EA46">
            <v>0</v>
          </cell>
          <cell r="EB46">
            <v>10457.086215683366</v>
          </cell>
          <cell r="EE46">
            <v>0</v>
          </cell>
          <cell r="EH46">
            <v>0</v>
          </cell>
          <cell r="EI46">
            <v>7724.8324999999995</v>
          </cell>
          <cell r="EK46">
            <v>0</v>
          </cell>
          <cell r="EL46">
            <v>11388</v>
          </cell>
          <cell r="EM46">
            <v>0</v>
          </cell>
          <cell r="EO46">
            <v>19112.8325</v>
          </cell>
          <cell r="EP46">
            <v>0</v>
          </cell>
          <cell r="EQ46">
            <v>0</v>
          </cell>
          <cell r="ER46">
            <v>2329390.564903839</v>
          </cell>
          <cell r="ET46">
            <v>555</v>
          </cell>
          <cell r="EU46">
            <v>4197.1001169438541</v>
          </cell>
          <cell r="EV46" t="str">
            <v>No Variation Applied</v>
          </cell>
          <cell r="EW46">
            <v>99600</v>
          </cell>
          <cell r="EX46">
            <v>0</v>
          </cell>
          <cell r="EY46">
            <v>0</v>
          </cell>
          <cell r="EZ46">
            <v>354471.01537941862</v>
          </cell>
        </row>
        <row r="47">
          <cell r="C47" t="str">
            <v>Moorhead Primary School</v>
          </cell>
          <cell r="D47">
            <v>2418</v>
          </cell>
          <cell r="E47" t="str">
            <v>Converter</v>
          </cell>
          <cell r="F47">
            <v>41153</v>
          </cell>
          <cell r="G47">
            <v>0</v>
          </cell>
          <cell r="H47">
            <v>0</v>
          </cell>
          <cell r="I47">
            <v>0</v>
          </cell>
          <cell r="J47">
            <v>0</v>
          </cell>
          <cell r="L47">
            <v>0</v>
          </cell>
          <cell r="M47">
            <v>0</v>
          </cell>
          <cell r="N47">
            <v>0</v>
          </cell>
          <cell r="S47">
            <v>0</v>
          </cell>
          <cell r="T47">
            <v>0</v>
          </cell>
          <cell r="U47">
            <v>40</v>
          </cell>
          <cell r="Y47">
            <v>40</v>
          </cell>
          <cell r="Z47">
            <v>39</v>
          </cell>
          <cell r="AA47">
            <v>38</v>
          </cell>
          <cell r="AB47">
            <v>39</v>
          </cell>
          <cell r="AC47">
            <v>40</v>
          </cell>
          <cell r="AD47">
            <v>40</v>
          </cell>
          <cell r="AK47">
            <v>713227.80467794021</v>
          </cell>
          <cell r="AL47">
            <v>276</v>
          </cell>
          <cell r="BS47">
            <v>0</v>
          </cell>
          <cell r="BT47">
            <v>0</v>
          </cell>
          <cell r="BU47">
            <v>0</v>
          </cell>
          <cell r="BV47">
            <v>0</v>
          </cell>
          <cell r="BW47">
            <v>0</v>
          </cell>
          <cell r="BX47">
            <v>0</v>
          </cell>
          <cell r="BY47">
            <v>0</v>
          </cell>
          <cell r="BZ47">
            <v>0</v>
          </cell>
          <cell r="CA47">
            <v>0</v>
          </cell>
          <cell r="CB47">
            <v>0</v>
          </cell>
          <cell r="CC47">
            <v>0</v>
          </cell>
          <cell r="CD47">
            <v>0</v>
          </cell>
          <cell r="CE47">
            <v>0</v>
          </cell>
          <cell r="CF47">
            <v>22680.611130037629</v>
          </cell>
          <cell r="CI47">
            <v>0</v>
          </cell>
          <cell r="CJ47">
            <v>0</v>
          </cell>
          <cell r="CK47">
            <v>5601.97</v>
          </cell>
          <cell r="CL47">
            <v>2023.7880622745745</v>
          </cell>
          <cell r="CM47">
            <v>30306.369192312206</v>
          </cell>
          <cell r="CQ47">
            <v>7617.3095944609295</v>
          </cell>
          <cell r="CR47">
            <v>4622.34</v>
          </cell>
          <cell r="CS47">
            <v>6466.7283248402873</v>
          </cell>
          <cell r="CT47">
            <v>18706.377919301216</v>
          </cell>
          <cell r="CU47">
            <v>11011.875420409518</v>
          </cell>
          <cell r="CV47">
            <v>0</v>
          </cell>
          <cell r="CW47">
            <v>11011.875420409518</v>
          </cell>
          <cell r="CX47">
            <v>0</v>
          </cell>
          <cell r="CZ47">
            <v>0</v>
          </cell>
          <cell r="DC47">
            <v>0</v>
          </cell>
          <cell r="DD47">
            <v>145628.1470743095</v>
          </cell>
          <cell r="DE47">
            <v>148480.07462469029</v>
          </cell>
          <cell r="DF47">
            <v>6848.9393980209397</v>
          </cell>
          <cell r="DG47">
            <v>0</v>
          </cell>
          <cell r="DH47">
            <v>0</v>
          </cell>
          <cell r="DI47">
            <v>300957.16109702067</v>
          </cell>
          <cell r="DJ47">
            <v>0</v>
          </cell>
          <cell r="DK47">
            <v>12251.5</v>
          </cell>
          <cell r="DL47">
            <v>6217.66</v>
          </cell>
          <cell r="DM47">
            <v>70073.495851086889</v>
          </cell>
          <cell r="DN47">
            <v>0</v>
          </cell>
          <cell r="DO47">
            <v>0</v>
          </cell>
          <cell r="DP47">
            <v>0</v>
          </cell>
          <cell r="DQ47">
            <v>88542.655851086893</v>
          </cell>
          <cell r="DR47">
            <v>0</v>
          </cell>
          <cell r="DS47">
            <v>0</v>
          </cell>
          <cell r="DT47">
            <v>0</v>
          </cell>
          <cell r="DU47">
            <v>0</v>
          </cell>
          <cell r="DV47">
            <v>0</v>
          </cell>
          <cell r="DW47">
            <v>0</v>
          </cell>
          <cell r="DX47">
            <v>0</v>
          </cell>
          <cell r="DY47">
            <v>6535.6788848021042</v>
          </cell>
          <cell r="DZ47">
            <v>0</v>
          </cell>
          <cell r="EA47">
            <v>0</v>
          </cell>
          <cell r="EB47">
            <v>6535.6788848021042</v>
          </cell>
          <cell r="EE47">
            <v>0</v>
          </cell>
          <cell r="EH47">
            <v>0</v>
          </cell>
          <cell r="EI47">
            <v>0</v>
          </cell>
          <cell r="EK47">
            <v>0</v>
          </cell>
          <cell r="EL47">
            <v>9010</v>
          </cell>
          <cell r="EM47">
            <v>0</v>
          </cell>
          <cell r="EO47">
            <v>9010</v>
          </cell>
          <cell r="EP47">
            <v>0</v>
          </cell>
          <cell r="EQ47">
            <v>0</v>
          </cell>
          <cell r="ER47">
            <v>1178297.9230428727</v>
          </cell>
          <cell r="ET47">
            <v>276</v>
          </cell>
          <cell r="EU47">
            <v>4269.1953733437413</v>
          </cell>
          <cell r="EV47" t="str">
            <v>No Variation Applied</v>
          </cell>
          <cell r="EW47">
            <v>78000</v>
          </cell>
          <cell r="EX47">
            <v>0</v>
          </cell>
          <cell r="EY47">
            <v>0</v>
          </cell>
          <cell r="EZ47">
            <v>193840.80990078411</v>
          </cell>
        </row>
        <row r="48">
          <cell r="C48" t="str">
            <v>Osmaston Primary School</v>
          </cell>
          <cell r="D48">
            <v>2420</v>
          </cell>
          <cell r="F48" t="str">
            <v/>
          </cell>
          <cell r="G48">
            <v>0</v>
          </cell>
          <cell r="H48">
            <v>41490</v>
          </cell>
          <cell r="I48">
            <v>0</v>
          </cell>
          <cell r="J48">
            <v>0</v>
          </cell>
          <cell r="L48">
            <v>145066.93220760292</v>
          </cell>
          <cell r="M48">
            <v>41490</v>
          </cell>
          <cell r="N48">
            <v>43.673684210526318</v>
          </cell>
          <cell r="S48">
            <v>0</v>
          </cell>
          <cell r="T48">
            <v>0</v>
          </cell>
          <cell r="U48">
            <v>60</v>
          </cell>
          <cell r="Y48">
            <v>73</v>
          </cell>
          <cell r="Z48">
            <v>60</v>
          </cell>
          <cell r="AA48">
            <v>60</v>
          </cell>
          <cell r="AB48">
            <v>52</v>
          </cell>
          <cell r="AC48">
            <v>56</v>
          </cell>
          <cell r="AD48">
            <v>29</v>
          </cell>
          <cell r="AK48">
            <v>1006453.3142718817</v>
          </cell>
          <cell r="AL48">
            <v>390</v>
          </cell>
          <cell r="BS48">
            <v>24719.076000000001</v>
          </cell>
          <cell r="BT48">
            <v>0</v>
          </cell>
          <cell r="BU48">
            <v>1740.78</v>
          </cell>
          <cell r="BV48">
            <v>0</v>
          </cell>
          <cell r="BW48">
            <v>0</v>
          </cell>
          <cell r="BX48">
            <v>-240.72777940231026</v>
          </cell>
          <cell r="BY48">
            <v>0</v>
          </cell>
          <cell r="BZ48">
            <v>6023.0987999999998</v>
          </cell>
          <cell r="CA48">
            <v>0</v>
          </cell>
          <cell r="CB48">
            <v>0</v>
          </cell>
          <cell r="CC48">
            <v>0</v>
          </cell>
          <cell r="CD48">
            <v>0</v>
          </cell>
          <cell r="CE48">
            <v>32242.227020597689</v>
          </cell>
          <cell r="CF48">
            <v>22680.611130037629</v>
          </cell>
          <cell r="CI48">
            <v>0</v>
          </cell>
          <cell r="CJ48">
            <v>0</v>
          </cell>
          <cell r="CK48">
            <v>7915.83</v>
          </cell>
          <cell r="CL48">
            <v>2847.1543081429372</v>
          </cell>
          <cell r="CM48">
            <v>33443.595438180564</v>
          </cell>
          <cell r="CQ48">
            <v>46465.588526211672</v>
          </cell>
          <cell r="CR48">
            <v>21503.94</v>
          </cell>
          <cell r="CS48">
            <v>16570.991332403235</v>
          </cell>
          <cell r="CT48">
            <v>84540.519858614905</v>
          </cell>
          <cell r="CU48">
            <v>26653.743915309406</v>
          </cell>
          <cell r="CV48">
            <v>0</v>
          </cell>
          <cell r="CW48">
            <v>26653.743915309406</v>
          </cell>
          <cell r="CX48">
            <v>0</v>
          </cell>
          <cell r="CZ48">
            <v>0</v>
          </cell>
          <cell r="DC48">
            <v>0</v>
          </cell>
          <cell r="DD48">
            <v>331280.07046858617</v>
          </cell>
          <cell r="DE48">
            <v>260351.73881358403</v>
          </cell>
          <cell r="DF48">
            <v>13697.878796041879</v>
          </cell>
          <cell r="DG48">
            <v>0</v>
          </cell>
          <cell r="DH48">
            <v>0</v>
          </cell>
          <cell r="DI48">
            <v>605329.68807821197</v>
          </cell>
          <cell r="DJ48">
            <v>0</v>
          </cell>
          <cell r="DK48">
            <v>21068</v>
          </cell>
          <cell r="DL48">
            <v>15384.46</v>
          </cell>
          <cell r="DM48">
            <v>70073.495851086889</v>
          </cell>
          <cell r="DN48">
            <v>0</v>
          </cell>
          <cell r="DO48">
            <v>0</v>
          </cell>
          <cell r="DP48">
            <v>0</v>
          </cell>
          <cell r="DQ48">
            <v>106525.95585108688</v>
          </cell>
          <cell r="DR48">
            <v>0</v>
          </cell>
          <cell r="DS48">
            <v>0</v>
          </cell>
          <cell r="DT48">
            <v>0</v>
          </cell>
          <cell r="DU48">
            <v>0</v>
          </cell>
          <cell r="DV48">
            <v>0</v>
          </cell>
          <cell r="DW48">
            <v>0</v>
          </cell>
          <cell r="DX48">
            <v>0</v>
          </cell>
          <cell r="DY48">
            <v>25815.931594968311</v>
          </cell>
          <cell r="DZ48">
            <v>0</v>
          </cell>
          <cell r="EA48">
            <v>0</v>
          </cell>
          <cell r="EB48">
            <v>25815.931594968311</v>
          </cell>
          <cell r="EE48">
            <v>0</v>
          </cell>
          <cell r="EH48">
            <v>0</v>
          </cell>
          <cell r="EI48">
            <v>0</v>
          </cell>
          <cell r="EK48">
            <v>0</v>
          </cell>
          <cell r="EL48">
            <v>20961</v>
          </cell>
          <cell r="EM48">
            <v>0</v>
          </cell>
          <cell r="EO48">
            <v>20961</v>
          </cell>
          <cell r="EP48">
            <v>0</v>
          </cell>
          <cell r="EQ48">
            <v>177309.15922820062</v>
          </cell>
          <cell r="ER48">
            <v>2087032.9082364547</v>
          </cell>
          <cell r="ET48">
            <v>433.67368421052629</v>
          </cell>
          <cell r="EU48">
            <v>4812.4499692337968</v>
          </cell>
          <cell r="EV48" t="str">
            <v>No Variation Applied</v>
          </cell>
          <cell r="EW48">
            <v>154200</v>
          </cell>
          <cell r="EX48">
            <v>0</v>
          </cell>
          <cell r="EY48">
            <v>0</v>
          </cell>
          <cell r="EZ48">
            <v>489539.15752222121</v>
          </cell>
        </row>
        <row r="49">
          <cell r="C49" t="str">
            <v>Pear Tree Community Junior School</v>
          </cell>
          <cell r="D49">
            <v>2423</v>
          </cell>
          <cell r="F49" t="str">
            <v/>
          </cell>
          <cell r="G49">
            <v>0</v>
          </cell>
          <cell r="H49">
            <v>0</v>
          </cell>
          <cell r="I49">
            <v>0</v>
          </cell>
          <cell r="J49">
            <v>0</v>
          </cell>
          <cell r="L49">
            <v>0</v>
          </cell>
          <cell r="M49">
            <v>0</v>
          </cell>
          <cell r="N49">
            <v>0</v>
          </cell>
          <cell r="S49">
            <v>0</v>
          </cell>
          <cell r="T49">
            <v>0</v>
          </cell>
          <cell r="U49">
            <v>0</v>
          </cell>
          <cell r="Y49">
            <v>0</v>
          </cell>
          <cell r="Z49">
            <v>0</v>
          </cell>
          <cell r="AA49">
            <v>90</v>
          </cell>
          <cell r="AB49">
            <v>88</v>
          </cell>
          <cell r="AC49">
            <v>82</v>
          </cell>
          <cell r="AD49">
            <v>83</v>
          </cell>
          <cell r="AK49">
            <v>881270.97318115376</v>
          </cell>
          <cell r="AL49">
            <v>343</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I49">
            <v>0</v>
          </cell>
          <cell r="CJ49">
            <v>0</v>
          </cell>
          <cell r="CK49">
            <v>6961.87</v>
          </cell>
          <cell r="CL49">
            <v>3755.1656820912253</v>
          </cell>
          <cell r="CM49">
            <v>10717.035682091226</v>
          </cell>
          <cell r="CQ49">
            <v>47227.319485657761</v>
          </cell>
          <cell r="CR49">
            <v>54865.2</v>
          </cell>
          <cell r="CS49">
            <v>42033.734111461868</v>
          </cell>
          <cell r="CT49">
            <v>144126.25359711962</v>
          </cell>
          <cell r="CU49">
            <v>2502.698959183982</v>
          </cell>
          <cell r="CV49">
            <v>0</v>
          </cell>
          <cell r="CW49">
            <v>2502.698959183982</v>
          </cell>
          <cell r="CX49">
            <v>0</v>
          </cell>
          <cell r="CZ49">
            <v>0</v>
          </cell>
          <cell r="DC49">
            <v>0</v>
          </cell>
          <cell r="DD49">
            <v>169297.32945955169</v>
          </cell>
          <cell r="DE49">
            <v>226699.28698440461</v>
          </cell>
          <cell r="DF49">
            <v>14553.996220794497</v>
          </cell>
          <cell r="DG49">
            <v>0</v>
          </cell>
          <cell r="DH49">
            <v>0</v>
          </cell>
          <cell r="DI49">
            <v>410550.61266475078</v>
          </cell>
          <cell r="DJ49">
            <v>0</v>
          </cell>
          <cell r="DK49">
            <v>11564.5</v>
          </cell>
          <cell r="DL49">
            <v>13624.66</v>
          </cell>
          <cell r="DM49">
            <v>70073.495851086889</v>
          </cell>
          <cell r="DN49">
            <v>0</v>
          </cell>
          <cell r="DO49">
            <v>0</v>
          </cell>
          <cell r="DP49">
            <v>0</v>
          </cell>
          <cell r="DQ49">
            <v>95262.655851086893</v>
          </cell>
          <cell r="DR49">
            <v>0</v>
          </cell>
          <cell r="DS49">
            <v>0</v>
          </cell>
          <cell r="DT49">
            <v>0</v>
          </cell>
          <cell r="DU49">
            <v>0</v>
          </cell>
          <cell r="DV49">
            <v>0</v>
          </cell>
          <cell r="DW49">
            <v>0</v>
          </cell>
          <cell r="DX49">
            <v>0</v>
          </cell>
          <cell r="DY49">
            <v>16339.19721200526</v>
          </cell>
          <cell r="DZ49">
            <v>0</v>
          </cell>
          <cell r="EA49">
            <v>0</v>
          </cell>
          <cell r="EB49">
            <v>16339.19721200526</v>
          </cell>
          <cell r="EE49">
            <v>0</v>
          </cell>
          <cell r="EH49">
            <v>0</v>
          </cell>
          <cell r="EI49">
            <v>0</v>
          </cell>
          <cell r="EK49">
            <v>0</v>
          </cell>
          <cell r="EL49">
            <v>-5256</v>
          </cell>
          <cell r="EM49">
            <v>0</v>
          </cell>
          <cell r="EO49">
            <v>-5256</v>
          </cell>
          <cell r="EP49">
            <v>0</v>
          </cell>
          <cell r="EQ49">
            <v>0</v>
          </cell>
          <cell r="ER49">
            <v>1555513.4271473915</v>
          </cell>
          <cell r="ET49">
            <v>343</v>
          </cell>
          <cell r="EU49">
            <v>4535.024568942832</v>
          </cell>
          <cell r="EV49" t="str">
            <v>No Variation Applied</v>
          </cell>
          <cell r="EW49">
            <v>98300</v>
          </cell>
          <cell r="EX49">
            <v>0</v>
          </cell>
          <cell r="EY49">
            <v>0</v>
          </cell>
          <cell r="EZ49">
            <v>319172.50292549725</v>
          </cell>
        </row>
        <row r="50">
          <cell r="C50" t="str">
            <v>Pear Tree Infant School</v>
          </cell>
          <cell r="D50">
            <v>2424</v>
          </cell>
          <cell r="F50" t="str">
            <v/>
          </cell>
          <cell r="G50">
            <v>0</v>
          </cell>
          <cell r="H50">
            <v>0</v>
          </cell>
          <cell r="I50">
            <v>0</v>
          </cell>
          <cell r="J50">
            <v>0</v>
          </cell>
          <cell r="L50">
            <v>0</v>
          </cell>
          <cell r="M50">
            <v>0</v>
          </cell>
          <cell r="N50">
            <v>0</v>
          </cell>
          <cell r="S50">
            <v>0</v>
          </cell>
          <cell r="T50">
            <v>0</v>
          </cell>
          <cell r="U50">
            <v>88</v>
          </cell>
          <cell r="Y50">
            <v>90</v>
          </cell>
          <cell r="Z50">
            <v>90</v>
          </cell>
          <cell r="AA50">
            <v>0</v>
          </cell>
          <cell r="AB50">
            <v>0</v>
          </cell>
          <cell r="AC50">
            <v>0</v>
          </cell>
          <cell r="AD50">
            <v>0</v>
          </cell>
          <cell r="AK50">
            <v>696855.91248581652</v>
          </cell>
          <cell r="AL50">
            <v>268</v>
          </cell>
          <cell r="BS50">
            <v>0</v>
          </cell>
          <cell r="BT50">
            <v>0</v>
          </cell>
          <cell r="BU50">
            <v>0</v>
          </cell>
          <cell r="BV50">
            <v>0</v>
          </cell>
          <cell r="BW50">
            <v>0</v>
          </cell>
          <cell r="BX50">
            <v>0</v>
          </cell>
          <cell r="BY50">
            <v>0</v>
          </cell>
          <cell r="BZ50">
            <v>0</v>
          </cell>
          <cell r="CA50">
            <v>0</v>
          </cell>
          <cell r="CB50">
            <v>0</v>
          </cell>
          <cell r="CC50">
            <v>0</v>
          </cell>
          <cell r="CD50">
            <v>0</v>
          </cell>
          <cell r="CE50">
            <v>0</v>
          </cell>
          <cell r="CF50">
            <v>34020.916695056439</v>
          </cell>
          <cell r="CI50">
            <v>0</v>
          </cell>
          <cell r="CJ50">
            <v>0</v>
          </cell>
          <cell r="CK50">
            <v>5439.6</v>
          </cell>
          <cell r="CL50">
            <v>2858.6968256083815</v>
          </cell>
          <cell r="CM50">
            <v>42319.213520664816</v>
          </cell>
          <cell r="CQ50">
            <v>20566.735905044508</v>
          </cell>
          <cell r="CR50">
            <v>36576.800000000003</v>
          </cell>
          <cell r="CS50">
            <v>33344.06792495773</v>
          </cell>
          <cell r="CT50">
            <v>90487.603830002248</v>
          </cell>
          <cell r="CU50">
            <v>4379.7231785719678</v>
          </cell>
          <cell r="CV50">
            <v>0</v>
          </cell>
          <cell r="CW50">
            <v>4379.7231785719678</v>
          </cell>
          <cell r="CX50">
            <v>0</v>
          </cell>
          <cell r="CZ50">
            <v>0</v>
          </cell>
          <cell r="DC50">
            <v>0</v>
          </cell>
          <cell r="DD50">
            <v>124613.45243320661</v>
          </cell>
          <cell r="DE50">
            <v>178267.04212213962</v>
          </cell>
          <cell r="DF50">
            <v>16266.231070299731</v>
          </cell>
          <cell r="DG50">
            <v>0</v>
          </cell>
          <cell r="DH50">
            <v>0</v>
          </cell>
          <cell r="DI50">
            <v>319146.72562564595</v>
          </cell>
          <cell r="DJ50">
            <v>0</v>
          </cell>
          <cell r="DK50">
            <v>11564.5</v>
          </cell>
          <cell r="DL50">
            <v>6819.94</v>
          </cell>
          <cell r="DM50">
            <v>70073.495851086889</v>
          </cell>
          <cell r="DN50">
            <v>0</v>
          </cell>
          <cell r="DO50">
            <v>0</v>
          </cell>
          <cell r="DP50">
            <v>0</v>
          </cell>
          <cell r="DQ50">
            <v>88457.935851086891</v>
          </cell>
          <cell r="DR50">
            <v>0</v>
          </cell>
          <cell r="DS50">
            <v>0</v>
          </cell>
          <cell r="DT50">
            <v>0</v>
          </cell>
          <cell r="DU50">
            <v>0</v>
          </cell>
          <cell r="DV50">
            <v>0</v>
          </cell>
          <cell r="DW50">
            <v>0</v>
          </cell>
          <cell r="DX50">
            <v>0</v>
          </cell>
          <cell r="DY50">
            <v>9803.5183272031554</v>
          </cell>
          <cell r="DZ50">
            <v>0</v>
          </cell>
          <cell r="EA50">
            <v>0</v>
          </cell>
          <cell r="EB50">
            <v>9803.5183272031554</v>
          </cell>
          <cell r="EE50">
            <v>0</v>
          </cell>
          <cell r="EH50">
            <v>0</v>
          </cell>
          <cell r="EI50">
            <v>0</v>
          </cell>
          <cell r="EK50">
            <v>0</v>
          </cell>
          <cell r="EL50">
            <v>6132</v>
          </cell>
          <cell r="EM50">
            <v>0</v>
          </cell>
          <cell r="EO50">
            <v>6132</v>
          </cell>
          <cell r="EP50">
            <v>160884.04143549176</v>
          </cell>
          <cell r="EQ50">
            <v>0</v>
          </cell>
          <cell r="ER50">
            <v>1418466.6742544833</v>
          </cell>
          <cell r="ET50">
            <v>268</v>
          </cell>
          <cell r="EU50">
            <v>5292.7860979644902</v>
          </cell>
          <cell r="EV50" t="str">
            <v>No Variation Applied</v>
          </cell>
          <cell r="EW50">
            <v>60600</v>
          </cell>
          <cell r="EX50">
            <v>0</v>
          </cell>
          <cell r="EY50">
            <v>0</v>
          </cell>
          <cell r="EZ50">
            <v>223447.42915241778</v>
          </cell>
        </row>
        <row r="51">
          <cell r="C51" t="str">
            <v>Rosehill Infant and Nursery School</v>
          </cell>
          <cell r="D51">
            <v>2429</v>
          </cell>
          <cell r="F51" t="str">
            <v/>
          </cell>
          <cell r="G51">
            <v>0</v>
          </cell>
          <cell r="H51">
            <v>32520</v>
          </cell>
          <cell r="I51">
            <v>0</v>
          </cell>
          <cell r="J51">
            <v>0</v>
          </cell>
          <cell r="L51">
            <v>113703.94397183049</v>
          </cell>
          <cell r="M51">
            <v>32520</v>
          </cell>
          <cell r="N51">
            <v>34.231578947368419</v>
          </cell>
          <cell r="S51">
            <v>0</v>
          </cell>
          <cell r="T51">
            <v>0</v>
          </cell>
          <cell r="U51">
            <v>52</v>
          </cell>
          <cell r="Y51">
            <v>52</v>
          </cell>
          <cell r="Z51">
            <v>51</v>
          </cell>
          <cell r="AA51">
            <v>0</v>
          </cell>
          <cell r="AB51">
            <v>0</v>
          </cell>
          <cell r="AC51">
            <v>0</v>
          </cell>
          <cell r="AD51">
            <v>0</v>
          </cell>
          <cell r="AK51">
            <v>403536.47634086036</v>
          </cell>
          <cell r="AL51">
            <v>155</v>
          </cell>
          <cell r="BS51">
            <v>20193.047999999999</v>
          </cell>
          <cell r="BT51">
            <v>0</v>
          </cell>
          <cell r="BU51">
            <v>4177.8720000000003</v>
          </cell>
          <cell r="BV51">
            <v>0</v>
          </cell>
          <cell r="BW51">
            <v>0</v>
          </cell>
          <cell r="BX51">
            <v>-11780.647999999986</v>
          </cell>
          <cell r="BY51">
            <v>0</v>
          </cell>
          <cell r="BZ51">
            <v>3011.5493999999999</v>
          </cell>
          <cell r="CA51">
            <v>0</v>
          </cell>
          <cell r="CB51">
            <v>0</v>
          </cell>
          <cell r="CC51">
            <v>0</v>
          </cell>
          <cell r="CD51">
            <v>0</v>
          </cell>
          <cell r="CE51">
            <v>15601.821400000012</v>
          </cell>
          <cell r="CF51">
            <v>22680.611130037629</v>
          </cell>
          <cell r="CI51">
            <v>0</v>
          </cell>
          <cell r="CJ51">
            <v>0</v>
          </cell>
          <cell r="CK51">
            <v>3146.03</v>
          </cell>
          <cell r="CL51">
            <v>1789.0902071438727</v>
          </cell>
          <cell r="CM51">
            <v>27615.7313371815</v>
          </cell>
          <cell r="CQ51">
            <v>4570.3857566765573</v>
          </cell>
          <cell r="CR51">
            <v>22508.799999999999</v>
          </cell>
          <cell r="CS51">
            <v>27079.424860268704</v>
          </cell>
          <cell r="CT51">
            <v>54158.610616945261</v>
          </cell>
          <cell r="CU51">
            <v>13139.169535715904</v>
          </cell>
          <cell r="CV51">
            <v>0</v>
          </cell>
          <cell r="CW51">
            <v>13139.169535715904</v>
          </cell>
          <cell r="CX51">
            <v>0</v>
          </cell>
          <cell r="CZ51">
            <v>0</v>
          </cell>
          <cell r="DC51">
            <v>0</v>
          </cell>
          <cell r="DD51">
            <v>58516.70760413773</v>
          </cell>
          <cell r="DE51">
            <v>101866.88121265122</v>
          </cell>
          <cell r="DF51">
            <v>8561.1742475261744</v>
          </cell>
          <cell r="DG51">
            <v>0</v>
          </cell>
          <cell r="DH51">
            <v>0</v>
          </cell>
          <cell r="DI51">
            <v>168944.76306431514</v>
          </cell>
          <cell r="DJ51">
            <v>0</v>
          </cell>
          <cell r="DK51">
            <v>8473</v>
          </cell>
          <cell r="DL51">
            <v>5778.79</v>
          </cell>
          <cell r="DM51">
            <v>74722.185859261808</v>
          </cell>
          <cell r="DN51">
            <v>0</v>
          </cell>
          <cell r="DO51">
            <v>0</v>
          </cell>
          <cell r="DP51">
            <v>0</v>
          </cell>
          <cell r="DQ51">
            <v>88973.975859261816</v>
          </cell>
          <cell r="DR51">
            <v>0</v>
          </cell>
          <cell r="DS51">
            <v>0</v>
          </cell>
          <cell r="DT51">
            <v>0</v>
          </cell>
          <cell r="DU51">
            <v>0</v>
          </cell>
          <cell r="DV51">
            <v>0</v>
          </cell>
          <cell r="DW51">
            <v>0</v>
          </cell>
          <cell r="DX51">
            <v>0</v>
          </cell>
          <cell r="DY51">
            <v>3921.4073308812622</v>
          </cell>
          <cell r="DZ51">
            <v>0</v>
          </cell>
          <cell r="EA51">
            <v>0</v>
          </cell>
          <cell r="EB51">
            <v>3921.4073308812622</v>
          </cell>
          <cell r="EE51">
            <v>0</v>
          </cell>
          <cell r="EH51">
            <v>0</v>
          </cell>
          <cell r="EI51">
            <v>0</v>
          </cell>
          <cell r="EK51">
            <v>0</v>
          </cell>
          <cell r="EL51">
            <v>10511</v>
          </cell>
          <cell r="EM51">
            <v>0</v>
          </cell>
          <cell r="EO51">
            <v>10511</v>
          </cell>
          <cell r="EP51">
            <v>0</v>
          </cell>
          <cell r="EQ51">
            <v>129305.76537183051</v>
          </cell>
          <cell r="ER51">
            <v>900106.8994569917</v>
          </cell>
          <cell r="ET51">
            <v>189.2315789473684</v>
          </cell>
          <cell r="EU51">
            <v>4756.6421231804097</v>
          </cell>
          <cell r="EV51" t="str">
            <v>No Variation Applied</v>
          </cell>
          <cell r="EW51">
            <v>29400</v>
          </cell>
          <cell r="EX51">
            <v>0</v>
          </cell>
          <cell r="EY51">
            <v>0</v>
          </cell>
          <cell r="EZ51">
            <v>124908.37213204296</v>
          </cell>
        </row>
        <row r="52">
          <cell r="C52" t="str">
            <v>Sinfin Primary School</v>
          </cell>
          <cell r="D52">
            <v>2430</v>
          </cell>
          <cell r="F52" t="str">
            <v/>
          </cell>
          <cell r="G52">
            <v>0</v>
          </cell>
          <cell r="H52">
            <v>12030</v>
          </cell>
          <cell r="I52">
            <v>0</v>
          </cell>
          <cell r="J52">
            <v>0</v>
          </cell>
          <cell r="L52">
            <v>42062.067834597809</v>
          </cell>
          <cell r="M52">
            <v>12030</v>
          </cell>
          <cell r="N52">
            <v>12.663157894736843</v>
          </cell>
          <cell r="S52">
            <v>0</v>
          </cell>
          <cell r="T52">
            <v>0</v>
          </cell>
          <cell r="U52">
            <v>20</v>
          </cell>
          <cell r="Y52">
            <v>19</v>
          </cell>
          <cell r="Z52">
            <v>14</v>
          </cell>
          <cell r="AA52">
            <v>18</v>
          </cell>
          <cell r="AB52">
            <v>16</v>
          </cell>
          <cell r="AC52">
            <v>14</v>
          </cell>
          <cell r="AD52">
            <v>12</v>
          </cell>
          <cell r="AK52">
            <v>293154.65272212337</v>
          </cell>
          <cell r="AL52">
            <v>113</v>
          </cell>
          <cell r="BS52">
            <v>6963.12</v>
          </cell>
          <cell r="BT52">
            <v>0</v>
          </cell>
          <cell r="BU52">
            <v>928.41600000000005</v>
          </cell>
          <cell r="BV52">
            <v>0</v>
          </cell>
          <cell r="BW52">
            <v>0</v>
          </cell>
          <cell r="BX52">
            <v>-7526.8041999999987</v>
          </cell>
          <cell r="BY52">
            <v>0</v>
          </cell>
          <cell r="BZ52">
            <v>1003.8498</v>
          </cell>
          <cell r="CA52">
            <v>0</v>
          </cell>
          <cell r="CB52">
            <v>0</v>
          </cell>
          <cell r="CC52">
            <v>0</v>
          </cell>
          <cell r="CD52">
            <v>0</v>
          </cell>
          <cell r="CE52">
            <v>1368.5816000000023</v>
          </cell>
          <cell r="CF52">
            <v>11340.305565018814</v>
          </cell>
          <cell r="CI52">
            <v>0</v>
          </cell>
          <cell r="CJ52">
            <v>0</v>
          </cell>
          <cell r="CK52">
            <v>2293.56</v>
          </cell>
          <cell r="CL52">
            <v>1161.9467581880635</v>
          </cell>
          <cell r="CM52">
            <v>14795.812323206877</v>
          </cell>
          <cell r="CQ52">
            <v>4570.3857566765573</v>
          </cell>
          <cell r="CR52">
            <v>9445.66</v>
          </cell>
          <cell r="CS52">
            <v>5860.47254438651</v>
          </cell>
          <cell r="CT52">
            <v>19876.518301063068</v>
          </cell>
          <cell r="CU52">
            <v>0</v>
          </cell>
          <cell r="CV52">
            <v>0</v>
          </cell>
          <cell r="CW52">
            <v>0</v>
          </cell>
          <cell r="CX52">
            <v>0</v>
          </cell>
          <cell r="CZ52">
            <v>0</v>
          </cell>
          <cell r="DC52">
            <v>0</v>
          </cell>
          <cell r="DD52">
            <v>72909.93003902644</v>
          </cell>
          <cell r="DE52">
            <v>73671.583734149535</v>
          </cell>
          <cell r="DF52">
            <v>856.11742475261747</v>
          </cell>
          <cell r="DG52">
            <v>0</v>
          </cell>
          <cell r="DH52">
            <v>0</v>
          </cell>
          <cell r="DI52">
            <v>147437.6311979286</v>
          </cell>
          <cell r="DJ52">
            <v>0</v>
          </cell>
          <cell r="DK52">
            <v>18434.5</v>
          </cell>
          <cell r="DL52">
            <v>1522.32</v>
          </cell>
          <cell r="DM52">
            <v>74722.185859261808</v>
          </cell>
          <cell r="DN52">
            <v>0</v>
          </cell>
          <cell r="DO52">
            <v>0</v>
          </cell>
          <cell r="DP52">
            <v>0</v>
          </cell>
          <cell r="DQ52">
            <v>94679.005859261815</v>
          </cell>
          <cell r="DR52">
            <v>20979.235406779724</v>
          </cell>
          <cell r="DS52">
            <v>0</v>
          </cell>
          <cell r="DT52">
            <v>2721.2288460713607</v>
          </cell>
          <cell r="DU52">
            <v>0</v>
          </cell>
          <cell r="DV52">
            <v>0</v>
          </cell>
          <cell r="DW52">
            <v>0</v>
          </cell>
          <cell r="DX52">
            <v>23700.464252851085</v>
          </cell>
          <cell r="DY52">
            <v>3594.6233866411571</v>
          </cell>
          <cell r="DZ52">
            <v>0</v>
          </cell>
          <cell r="EA52">
            <v>9695.2144223708819</v>
          </cell>
          <cell r="EB52">
            <v>13289.837809012039</v>
          </cell>
          <cell r="EE52">
            <v>0</v>
          </cell>
          <cell r="EH52">
            <v>0</v>
          </cell>
          <cell r="EI52">
            <v>0</v>
          </cell>
          <cell r="EK52">
            <v>0</v>
          </cell>
          <cell r="EL52">
            <v>0</v>
          </cell>
          <cell r="EM52">
            <v>0</v>
          </cell>
          <cell r="EO52">
            <v>0</v>
          </cell>
          <cell r="EP52">
            <v>57249.303847600357</v>
          </cell>
          <cell r="EQ52">
            <v>43430.649434597814</v>
          </cell>
          <cell r="ER52">
            <v>707613.87574764504</v>
          </cell>
          <cell r="ET52">
            <v>125.66315789473684</v>
          </cell>
          <cell r="EU52">
            <v>5631.0368735153525</v>
          </cell>
          <cell r="EV52" t="str">
            <v>No Variation Applied</v>
          </cell>
          <cell r="EW52">
            <v>37200</v>
          </cell>
          <cell r="EX52">
            <v>0</v>
          </cell>
          <cell r="EY52">
            <v>0</v>
          </cell>
          <cell r="EZ52">
            <v>98048.644388083238</v>
          </cell>
        </row>
        <row r="53">
          <cell r="C53" t="str">
            <v>Brackensdale Junior School</v>
          </cell>
          <cell r="D53">
            <v>2432</v>
          </cell>
          <cell r="F53" t="str">
            <v/>
          </cell>
          <cell r="G53">
            <v>0</v>
          </cell>
          <cell r="H53">
            <v>0</v>
          </cell>
          <cell r="I53">
            <v>0</v>
          </cell>
          <cell r="J53">
            <v>0</v>
          </cell>
          <cell r="L53">
            <v>0</v>
          </cell>
          <cell r="M53">
            <v>0</v>
          </cell>
          <cell r="N53">
            <v>0</v>
          </cell>
          <cell r="S53">
            <v>0</v>
          </cell>
          <cell r="T53">
            <v>0</v>
          </cell>
          <cell r="U53">
            <v>0</v>
          </cell>
          <cell r="Y53">
            <v>0</v>
          </cell>
          <cell r="Z53">
            <v>0</v>
          </cell>
          <cell r="AA53">
            <v>58</v>
          </cell>
          <cell r="AB53">
            <v>51</v>
          </cell>
          <cell r="AC53">
            <v>51</v>
          </cell>
          <cell r="AD53">
            <v>55</v>
          </cell>
          <cell r="AK53">
            <v>552400.17269372614</v>
          </cell>
          <cell r="AL53">
            <v>215</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I53">
            <v>0</v>
          </cell>
          <cell r="CJ53">
            <v>0</v>
          </cell>
          <cell r="CK53">
            <v>4363.8500000000004</v>
          </cell>
          <cell r="CL53">
            <v>1423.5771540714686</v>
          </cell>
          <cell r="CM53">
            <v>5787.427154071469</v>
          </cell>
          <cell r="CQ53">
            <v>2285.1928783382787</v>
          </cell>
          <cell r="CR53">
            <v>2411.66</v>
          </cell>
          <cell r="CS53">
            <v>4243.7904631764386</v>
          </cell>
          <cell r="CT53">
            <v>8940.6433415147185</v>
          </cell>
          <cell r="CU53">
            <v>3003.2387510207782</v>
          </cell>
          <cell r="CV53">
            <v>0</v>
          </cell>
          <cell r="CW53">
            <v>3003.2387510207782</v>
          </cell>
          <cell r="CX53">
            <v>623434.01330461411</v>
          </cell>
          <cell r="CZ53">
            <v>623434.01330461411</v>
          </cell>
          <cell r="DC53">
            <v>0</v>
          </cell>
          <cell r="DD53">
            <v>117225.12821201884</v>
          </cell>
          <cell r="DE53">
            <v>64348.945051741728</v>
          </cell>
          <cell r="DF53">
            <v>9417.2916722787922</v>
          </cell>
          <cell r="DG53">
            <v>0</v>
          </cell>
          <cell r="DH53">
            <v>0</v>
          </cell>
          <cell r="DI53">
            <v>190991.36493603938</v>
          </cell>
          <cell r="DJ53">
            <v>0</v>
          </cell>
          <cell r="DK53">
            <v>7671.5</v>
          </cell>
          <cell r="DL53">
            <v>5467.73</v>
          </cell>
          <cell r="DM53">
            <v>70073.495851086889</v>
          </cell>
          <cell r="DN53">
            <v>0</v>
          </cell>
          <cell r="DO53">
            <v>0</v>
          </cell>
          <cell r="DP53">
            <v>0</v>
          </cell>
          <cell r="DQ53">
            <v>83212.725851086885</v>
          </cell>
          <cell r="DR53">
            <v>0</v>
          </cell>
          <cell r="DS53">
            <v>0</v>
          </cell>
          <cell r="DT53">
            <v>0</v>
          </cell>
          <cell r="DU53">
            <v>0</v>
          </cell>
          <cell r="DV53">
            <v>0</v>
          </cell>
          <cell r="DW53">
            <v>0</v>
          </cell>
          <cell r="DX53">
            <v>0</v>
          </cell>
          <cell r="DY53">
            <v>3267.8394424010521</v>
          </cell>
          <cell r="DZ53">
            <v>0</v>
          </cell>
          <cell r="EA53">
            <v>0</v>
          </cell>
          <cell r="EB53">
            <v>3267.8394424010521</v>
          </cell>
          <cell r="EE53">
            <v>0</v>
          </cell>
          <cell r="EH53">
            <v>0</v>
          </cell>
          <cell r="EI53">
            <v>0</v>
          </cell>
          <cell r="EK53">
            <v>0</v>
          </cell>
          <cell r="EL53">
            <v>-5006</v>
          </cell>
          <cell r="EM53">
            <v>0</v>
          </cell>
          <cell r="EO53">
            <v>-5006</v>
          </cell>
          <cell r="EP53">
            <v>14095.520642657531</v>
          </cell>
          <cell r="EQ53">
            <v>0</v>
          </cell>
          <cell r="ER53">
            <v>1480126.946117132</v>
          </cell>
          <cell r="ET53">
            <v>215</v>
          </cell>
          <cell r="EU53">
            <v>6884.3113772889856</v>
          </cell>
          <cell r="EV53" t="str">
            <v>No Variation Applied</v>
          </cell>
          <cell r="EW53">
            <v>65400</v>
          </cell>
          <cell r="EX53">
            <v>0</v>
          </cell>
          <cell r="EY53">
            <v>0</v>
          </cell>
          <cell r="EZ53">
            <v>770062.30519794708</v>
          </cell>
        </row>
        <row r="54">
          <cell r="C54" t="str">
            <v>Brackensdale Infant School</v>
          </cell>
          <cell r="D54">
            <v>2433</v>
          </cell>
          <cell r="F54" t="str">
            <v/>
          </cell>
          <cell r="G54">
            <v>0</v>
          </cell>
          <cell r="H54">
            <v>24336</v>
          </cell>
          <cell r="I54">
            <v>0</v>
          </cell>
          <cell r="J54">
            <v>0</v>
          </cell>
          <cell r="L54">
            <v>85089.150691834773</v>
          </cell>
          <cell r="M54">
            <v>24336</v>
          </cell>
          <cell r="N54">
            <v>25.616842105263157</v>
          </cell>
          <cell r="S54">
            <v>0</v>
          </cell>
          <cell r="T54">
            <v>0</v>
          </cell>
          <cell r="U54">
            <v>61</v>
          </cell>
          <cell r="Y54">
            <v>50</v>
          </cell>
          <cell r="Z54">
            <v>65</v>
          </cell>
          <cell r="AA54">
            <v>0</v>
          </cell>
          <cell r="AB54">
            <v>0</v>
          </cell>
          <cell r="AC54">
            <v>0</v>
          </cell>
          <cell r="AD54">
            <v>0</v>
          </cell>
          <cell r="AK54">
            <v>459101.44652005914</v>
          </cell>
          <cell r="AL54">
            <v>176</v>
          </cell>
          <cell r="BS54">
            <v>6057.9144000000006</v>
          </cell>
          <cell r="BT54">
            <v>0</v>
          </cell>
          <cell r="BU54">
            <v>348.15600000000001</v>
          </cell>
          <cell r="BV54">
            <v>0</v>
          </cell>
          <cell r="BW54">
            <v>0</v>
          </cell>
          <cell r="BX54">
            <v>-10265.964327621026</v>
          </cell>
          <cell r="BY54">
            <v>0</v>
          </cell>
          <cell r="BZ54">
            <v>2007.6995999999999</v>
          </cell>
          <cell r="CA54">
            <v>0</v>
          </cell>
          <cell r="CB54">
            <v>0</v>
          </cell>
          <cell r="CC54">
            <v>0</v>
          </cell>
          <cell r="CD54">
            <v>0</v>
          </cell>
          <cell r="CE54">
            <v>-1852.1943276210259</v>
          </cell>
          <cell r="CF54">
            <v>22680.611130037629</v>
          </cell>
          <cell r="CI54">
            <v>0</v>
          </cell>
          <cell r="CJ54">
            <v>0</v>
          </cell>
          <cell r="CK54">
            <v>3572.27</v>
          </cell>
          <cell r="CL54">
            <v>1869.8878294019833</v>
          </cell>
          <cell r="CM54">
            <v>28122.768959439614</v>
          </cell>
          <cell r="CQ54">
            <v>3808.6547972304647</v>
          </cell>
          <cell r="CR54">
            <v>2210.69</v>
          </cell>
          <cell r="CS54">
            <v>1616.6820812100718</v>
          </cell>
          <cell r="CT54">
            <v>7636.0268784405362</v>
          </cell>
          <cell r="CU54">
            <v>2502.698959183982</v>
          </cell>
          <cell r="CV54">
            <v>0</v>
          </cell>
          <cell r="CW54">
            <v>2502.698959183982</v>
          </cell>
          <cell r="CX54">
            <v>492200.68550177501</v>
          </cell>
          <cell r="CZ54">
            <v>492200.68550177501</v>
          </cell>
          <cell r="DC54">
            <v>0</v>
          </cell>
          <cell r="DD54">
            <v>77702.755132611317</v>
          </cell>
          <cell r="DE54">
            <v>56390.594957003348</v>
          </cell>
          <cell r="DF54">
            <v>7705.0568227735575</v>
          </cell>
          <cell r="DG54">
            <v>0</v>
          </cell>
          <cell r="DH54">
            <v>0</v>
          </cell>
          <cell r="DI54">
            <v>141798.40691238822</v>
          </cell>
          <cell r="DJ54">
            <v>0</v>
          </cell>
          <cell r="DK54">
            <v>7671.5</v>
          </cell>
          <cell r="DL54">
            <v>5003.1400000000003</v>
          </cell>
          <cell r="DM54">
            <v>70073.495851086889</v>
          </cell>
          <cell r="DN54">
            <v>0</v>
          </cell>
          <cell r="DO54">
            <v>0</v>
          </cell>
          <cell r="DP54">
            <v>0</v>
          </cell>
          <cell r="DQ54">
            <v>82748.135851086889</v>
          </cell>
          <cell r="DR54">
            <v>0</v>
          </cell>
          <cell r="DS54">
            <v>0</v>
          </cell>
          <cell r="DT54">
            <v>0</v>
          </cell>
          <cell r="DU54">
            <v>0</v>
          </cell>
          <cell r="DV54">
            <v>0</v>
          </cell>
          <cell r="DW54">
            <v>0</v>
          </cell>
          <cell r="DX54">
            <v>0</v>
          </cell>
          <cell r="DY54">
            <v>5228.5431078416832</v>
          </cell>
          <cell r="DZ54">
            <v>0</v>
          </cell>
          <cell r="EA54">
            <v>0</v>
          </cell>
          <cell r="EB54">
            <v>5228.5431078416832</v>
          </cell>
          <cell r="EE54">
            <v>0</v>
          </cell>
          <cell r="EH54">
            <v>0</v>
          </cell>
          <cell r="EI54">
            <v>0</v>
          </cell>
          <cell r="EK54">
            <v>0</v>
          </cell>
          <cell r="EL54">
            <v>0</v>
          </cell>
          <cell r="EM54">
            <v>0</v>
          </cell>
          <cell r="EO54">
            <v>0</v>
          </cell>
          <cell r="EP54">
            <v>68214.934877201449</v>
          </cell>
          <cell r="EQ54">
            <v>83236.956364213751</v>
          </cell>
          <cell r="ER54">
            <v>1370790.6039316303</v>
          </cell>
          <cell r="ET54">
            <v>201.61684210526315</v>
          </cell>
          <cell r="EU54">
            <v>6798.9885647348219</v>
          </cell>
          <cell r="EV54" t="str">
            <v>No Variation Applied</v>
          </cell>
          <cell r="EW54">
            <v>38650</v>
          </cell>
          <cell r="EX54">
            <v>0</v>
          </cell>
          <cell r="EY54">
            <v>0</v>
          </cell>
          <cell r="EZ54">
            <v>601097.06831658084</v>
          </cell>
        </row>
        <row r="55">
          <cell r="C55" t="str">
            <v>Lakeside Community Primary School</v>
          </cell>
          <cell r="D55">
            <v>2434</v>
          </cell>
          <cell r="F55" t="str">
            <v/>
          </cell>
          <cell r="G55">
            <v>0</v>
          </cell>
          <cell r="H55">
            <v>59280</v>
          </cell>
          <cell r="I55">
            <v>0</v>
          </cell>
          <cell r="J55">
            <v>0</v>
          </cell>
          <cell r="L55">
            <v>207268.44399293084</v>
          </cell>
          <cell r="M55">
            <v>59280</v>
          </cell>
          <cell r="N55">
            <v>62.4</v>
          </cell>
          <cell r="S55">
            <v>0</v>
          </cell>
          <cell r="T55">
            <v>0</v>
          </cell>
          <cell r="U55">
            <v>56</v>
          </cell>
          <cell r="Y55">
            <v>52</v>
          </cell>
          <cell r="Z55">
            <v>49</v>
          </cell>
          <cell r="AA55">
            <v>53</v>
          </cell>
          <cell r="AB55">
            <v>52</v>
          </cell>
          <cell r="AC55">
            <v>54</v>
          </cell>
          <cell r="AD55">
            <v>52</v>
          </cell>
          <cell r="AK55">
            <v>952385.89583938685</v>
          </cell>
          <cell r="AL55">
            <v>368</v>
          </cell>
          <cell r="BS55">
            <v>24138.815999999999</v>
          </cell>
          <cell r="BT55">
            <v>0</v>
          </cell>
          <cell r="BU55">
            <v>812.36400000000003</v>
          </cell>
          <cell r="BV55">
            <v>0</v>
          </cell>
          <cell r="BW55">
            <v>0</v>
          </cell>
          <cell r="BX55">
            <v>-8231.9026000000013</v>
          </cell>
          <cell r="BY55">
            <v>0</v>
          </cell>
          <cell r="BZ55">
            <v>3011.5493999999999</v>
          </cell>
          <cell r="CA55">
            <v>0</v>
          </cell>
          <cell r="CB55">
            <v>0</v>
          </cell>
          <cell r="CC55">
            <v>0</v>
          </cell>
          <cell r="CD55">
            <v>0</v>
          </cell>
          <cell r="CE55">
            <v>19730.826799999999</v>
          </cell>
          <cell r="CF55">
            <v>22680.611130037629</v>
          </cell>
          <cell r="CI55">
            <v>0</v>
          </cell>
          <cell r="CJ55">
            <v>0</v>
          </cell>
          <cell r="CK55">
            <v>7469.3</v>
          </cell>
          <cell r="CL55">
            <v>2781.746709172086</v>
          </cell>
          <cell r="CM55">
            <v>32931.657839209714</v>
          </cell>
          <cell r="CQ55">
            <v>11425.964391691394</v>
          </cell>
          <cell r="CR55">
            <v>1808.74</v>
          </cell>
          <cell r="CS55">
            <v>5860.47254438651</v>
          </cell>
          <cell r="CT55">
            <v>19095.176936077904</v>
          </cell>
          <cell r="CU55">
            <v>6006.4775020415564</v>
          </cell>
          <cell r="CV55">
            <v>0</v>
          </cell>
          <cell r="CW55">
            <v>6006.4775020415564</v>
          </cell>
          <cell r="CX55">
            <v>188680.60004797752</v>
          </cell>
          <cell r="CZ55">
            <v>188680.60004797752</v>
          </cell>
          <cell r="DC55">
            <v>0</v>
          </cell>
          <cell r="DD55">
            <v>212948.90569650929</v>
          </cell>
          <cell r="DE55">
            <v>175083.70208424429</v>
          </cell>
          <cell r="DF55">
            <v>25683.522742578523</v>
          </cell>
          <cell r="DG55">
            <v>0</v>
          </cell>
          <cell r="DH55">
            <v>0</v>
          </cell>
          <cell r="DI55">
            <v>413716.1305233321</v>
          </cell>
          <cell r="DJ55">
            <v>0</v>
          </cell>
          <cell r="DK55">
            <v>55004.81</v>
          </cell>
          <cell r="DL55">
            <v>3393.6</v>
          </cell>
          <cell r="DM55">
            <v>70073.495851086889</v>
          </cell>
          <cell r="DN55">
            <v>0</v>
          </cell>
          <cell r="DO55">
            <v>0</v>
          </cell>
          <cell r="DP55">
            <v>0</v>
          </cell>
          <cell r="DQ55">
            <v>128471.90585108689</v>
          </cell>
          <cell r="DR55">
            <v>128521.25444332088</v>
          </cell>
          <cell r="DS55">
            <v>0</v>
          </cell>
          <cell r="DT55">
            <v>8153.7170096320333</v>
          </cell>
          <cell r="DU55">
            <v>0</v>
          </cell>
          <cell r="DV55">
            <v>0</v>
          </cell>
          <cell r="DW55">
            <v>0</v>
          </cell>
          <cell r="DX55">
            <v>136674.97145295292</v>
          </cell>
          <cell r="DY55">
            <v>12091.005936883892</v>
          </cell>
          <cell r="DZ55">
            <v>0</v>
          </cell>
          <cell r="EA55">
            <v>0</v>
          </cell>
          <cell r="EB55">
            <v>12091.005936883892</v>
          </cell>
          <cell r="EE55">
            <v>0</v>
          </cell>
          <cell r="EH55">
            <v>0</v>
          </cell>
          <cell r="EI55">
            <v>0</v>
          </cell>
          <cell r="EK55">
            <v>0</v>
          </cell>
          <cell r="EL55">
            <v>0</v>
          </cell>
          <cell r="EM55">
            <v>0</v>
          </cell>
          <cell r="EO55">
            <v>0</v>
          </cell>
          <cell r="EP55">
            <v>0</v>
          </cell>
          <cell r="EQ55">
            <v>226999.27079293085</v>
          </cell>
          <cell r="ER55">
            <v>2117053.0927218799</v>
          </cell>
          <cell r="ET55">
            <v>430.4</v>
          </cell>
          <cell r="EU55">
            <v>4918.8036540935873</v>
          </cell>
          <cell r="EV55" t="str">
            <v>No Variation Applied</v>
          </cell>
          <cell r="EW55">
            <v>120200</v>
          </cell>
          <cell r="EX55">
            <v>0</v>
          </cell>
          <cell r="EY55">
            <v>0</v>
          </cell>
          <cell r="EZ55">
            <v>477904.48908939032</v>
          </cell>
        </row>
        <row r="56">
          <cell r="C56" t="str">
            <v>Markeaton Primary School</v>
          </cell>
          <cell r="D56">
            <v>2436</v>
          </cell>
          <cell r="F56" t="str">
            <v/>
          </cell>
          <cell r="G56">
            <v>0</v>
          </cell>
          <cell r="H56">
            <v>0</v>
          </cell>
          <cell r="I56">
            <v>0</v>
          </cell>
          <cell r="J56">
            <v>0</v>
          </cell>
          <cell r="L56">
            <v>0</v>
          </cell>
          <cell r="M56">
            <v>0</v>
          </cell>
          <cell r="N56">
            <v>0</v>
          </cell>
          <cell r="S56">
            <v>0</v>
          </cell>
          <cell r="T56">
            <v>0</v>
          </cell>
          <cell r="U56">
            <v>45</v>
          </cell>
          <cell r="Y56">
            <v>44</v>
          </cell>
          <cell r="Z56">
            <v>45</v>
          </cell>
          <cell r="AA56">
            <v>46</v>
          </cell>
          <cell r="AB56">
            <v>41</v>
          </cell>
          <cell r="AC56">
            <v>47</v>
          </cell>
          <cell r="AD56">
            <v>36</v>
          </cell>
          <cell r="AK56">
            <v>785665.93822151981</v>
          </cell>
          <cell r="AL56">
            <v>304</v>
          </cell>
          <cell r="BS56">
            <v>0</v>
          </cell>
          <cell r="BT56">
            <v>0</v>
          </cell>
          <cell r="BU56">
            <v>0</v>
          </cell>
          <cell r="BV56">
            <v>0</v>
          </cell>
          <cell r="BW56">
            <v>0</v>
          </cell>
          <cell r="BX56">
            <v>0</v>
          </cell>
          <cell r="BY56">
            <v>0</v>
          </cell>
          <cell r="BZ56">
            <v>0</v>
          </cell>
          <cell r="CA56">
            <v>0</v>
          </cell>
          <cell r="CB56">
            <v>0</v>
          </cell>
          <cell r="CC56">
            <v>0</v>
          </cell>
          <cell r="CD56">
            <v>0</v>
          </cell>
          <cell r="CE56">
            <v>0</v>
          </cell>
          <cell r="CF56">
            <v>22680.611130037629</v>
          </cell>
          <cell r="CI56">
            <v>0</v>
          </cell>
          <cell r="CJ56">
            <v>0</v>
          </cell>
          <cell r="CK56">
            <v>6170.29</v>
          </cell>
          <cell r="CL56">
            <v>4840.1623238429929</v>
          </cell>
          <cell r="CM56">
            <v>33691.063453880619</v>
          </cell>
          <cell r="CQ56">
            <v>3808.6547972304647</v>
          </cell>
          <cell r="CR56">
            <v>1607.77</v>
          </cell>
          <cell r="CS56">
            <v>3233.3641624201437</v>
          </cell>
          <cell r="CT56">
            <v>8649.7889596506084</v>
          </cell>
          <cell r="CU56">
            <v>16517.813130614279</v>
          </cell>
          <cell r="CV56">
            <v>0</v>
          </cell>
          <cell r="CW56">
            <v>16517.813130614279</v>
          </cell>
          <cell r="CX56">
            <v>205994.57915850607</v>
          </cell>
          <cell r="CZ56">
            <v>205994.57915850607</v>
          </cell>
          <cell r="DC56">
            <v>0</v>
          </cell>
          <cell r="DD56">
            <v>57071.486498995218</v>
          </cell>
          <cell r="DE56">
            <v>52752.49205655152</v>
          </cell>
          <cell r="DF56">
            <v>1712.2348495052349</v>
          </cell>
          <cell r="DG56">
            <v>0</v>
          </cell>
          <cell r="DH56">
            <v>0</v>
          </cell>
          <cell r="DI56">
            <v>111536.21340505197</v>
          </cell>
          <cell r="DJ56">
            <v>0</v>
          </cell>
          <cell r="DK56">
            <v>13053</v>
          </cell>
          <cell r="DL56">
            <v>5092.29</v>
          </cell>
          <cell r="DM56">
            <v>70073.495851086889</v>
          </cell>
          <cell r="DN56">
            <v>0</v>
          </cell>
          <cell r="DO56">
            <v>0</v>
          </cell>
          <cell r="DP56">
            <v>0</v>
          </cell>
          <cell r="DQ56">
            <v>88218.785851086897</v>
          </cell>
          <cell r="DR56">
            <v>0</v>
          </cell>
          <cell r="DS56">
            <v>0</v>
          </cell>
          <cell r="DT56">
            <v>0</v>
          </cell>
          <cell r="DU56">
            <v>0</v>
          </cell>
          <cell r="DV56">
            <v>0</v>
          </cell>
          <cell r="DW56">
            <v>0</v>
          </cell>
          <cell r="DX56">
            <v>0</v>
          </cell>
          <cell r="DY56">
            <v>3267.8394424010521</v>
          </cell>
          <cell r="DZ56">
            <v>0</v>
          </cell>
          <cell r="EA56">
            <v>0</v>
          </cell>
          <cell r="EB56">
            <v>3267.8394424010521</v>
          </cell>
          <cell r="EE56">
            <v>0</v>
          </cell>
          <cell r="EH56">
            <v>0</v>
          </cell>
          <cell r="EI56">
            <v>0</v>
          </cell>
          <cell r="EK56">
            <v>0</v>
          </cell>
          <cell r="EL56">
            <v>6132</v>
          </cell>
          <cell r="EM56">
            <v>0</v>
          </cell>
          <cell r="EO56">
            <v>6132</v>
          </cell>
          <cell r="EP56">
            <v>35345.854678697651</v>
          </cell>
          <cell r="EQ56">
            <v>0</v>
          </cell>
          <cell r="ER56">
            <v>1295019.8763014087</v>
          </cell>
          <cell r="ET56">
            <v>304</v>
          </cell>
          <cell r="EU56">
            <v>4259.9338036230547</v>
          </cell>
          <cell r="EV56" t="str">
            <v>No Variation Applied</v>
          </cell>
          <cell r="EW56">
            <v>27500</v>
          </cell>
          <cell r="EX56">
            <v>0</v>
          </cell>
          <cell r="EY56">
            <v>0</v>
          </cell>
          <cell r="EZ56">
            <v>302731.32692344603</v>
          </cell>
        </row>
        <row r="57">
          <cell r="C57" t="str">
            <v>Portway Infant School</v>
          </cell>
          <cell r="D57">
            <v>2439</v>
          </cell>
          <cell r="F57" t="str">
            <v/>
          </cell>
          <cell r="G57">
            <v>0</v>
          </cell>
          <cell r="H57">
            <v>0</v>
          </cell>
          <cell r="I57">
            <v>0</v>
          </cell>
          <cell r="J57">
            <v>0</v>
          </cell>
          <cell r="L57">
            <v>0</v>
          </cell>
          <cell r="M57">
            <v>0</v>
          </cell>
          <cell r="N57">
            <v>0</v>
          </cell>
          <cell r="S57">
            <v>0</v>
          </cell>
          <cell r="T57">
            <v>0</v>
          </cell>
          <cell r="U57">
            <v>78</v>
          </cell>
          <cell r="Y57">
            <v>75</v>
          </cell>
          <cell r="Z57">
            <v>80</v>
          </cell>
          <cell r="AA57">
            <v>0</v>
          </cell>
          <cell r="AB57">
            <v>0</v>
          </cell>
          <cell r="AC57">
            <v>0</v>
          </cell>
          <cell r="AD57">
            <v>0</v>
          </cell>
          <cell r="AK57">
            <v>606529.87926005188</v>
          </cell>
          <cell r="AL57">
            <v>233</v>
          </cell>
          <cell r="BS57">
            <v>0</v>
          </cell>
          <cell r="BT57">
            <v>0</v>
          </cell>
          <cell r="BU57">
            <v>0</v>
          </cell>
          <cell r="BV57">
            <v>0</v>
          </cell>
          <cell r="BW57">
            <v>0</v>
          </cell>
          <cell r="BX57">
            <v>0</v>
          </cell>
          <cell r="BY57">
            <v>0</v>
          </cell>
          <cell r="BZ57">
            <v>0</v>
          </cell>
          <cell r="CA57">
            <v>0</v>
          </cell>
          <cell r="CB57">
            <v>0</v>
          </cell>
          <cell r="CC57">
            <v>0</v>
          </cell>
          <cell r="CD57">
            <v>0</v>
          </cell>
          <cell r="CE57">
            <v>0</v>
          </cell>
          <cell r="CF57">
            <v>34020.916695056439</v>
          </cell>
          <cell r="CI57">
            <v>0</v>
          </cell>
          <cell r="CJ57">
            <v>0</v>
          </cell>
          <cell r="CK57">
            <v>4729.2</v>
          </cell>
          <cell r="CL57">
            <v>3262.6849368989333</v>
          </cell>
          <cell r="CM57">
            <v>42012.801631955372</v>
          </cell>
          <cell r="CQ57">
            <v>761.73095944609292</v>
          </cell>
          <cell r="CR57">
            <v>602.91</v>
          </cell>
          <cell r="CS57">
            <v>1414.5968210588128</v>
          </cell>
          <cell r="CT57">
            <v>2779.2377805049055</v>
          </cell>
          <cell r="CU57">
            <v>0</v>
          </cell>
          <cell r="CV57">
            <v>0</v>
          </cell>
          <cell r="CW57">
            <v>0</v>
          </cell>
          <cell r="CX57">
            <v>0</v>
          </cell>
          <cell r="CZ57">
            <v>0</v>
          </cell>
          <cell r="DC57">
            <v>0</v>
          </cell>
          <cell r="DD57">
            <v>16280.858164054447</v>
          </cell>
          <cell r="DE57">
            <v>3183.3400378953506</v>
          </cell>
          <cell r="DF57">
            <v>856.11742475261747</v>
          </cell>
          <cell r="DG57">
            <v>0</v>
          </cell>
          <cell r="DH57">
            <v>0</v>
          </cell>
          <cell r="DI57">
            <v>20320.315626702417</v>
          </cell>
          <cell r="DJ57">
            <v>0</v>
          </cell>
          <cell r="DK57">
            <v>7762.5</v>
          </cell>
          <cell r="DL57">
            <v>3128.03</v>
          </cell>
          <cell r="DM57">
            <v>70073.495851086889</v>
          </cell>
          <cell r="DN57">
            <v>0</v>
          </cell>
          <cell r="DO57">
            <v>0</v>
          </cell>
          <cell r="DP57">
            <v>0</v>
          </cell>
          <cell r="DQ57">
            <v>80964.025851086888</v>
          </cell>
          <cell r="DR57">
            <v>0</v>
          </cell>
          <cell r="DS57">
            <v>0</v>
          </cell>
          <cell r="DT57">
            <v>0</v>
          </cell>
          <cell r="DU57">
            <v>0</v>
          </cell>
          <cell r="DV57">
            <v>0</v>
          </cell>
          <cell r="DW57">
            <v>0</v>
          </cell>
          <cell r="DX57">
            <v>0</v>
          </cell>
          <cell r="DY57">
            <v>1960.7036654406311</v>
          </cell>
          <cell r="DZ57">
            <v>0</v>
          </cell>
          <cell r="EA57">
            <v>0</v>
          </cell>
          <cell r="EB57">
            <v>1960.7036654406311</v>
          </cell>
          <cell r="EE57">
            <v>0</v>
          </cell>
          <cell r="EH57">
            <v>0</v>
          </cell>
          <cell r="EI57">
            <v>0</v>
          </cell>
          <cell r="EK57">
            <v>0</v>
          </cell>
          <cell r="EL57">
            <v>0</v>
          </cell>
          <cell r="EM57">
            <v>0</v>
          </cell>
          <cell r="EO57">
            <v>0</v>
          </cell>
          <cell r="EP57">
            <v>0</v>
          </cell>
          <cell r="EQ57">
            <v>0</v>
          </cell>
          <cell r="ER57">
            <v>754566.96381574194</v>
          </cell>
          <cell r="ET57">
            <v>233</v>
          </cell>
          <cell r="EU57">
            <v>3238.4848232435274</v>
          </cell>
          <cell r="EV57" t="str">
            <v>No Variation Applied</v>
          </cell>
          <cell r="EW57">
            <v>9000</v>
          </cell>
          <cell r="EX57">
            <v>0</v>
          </cell>
          <cell r="EY57">
            <v>0</v>
          </cell>
          <cell r="EZ57">
            <v>30235.25155501988</v>
          </cell>
        </row>
        <row r="58">
          <cell r="C58" t="str">
            <v>Portway Junior School</v>
          </cell>
          <cell r="D58">
            <v>2440</v>
          </cell>
          <cell r="F58" t="str">
            <v/>
          </cell>
          <cell r="G58">
            <v>0</v>
          </cell>
          <cell r="H58">
            <v>0</v>
          </cell>
          <cell r="I58">
            <v>0</v>
          </cell>
          <cell r="J58">
            <v>0</v>
          </cell>
          <cell r="L58">
            <v>0</v>
          </cell>
          <cell r="M58">
            <v>0</v>
          </cell>
          <cell r="N58">
            <v>0</v>
          </cell>
          <cell r="S58">
            <v>0</v>
          </cell>
          <cell r="T58">
            <v>0</v>
          </cell>
          <cell r="U58">
            <v>0</v>
          </cell>
          <cell r="Y58">
            <v>0</v>
          </cell>
          <cell r="Z58">
            <v>0</v>
          </cell>
          <cell r="AA58">
            <v>79</v>
          </cell>
          <cell r="AB58">
            <v>53</v>
          </cell>
          <cell r="AC58">
            <v>78</v>
          </cell>
          <cell r="AD58">
            <v>62</v>
          </cell>
          <cell r="AK58">
            <v>698850.45103578374</v>
          </cell>
          <cell r="AL58">
            <v>272</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I58">
            <v>0</v>
          </cell>
          <cell r="CJ58">
            <v>0</v>
          </cell>
          <cell r="CK58">
            <v>5520.78</v>
          </cell>
          <cell r="CL58">
            <v>3812.878269418447</v>
          </cell>
          <cell r="CM58">
            <v>9333.6582694184472</v>
          </cell>
          <cell r="CQ58">
            <v>2285.1928783382787</v>
          </cell>
          <cell r="CR58">
            <v>1004.86</v>
          </cell>
          <cell r="CS58">
            <v>1010.4263007562949</v>
          </cell>
          <cell r="CT58">
            <v>4300.4791790945737</v>
          </cell>
          <cell r="CU58">
            <v>9009.7162530623336</v>
          </cell>
          <cell r="CV58">
            <v>0</v>
          </cell>
          <cell r="CW58">
            <v>9009.7162530623336</v>
          </cell>
          <cell r="CX58">
            <v>0</v>
          </cell>
          <cell r="CZ58">
            <v>0</v>
          </cell>
          <cell r="DC58">
            <v>0</v>
          </cell>
          <cell r="DD58">
            <v>29921.975738103691</v>
          </cell>
          <cell r="DE58">
            <v>5229.7729193995046</v>
          </cell>
          <cell r="DF58">
            <v>1712.2348495052349</v>
          </cell>
          <cell r="DG58">
            <v>0</v>
          </cell>
          <cell r="DH58">
            <v>0</v>
          </cell>
          <cell r="DI58">
            <v>36863.98350700843</v>
          </cell>
          <cell r="DJ58">
            <v>0</v>
          </cell>
          <cell r="DK58">
            <v>31831</v>
          </cell>
          <cell r="DL58">
            <v>3895.73</v>
          </cell>
          <cell r="DM58">
            <v>70073.495851086889</v>
          </cell>
          <cell r="DN58">
            <v>0</v>
          </cell>
          <cell r="DO58">
            <v>0</v>
          </cell>
          <cell r="DP58">
            <v>0</v>
          </cell>
          <cell r="DQ58">
            <v>105800.2258510869</v>
          </cell>
          <cell r="DR58">
            <v>0</v>
          </cell>
          <cell r="DS58">
            <v>0</v>
          </cell>
          <cell r="DT58">
            <v>0</v>
          </cell>
          <cell r="DU58">
            <v>0</v>
          </cell>
          <cell r="DV58">
            <v>0</v>
          </cell>
          <cell r="DW58">
            <v>0</v>
          </cell>
          <cell r="DX58">
            <v>0</v>
          </cell>
          <cell r="DY58">
            <v>1960.7036654406311</v>
          </cell>
          <cell r="DZ58">
            <v>0</v>
          </cell>
          <cell r="EA58">
            <v>0</v>
          </cell>
          <cell r="EB58">
            <v>1960.7036654406311</v>
          </cell>
          <cell r="EE58">
            <v>0</v>
          </cell>
          <cell r="EH58">
            <v>0</v>
          </cell>
          <cell r="EI58">
            <v>0</v>
          </cell>
          <cell r="EK58">
            <v>0</v>
          </cell>
          <cell r="EL58">
            <v>1752</v>
          </cell>
          <cell r="EM58">
            <v>0</v>
          </cell>
          <cell r="EO58">
            <v>1752</v>
          </cell>
          <cell r="EP58">
            <v>17164.025855861721</v>
          </cell>
          <cell r="EQ58">
            <v>0</v>
          </cell>
          <cell r="ER58">
            <v>885035.24361675675</v>
          </cell>
          <cell r="ET58">
            <v>272</v>
          </cell>
          <cell r="EU58">
            <v>3253.8060427086643</v>
          </cell>
          <cell r="EV58" t="str">
            <v>No Variation Applied</v>
          </cell>
          <cell r="EW58">
            <v>19800</v>
          </cell>
          <cell r="EX58">
            <v>0</v>
          </cell>
          <cell r="EY58">
            <v>0</v>
          </cell>
          <cell r="EZ58">
            <v>57303.42726788664</v>
          </cell>
        </row>
        <row r="59">
          <cell r="C59" t="str">
            <v>Alvaston Junior School</v>
          </cell>
          <cell r="D59">
            <v>2442</v>
          </cell>
          <cell r="F59" t="str">
            <v/>
          </cell>
          <cell r="G59">
            <v>0</v>
          </cell>
          <cell r="H59">
            <v>0</v>
          </cell>
          <cell r="I59">
            <v>0</v>
          </cell>
          <cell r="J59">
            <v>0</v>
          </cell>
          <cell r="L59">
            <v>0</v>
          </cell>
          <cell r="M59">
            <v>0</v>
          </cell>
          <cell r="N59">
            <v>0</v>
          </cell>
          <cell r="S59">
            <v>0</v>
          </cell>
          <cell r="T59">
            <v>0</v>
          </cell>
          <cell r="U59">
            <v>0</v>
          </cell>
          <cell r="Y59">
            <v>0</v>
          </cell>
          <cell r="Z59">
            <v>0</v>
          </cell>
          <cell r="AA59">
            <v>82</v>
          </cell>
          <cell r="AB59">
            <v>75</v>
          </cell>
          <cell r="AC59">
            <v>69</v>
          </cell>
          <cell r="AD59">
            <v>69</v>
          </cell>
          <cell r="AK59">
            <v>757944.42299836839</v>
          </cell>
          <cell r="AL59">
            <v>295</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I59">
            <v>0</v>
          </cell>
          <cell r="CJ59">
            <v>0</v>
          </cell>
          <cell r="CK59">
            <v>5987.61</v>
          </cell>
          <cell r="CL59">
            <v>2109.3950668099533</v>
          </cell>
          <cell r="CM59">
            <v>8097.005066809953</v>
          </cell>
          <cell r="CQ59">
            <v>6093.8476755687434</v>
          </cell>
          <cell r="CR59">
            <v>2612.63</v>
          </cell>
          <cell r="CS59">
            <v>4445.8757233276974</v>
          </cell>
          <cell r="CT59">
            <v>13152.353398896441</v>
          </cell>
          <cell r="CU59">
            <v>4254.5882306127687</v>
          </cell>
          <cell r="CV59">
            <v>9009.7162530623336</v>
          </cell>
          <cell r="CW59">
            <v>13264.304483675103</v>
          </cell>
          <cell r="CX59">
            <v>184491.52137222089</v>
          </cell>
          <cell r="CZ59">
            <v>184491.52137222089</v>
          </cell>
          <cell r="DC59">
            <v>0</v>
          </cell>
          <cell r="DD59">
            <v>113154.91367100524</v>
          </cell>
          <cell r="DE59">
            <v>93908.531117912833</v>
          </cell>
          <cell r="DF59">
            <v>8561.1742475261744</v>
          </cell>
          <cell r="DG59">
            <v>0</v>
          </cell>
          <cell r="DH59">
            <v>0</v>
          </cell>
          <cell r="DI59">
            <v>215624.61903644426</v>
          </cell>
          <cell r="DJ59">
            <v>0</v>
          </cell>
          <cell r="DK59">
            <v>13282</v>
          </cell>
          <cell r="DL59">
            <v>8271.5499999999993</v>
          </cell>
          <cell r="DM59">
            <v>70073.495851086889</v>
          </cell>
          <cell r="DN59">
            <v>0</v>
          </cell>
          <cell r="DO59">
            <v>0</v>
          </cell>
          <cell r="DP59">
            <v>0</v>
          </cell>
          <cell r="DQ59">
            <v>91627.045851086892</v>
          </cell>
          <cell r="DR59">
            <v>0</v>
          </cell>
          <cell r="DS59">
            <v>0</v>
          </cell>
          <cell r="DT59">
            <v>0</v>
          </cell>
          <cell r="DU59">
            <v>0</v>
          </cell>
          <cell r="DV59">
            <v>0</v>
          </cell>
          <cell r="DW59">
            <v>0</v>
          </cell>
          <cell r="DX59">
            <v>0</v>
          </cell>
          <cell r="DY59">
            <v>5882.1109963218933</v>
          </cell>
          <cell r="DZ59">
            <v>0</v>
          </cell>
          <cell r="EA59">
            <v>0</v>
          </cell>
          <cell r="EB59">
            <v>5882.1109963218933</v>
          </cell>
          <cell r="EE59">
            <v>0</v>
          </cell>
          <cell r="EH59">
            <v>0</v>
          </cell>
          <cell r="EI59">
            <v>0</v>
          </cell>
          <cell r="EK59">
            <v>0</v>
          </cell>
          <cell r="EL59">
            <v>0</v>
          </cell>
          <cell r="EM59">
            <v>0</v>
          </cell>
          <cell r="EO59">
            <v>0</v>
          </cell>
          <cell r="EP59">
            <v>0</v>
          </cell>
          <cell r="EQ59">
            <v>0</v>
          </cell>
          <cell r="ER59">
            <v>1290083.3832038238</v>
          </cell>
          <cell r="ET59">
            <v>295</v>
          </cell>
          <cell r="EU59">
            <v>4373.1640108604197</v>
          </cell>
          <cell r="EV59" t="str">
            <v>No Variation Applied</v>
          </cell>
          <cell r="EW59">
            <v>66850</v>
          </cell>
          <cell r="EX59">
            <v>0</v>
          </cell>
          <cell r="EY59">
            <v>0</v>
          </cell>
          <cell r="EZ59">
            <v>346433.95629048627</v>
          </cell>
        </row>
        <row r="60">
          <cell r="C60" t="str">
            <v>Alvaston Infant and Nursery School</v>
          </cell>
          <cell r="D60">
            <v>2443</v>
          </cell>
          <cell r="F60" t="str">
            <v/>
          </cell>
          <cell r="G60">
            <v>0</v>
          </cell>
          <cell r="H60">
            <v>29190</v>
          </cell>
          <cell r="I60">
            <v>0</v>
          </cell>
          <cell r="J60">
            <v>0</v>
          </cell>
          <cell r="L60">
            <v>102060.82793781464</v>
          </cell>
          <cell r="M60">
            <v>29190</v>
          </cell>
          <cell r="N60">
            <v>30.726315789473684</v>
          </cell>
          <cell r="S60">
            <v>0</v>
          </cell>
          <cell r="T60">
            <v>0</v>
          </cell>
          <cell r="U60">
            <v>90</v>
          </cell>
          <cell r="Y60">
            <v>90</v>
          </cell>
          <cell r="Z60">
            <v>82</v>
          </cell>
          <cell r="AA60">
            <v>0</v>
          </cell>
          <cell r="AB60">
            <v>0</v>
          </cell>
          <cell r="AC60">
            <v>0</v>
          </cell>
          <cell r="AD60">
            <v>0</v>
          </cell>
          <cell r="AK60">
            <v>683066.83566317311</v>
          </cell>
          <cell r="AL60">
            <v>262</v>
          </cell>
          <cell r="BS60">
            <v>9284.16</v>
          </cell>
          <cell r="BT60">
            <v>0</v>
          </cell>
          <cell r="BU60">
            <v>0</v>
          </cell>
          <cell r="BV60">
            <v>0</v>
          </cell>
          <cell r="BW60">
            <v>0</v>
          </cell>
          <cell r="BX60">
            <v>-4287.4839999999967</v>
          </cell>
          <cell r="BY60">
            <v>0</v>
          </cell>
          <cell r="BZ60">
            <v>1003.8498</v>
          </cell>
          <cell r="CA60">
            <v>0</v>
          </cell>
          <cell r="CB60">
            <v>0</v>
          </cell>
          <cell r="CC60">
            <v>0</v>
          </cell>
          <cell r="CD60">
            <v>0</v>
          </cell>
          <cell r="CE60">
            <v>6000.5258000000031</v>
          </cell>
          <cell r="CF60">
            <v>34020.916695056439</v>
          </cell>
          <cell r="CI60">
            <v>0</v>
          </cell>
          <cell r="CJ60">
            <v>0</v>
          </cell>
          <cell r="CK60">
            <v>5317.81</v>
          </cell>
          <cell r="CL60">
            <v>2076.6912673245274</v>
          </cell>
          <cell r="CM60">
            <v>41415.417962380961</v>
          </cell>
          <cell r="CQ60">
            <v>761.73095944609292</v>
          </cell>
          <cell r="CR60">
            <v>2813.6</v>
          </cell>
          <cell r="CS60">
            <v>5052.1315037814747</v>
          </cell>
          <cell r="CT60">
            <v>8627.4624632275682</v>
          </cell>
          <cell r="CU60">
            <v>13014.034587756705</v>
          </cell>
          <cell r="CV60">
            <v>0</v>
          </cell>
          <cell r="CW60">
            <v>13014.034587756705</v>
          </cell>
          <cell r="CX60">
            <v>0</v>
          </cell>
          <cell r="CZ60">
            <v>0</v>
          </cell>
          <cell r="DC60">
            <v>0</v>
          </cell>
          <cell r="DD60">
            <v>90532.779229284657</v>
          </cell>
          <cell r="DE60">
            <v>79810.882378662005</v>
          </cell>
          <cell r="DF60">
            <v>5136.704548515705</v>
          </cell>
          <cell r="DG60">
            <v>0</v>
          </cell>
          <cell r="DH60">
            <v>0</v>
          </cell>
          <cell r="DI60">
            <v>175480.36615646238</v>
          </cell>
          <cell r="DJ60">
            <v>0</v>
          </cell>
          <cell r="DK60">
            <v>13282</v>
          </cell>
          <cell r="DL60">
            <v>3171.21</v>
          </cell>
          <cell r="DM60">
            <v>70073.495851086889</v>
          </cell>
          <cell r="DN60">
            <v>0</v>
          </cell>
          <cell r="DO60">
            <v>0</v>
          </cell>
          <cell r="DP60">
            <v>0</v>
          </cell>
          <cell r="DQ60">
            <v>86526.705851086881</v>
          </cell>
          <cell r="DR60">
            <v>0</v>
          </cell>
          <cell r="DS60">
            <v>0</v>
          </cell>
          <cell r="DT60">
            <v>0</v>
          </cell>
          <cell r="DU60">
            <v>0</v>
          </cell>
          <cell r="DV60">
            <v>0</v>
          </cell>
          <cell r="DW60">
            <v>0</v>
          </cell>
          <cell r="DX60">
            <v>0</v>
          </cell>
          <cell r="DY60">
            <v>2941.0554981609466</v>
          </cell>
          <cell r="DZ60">
            <v>0</v>
          </cell>
          <cell r="EA60">
            <v>0</v>
          </cell>
          <cell r="EB60">
            <v>2941.0554981609466</v>
          </cell>
          <cell r="EE60">
            <v>0</v>
          </cell>
          <cell r="EH60">
            <v>0</v>
          </cell>
          <cell r="EI60">
            <v>0</v>
          </cell>
          <cell r="EK60">
            <v>0</v>
          </cell>
          <cell r="EL60">
            <v>4254</v>
          </cell>
          <cell r="EM60">
            <v>0</v>
          </cell>
          <cell r="EO60">
            <v>4254</v>
          </cell>
          <cell r="EP60">
            <v>0</v>
          </cell>
          <cell r="EQ60">
            <v>108061.35373781464</v>
          </cell>
          <cell r="ER60">
            <v>1123387.231920063</v>
          </cell>
          <cell r="ET60">
            <v>292.72631578947369</v>
          </cell>
          <cell r="EU60">
            <v>3837.6707911973099</v>
          </cell>
          <cell r="EV60" t="str">
            <v>No Variation Applied</v>
          </cell>
          <cell r="EW60">
            <v>38050</v>
          </cell>
          <cell r="EX60">
            <v>0</v>
          </cell>
          <cell r="EY60">
            <v>0</v>
          </cell>
          <cell r="EZ60">
            <v>127193.05939323893</v>
          </cell>
        </row>
        <row r="61">
          <cell r="C61" t="str">
            <v>Shelton Infant School</v>
          </cell>
          <cell r="D61">
            <v>2444</v>
          </cell>
          <cell r="F61" t="str">
            <v/>
          </cell>
          <cell r="G61">
            <v>0</v>
          </cell>
          <cell r="H61">
            <v>29568</v>
          </cell>
          <cell r="I61">
            <v>0</v>
          </cell>
          <cell r="J61">
            <v>0</v>
          </cell>
          <cell r="L61">
            <v>103382.4789470813</v>
          </cell>
          <cell r="M61">
            <v>29568</v>
          </cell>
          <cell r="N61">
            <v>31.124210526315789</v>
          </cell>
          <cell r="S61">
            <v>0</v>
          </cell>
          <cell r="T61">
            <v>0</v>
          </cell>
          <cell r="U61">
            <v>70</v>
          </cell>
          <cell r="Y61">
            <v>70</v>
          </cell>
          <cell r="Z61">
            <v>69</v>
          </cell>
          <cell r="AA61">
            <v>0</v>
          </cell>
          <cell r="AB61">
            <v>0</v>
          </cell>
          <cell r="AC61">
            <v>0</v>
          </cell>
          <cell r="AD61">
            <v>0</v>
          </cell>
          <cell r="AK61">
            <v>544070.3706695314</v>
          </cell>
          <cell r="AL61">
            <v>209</v>
          </cell>
          <cell r="BS61">
            <v>10583.942400000002</v>
          </cell>
          <cell r="BT61">
            <v>0</v>
          </cell>
          <cell r="BU61">
            <v>464.20800000000003</v>
          </cell>
          <cell r="BV61">
            <v>0</v>
          </cell>
          <cell r="BW61">
            <v>0</v>
          </cell>
          <cell r="BX61">
            <v>-4943.4777999999933</v>
          </cell>
          <cell r="BY61">
            <v>0</v>
          </cell>
          <cell r="BZ61">
            <v>2007.6995999999999</v>
          </cell>
          <cell r="CA61">
            <v>0</v>
          </cell>
          <cell r="CB61">
            <v>0</v>
          </cell>
          <cell r="CC61">
            <v>0</v>
          </cell>
          <cell r="CD61">
            <v>0</v>
          </cell>
          <cell r="CE61">
            <v>8112.3722000000089</v>
          </cell>
          <cell r="CF61">
            <v>34020.916695056439</v>
          </cell>
          <cell r="CI61">
            <v>0</v>
          </cell>
          <cell r="CJ61">
            <v>0</v>
          </cell>
          <cell r="CK61">
            <v>4242.07</v>
          </cell>
          <cell r="CL61">
            <v>2500.878784179607</v>
          </cell>
          <cell r="CM61">
            <v>40763.865479236047</v>
          </cell>
          <cell r="CQ61">
            <v>2285.1928783382787</v>
          </cell>
          <cell r="CR61">
            <v>2009.71</v>
          </cell>
          <cell r="CS61">
            <v>4041.7052030251798</v>
          </cell>
          <cell r="CT61">
            <v>8336.608081363458</v>
          </cell>
          <cell r="CU61">
            <v>8759.4463571439355</v>
          </cell>
          <cell r="CV61">
            <v>0</v>
          </cell>
          <cell r="CW61">
            <v>8759.4463571439355</v>
          </cell>
          <cell r="CX61">
            <v>0</v>
          </cell>
          <cell r="CZ61">
            <v>0</v>
          </cell>
          <cell r="DC61">
            <v>0</v>
          </cell>
          <cell r="DD61">
            <v>64194.361945769037</v>
          </cell>
          <cell r="DE61">
            <v>77309.68663460137</v>
          </cell>
          <cell r="DF61">
            <v>6848.9393980209397</v>
          </cell>
          <cell r="DG61">
            <v>0</v>
          </cell>
          <cell r="DH61">
            <v>0</v>
          </cell>
          <cell r="DI61">
            <v>148352.98797839135</v>
          </cell>
          <cell r="DJ61">
            <v>0</v>
          </cell>
          <cell r="DK61">
            <v>8816.5</v>
          </cell>
          <cell r="DL61">
            <v>3174.66</v>
          </cell>
          <cell r="DM61">
            <v>70073.495851086889</v>
          </cell>
          <cell r="DN61">
            <v>0</v>
          </cell>
          <cell r="DO61">
            <v>0</v>
          </cell>
          <cell r="DP61">
            <v>0</v>
          </cell>
          <cell r="DQ61">
            <v>82064.655851086893</v>
          </cell>
          <cell r="DR61">
            <v>0</v>
          </cell>
          <cell r="DS61">
            <v>0</v>
          </cell>
          <cell r="DT61">
            <v>0</v>
          </cell>
          <cell r="DU61">
            <v>0</v>
          </cell>
          <cell r="DV61">
            <v>0</v>
          </cell>
          <cell r="DW61">
            <v>0</v>
          </cell>
          <cell r="DX61">
            <v>0</v>
          </cell>
          <cell r="DY61">
            <v>1960.7036654406311</v>
          </cell>
          <cell r="DZ61">
            <v>0</v>
          </cell>
          <cell r="EA61">
            <v>0</v>
          </cell>
          <cell r="EB61">
            <v>1960.7036654406311</v>
          </cell>
          <cell r="EE61">
            <v>0</v>
          </cell>
          <cell r="EH61">
            <v>0</v>
          </cell>
          <cell r="EI61">
            <v>0</v>
          </cell>
          <cell r="EK61">
            <v>0</v>
          </cell>
          <cell r="EL61">
            <v>25466</v>
          </cell>
          <cell r="EM61">
            <v>0</v>
          </cell>
          <cell r="EO61">
            <v>25466</v>
          </cell>
          <cell r="EP61">
            <v>0</v>
          </cell>
          <cell r="EQ61">
            <v>111494.85114708131</v>
          </cell>
          <cell r="ER61">
            <v>971269.48922927491</v>
          </cell>
          <cell r="ET61">
            <v>240.12421052631578</v>
          </cell>
          <cell r="EU61">
            <v>4044.8628112109136</v>
          </cell>
          <cell r="EV61" t="str">
            <v>No Variation Applied</v>
          </cell>
          <cell r="EW61">
            <v>29900</v>
          </cell>
          <cell r="EX61">
            <v>0</v>
          </cell>
          <cell r="EY61">
            <v>0</v>
          </cell>
          <cell r="EZ61">
            <v>97296.539313970992</v>
          </cell>
        </row>
        <row r="62">
          <cell r="C62" t="str">
            <v>Breadsall Hill Top Infant &amp; Nursery School</v>
          </cell>
          <cell r="D62">
            <v>2446</v>
          </cell>
          <cell r="F62" t="str">
            <v/>
          </cell>
          <cell r="G62">
            <v>0</v>
          </cell>
          <cell r="H62">
            <v>29640</v>
          </cell>
          <cell r="I62">
            <v>0</v>
          </cell>
          <cell r="J62">
            <v>0</v>
          </cell>
          <cell r="L62">
            <v>103634.22199646542</v>
          </cell>
          <cell r="M62">
            <v>29640</v>
          </cell>
          <cell r="N62">
            <v>31.2</v>
          </cell>
          <cell r="S62">
            <v>0</v>
          </cell>
          <cell r="T62">
            <v>0</v>
          </cell>
          <cell r="U62">
            <v>53</v>
          </cell>
          <cell r="Y62">
            <v>54</v>
          </cell>
          <cell r="Z62">
            <v>59</v>
          </cell>
          <cell r="AA62">
            <v>0</v>
          </cell>
          <cell r="AB62">
            <v>0</v>
          </cell>
          <cell r="AC62">
            <v>0</v>
          </cell>
          <cell r="AD62">
            <v>0</v>
          </cell>
          <cell r="AK62">
            <v>430946.55089485773</v>
          </cell>
          <cell r="AL62">
            <v>166</v>
          </cell>
          <cell r="BS62">
            <v>10792.835999999999</v>
          </cell>
          <cell r="BT62">
            <v>0</v>
          </cell>
          <cell r="BU62">
            <v>464.20800000000003</v>
          </cell>
          <cell r="BV62">
            <v>0</v>
          </cell>
          <cell r="BW62">
            <v>0</v>
          </cell>
          <cell r="BX62">
            <v>-3324.639599999995</v>
          </cell>
          <cell r="BY62">
            <v>0</v>
          </cell>
          <cell r="BZ62">
            <v>3011.5493999999999</v>
          </cell>
          <cell r="CA62">
            <v>0</v>
          </cell>
          <cell r="CB62">
            <v>0</v>
          </cell>
          <cell r="CC62">
            <v>0</v>
          </cell>
          <cell r="CD62">
            <v>0</v>
          </cell>
          <cell r="CE62">
            <v>10943.953800000005</v>
          </cell>
          <cell r="CF62">
            <v>22680.611130037629</v>
          </cell>
          <cell r="CI62">
            <v>0</v>
          </cell>
          <cell r="CJ62">
            <v>0</v>
          </cell>
          <cell r="CK62">
            <v>3369.3</v>
          </cell>
          <cell r="CL62">
            <v>996.50400785002796</v>
          </cell>
          <cell r="CM62">
            <v>27046.415137887656</v>
          </cell>
          <cell r="CQ62">
            <v>4570.3857566765573</v>
          </cell>
          <cell r="CR62">
            <v>2210.69</v>
          </cell>
          <cell r="CS62">
            <v>2222.9378616638487</v>
          </cell>
          <cell r="CT62">
            <v>9004.0136183404065</v>
          </cell>
          <cell r="CU62">
            <v>4805.1820016332449</v>
          </cell>
          <cell r="CV62">
            <v>0</v>
          </cell>
          <cell r="CW62">
            <v>4805.1820016332449</v>
          </cell>
          <cell r="CX62">
            <v>0</v>
          </cell>
          <cell r="CZ62">
            <v>0</v>
          </cell>
          <cell r="DC62">
            <v>0</v>
          </cell>
          <cell r="DD62">
            <v>71966.11217444358</v>
          </cell>
          <cell r="DE62">
            <v>60483.460720011659</v>
          </cell>
          <cell r="DF62">
            <v>5992.8219732683219</v>
          </cell>
          <cell r="DG62">
            <v>0</v>
          </cell>
          <cell r="DH62">
            <v>0</v>
          </cell>
          <cell r="DI62">
            <v>138442.39486772355</v>
          </cell>
          <cell r="DJ62">
            <v>0</v>
          </cell>
          <cell r="DK62">
            <v>8473</v>
          </cell>
          <cell r="DL62">
            <v>2753.52</v>
          </cell>
          <cell r="DM62">
            <v>74722.185859261808</v>
          </cell>
          <cell r="DN62">
            <v>0</v>
          </cell>
          <cell r="DO62">
            <v>0</v>
          </cell>
          <cell r="DP62">
            <v>0</v>
          </cell>
          <cell r="DQ62">
            <v>85948.705859261812</v>
          </cell>
          <cell r="DR62">
            <v>0</v>
          </cell>
          <cell r="DS62">
            <v>0</v>
          </cell>
          <cell r="DT62">
            <v>0</v>
          </cell>
          <cell r="DU62">
            <v>0</v>
          </cell>
          <cell r="DV62">
            <v>0</v>
          </cell>
          <cell r="DW62">
            <v>0</v>
          </cell>
          <cell r="DX62">
            <v>0</v>
          </cell>
          <cell r="DY62">
            <v>2941.0554981609466</v>
          </cell>
          <cell r="DZ62">
            <v>0</v>
          </cell>
          <cell r="EA62">
            <v>0</v>
          </cell>
          <cell r="EB62">
            <v>2941.0554981609466</v>
          </cell>
          <cell r="EE62">
            <v>0</v>
          </cell>
          <cell r="EH62">
            <v>0</v>
          </cell>
          <cell r="EI62">
            <v>0</v>
          </cell>
          <cell r="EK62">
            <v>0</v>
          </cell>
          <cell r="EL62">
            <v>0</v>
          </cell>
          <cell r="EM62">
            <v>0</v>
          </cell>
          <cell r="EO62">
            <v>0</v>
          </cell>
          <cell r="EP62">
            <v>0</v>
          </cell>
          <cell r="EQ62">
            <v>114578.17579646542</v>
          </cell>
          <cell r="ER62">
            <v>813712.49367433088</v>
          </cell>
          <cell r="ET62">
            <v>197.2</v>
          </cell>
          <cell r="EU62">
            <v>4126.3311038252077</v>
          </cell>
          <cell r="EV62" t="str">
            <v>No Variation Applied</v>
          </cell>
          <cell r="EW62">
            <v>30150</v>
          </cell>
          <cell r="EX62">
            <v>0</v>
          </cell>
          <cell r="EY62">
            <v>0</v>
          </cell>
          <cell r="EZ62">
            <v>102924.6940859858</v>
          </cell>
        </row>
        <row r="63">
          <cell r="C63" t="str">
            <v>Breadsall Hill Top Junior School</v>
          </cell>
          <cell r="D63">
            <v>2447</v>
          </cell>
          <cell r="F63" t="str">
            <v/>
          </cell>
          <cell r="G63">
            <v>0</v>
          </cell>
          <cell r="H63">
            <v>0</v>
          </cell>
          <cell r="I63">
            <v>0</v>
          </cell>
          <cell r="J63">
            <v>0</v>
          </cell>
          <cell r="L63">
            <v>0</v>
          </cell>
          <cell r="M63">
            <v>0</v>
          </cell>
          <cell r="N63">
            <v>0</v>
          </cell>
          <cell r="S63">
            <v>0</v>
          </cell>
          <cell r="T63">
            <v>0</v>
          </cell>
          <cell r="U63">
            <v>0</v>
          </cell>
          <cell r="Y63">
            <v>0</v>
          </cell>
          <cell r="Z63">
            <v>0</v>
          </cell>
          <cell r="AA63">
            <v>54</v>
          </cell>
          <cell r="AB63">
            <v>56</v>
          </cell>
          <cell r="AC63">
            <v>46</v>
          </cell>
          <cell r="AD63">
            <v>57</v>
          </cell>
          <cell r="AK63">
            <v>547261.56643611006</v>
          </cell>
          <cell r="AL63">
            <v>213</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I63">
            <v>0</v>
          </cell>
          <cell r="CJ63">
            <v>0</v>
          </cell>
          <cell r="CK63">
            <v>4323.26</v>
          </cell>
          <cell r="CL63">
            <v>2019.9405564527594</v>
          </cell>
          <cell r="CM63">
            <v>6343.2005564527599</v>
          </cell>
          <cell r="CQ63">
            <v>3046.9238377843717</v>
          </cell>
          <cell r="CR63">
            <v>1607.77</v>
          </cell>
          <cell r="CS63">
            <v>2425.0231218151075</v>
          </cell>
          <cell r="CT63">
            <v>7079.7169595994792</v>
          </cell>
          <cell r="CU63">
            <v>0</v>
          </cell>
          <cell r="CV63">
            <v>0</v>
          </cell>
          <cell r="CW63">
            <v>0</v>
          </cell>
          <cell r="CX63">
            <v>0</v>
          </cell>
          <cell r="CZ63">
            <v>0</v>
          </cell>
          <cell r="DC63">
            <v>0</v>
          </cell>
          <cell r="DD63">
            <v>91373.367014928779</v>
          </cell>
          <cell r="DE63">
            <v>76400.160909488404</v>
          </cell>
          <cell r="DF63">
            <v>10273.40909703141</v>
          </cell>
          <cell r="DG63">
            <v>0</v>
          </cell>
          <cell r="DH63">
            <v>0</v>
          </cell>
          <cell r="DI63">
            <v>178046.93702144857</v>
          </cell>
          <cell r="DJ63">
            <v>0</v>
          </cell>
          <cell r="DK63">
            <v>8473</v>
          </cell>
          <cell r="DL63">
            <v>4015.17</v>
          </cell>
          <cell r="DM63">
            <v>70073.495851086889</v>
          </cell>
          <cell r="DN63">
            <v>0</v>
          </cell>
          <cell r="DO63">
            <v>0</v>
          </cell>
          <cell r="DP63">
            <v>0</v>
          </cell>
          <cell r="DQ63">
            <v>82561.665851086887</v>
          </cell>
          <cell r="DR63">
            <v>0</v>
          </cell>
          <cell r="DS63">
            <v>0</v>
          </cell>
          <cell r="DT63">
            <v>0</v>
          </cell>
          <cell r="DU63">
            <v>0</v>
          </cell>
          <cell r="DV63">
            <v>0</v>
          </cell>
          <cell r="DW63">
            <v>0</v>
          </cell>
          <cell r="DX63">
            <v>0</v>
          </cell>
          <cell r="DY63">
            <v>2614.2715539208416</v>
          </cell>
          <cell r="DZ63">
            <v>0</v>
          </cell>
          <cell r="EA63">
            <v>0</v>
          </cell>
          <cell r="EB63">
            <v>2614.2715539208416</v>
          </cell>
          <cell r="EE63">
            <v>0</v>
          </cell>
          <cell r="EH63">
            <v>0</v>
          </cell>
          <cell r="EI63">
            <v>0</v>
          </cell>
          <cell r="EK63">
            <v>0</v>
          </cell>
          <cell r="EL63">
            <v>1001</v>
          </cell>
          <cell r="EM63">
            <v>0</v>
          </cell>
          <cell r="EO63">
            <v>1001</v>
          </cell>
          <cell r="EP63">
            <v>9044.6920742323855</v>
          </cell>
          <cell r="EQ63">
            <v>0</v>
          </cell>
          <cell r="ER63">
            <v>833953.05045285088</v>
          </cell>
          <cell r="ET63">
            <v>213</v>
          </cell>
          <cell r="EU63">
            <v>3915.2725373373282</v>
          </cell>
          <cell r="EV63" t="str">
            <v>No Variation Applied</v>
          </cell>
          <cell r="EW63">
            <v>55200</v>
          </cell>
          <cell r="EX63">
            <v>0</v>
          </cell>
          <cell r="EY63">
            <v>0</v>
          </cell>
          <cell r="EZ63">
            <v>117849.79461826822</v>
          </cell>
        </row>
        <row r="64">
          <cell r="C64" t="str">
            <v>Cavendish Close Junior School</v>
          </cell>
          <cell r="D64">
            <v>2448</v>
          </cell>
          <cell r="F64" t="str">
            <v/>
          </cell>
          <cell r="G64">
            <v>0</v>
          </cell>
          <cell r="H64">
            <v>0</v>
          </cell>
          <cell r="I64">
            <v>0</v>
          </cell>
          <cell r="J64">
            <v>0</v>
          </cell>
          <cell r="L64">
            <v>0</v>
          </cell>
          <cell r="M64">
            <v>0</v>
          </cell>
          <cell r="N64">
            <v>0</v>
          </cell>
          <cell r="S64">
            <v>0</v>
          </cell>
          <cell r="T64">
            <v>0</v>
          </cell>
          <cell r="U64">
            <v>0</v>
          </cell>
          <cell r="Y64">
            <v>0</v>
          </cell>
          <cell r="Z64">
            <v>0</v>
          </cell>
          <cell r="AA64">
            <v>77</v>
          </cell>
          <cell r="AB64">
            <v>71</v>
          </cell>
          <cell r="AC64">
            <v>80</v>
          </cell>
          <cell r="AD64">
            <v>90</v>
          </cell>
          <cell r="AK64">
            <v>817038.39496095316</v>
          </cell>
          <cell r="AL64">
            <v>318</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I64">
            <v>0</v>
          </cell>
          <cell r="CJ64">
            <v>0</v>
          </cell>
          <cell r="CK64">
            <v>6454.45</v>
          </cell>
          <cell r="CL64">
            <v>3143.4122564226755</v>
          </cell>
          <cell r="CM64">
            <v>9597.8622564226753</v>
          </cell>
          <cell r="CQ64">
            <v>3808.6547972304647</v>
          </cell>
          <cell r="CR64">
            <v>2411.66</v>
          </cell>
          <cell r="CS64">
            <v>808.34104060503591</v>
          </cell>
          <cell r="CT64">
            <v>7028.6558378355012</v>
          </cell>
          <cell r="CU64">
            <v>18144.567454083866</v>
          </cell>
          <cell r="CV64">
            <v>0</v>
          </cell>
          <cell r="CW64">
            <v>18144.567454083866</v>
          </cell>
          <cell r="CX64">
            <v>0</v>
          </cell>
          <cell r="CZ64">
            <v>0</v>
          </cell>
          <cell r="DC64">
            <v>0</v>
          </cell>
          <cell r="DD64">
            <v>89987.134526322698</v>
          </cell>
          <cell r="DE64">
            <v>48659.626293543217</v>
          </cell>
          <cell r="DF64">
            <v>5992.8219732683219</v>
          </cell>
          <cell r="DG64">
            <v>0</v>
          </cell>
          <cell r="DH64">
            <v>0</v>
          </cell>
          <cell r="DI64">
            <v>144639.58279313424</v>
          </cell>
          <cell r="DJ64">
            <v>0</v>
          </cell>
          <cell r="DK64">
            <v>16373.5</v>
          </cell>
          <cell r="DL64">
            <v>5743.66</v>
          </cell>
          <cell r="DM64">
            <v>70073.495851086889</v>
          </cell>
          <cell r="DN64">
            <v>0</v>
          </cell>
          <cell r="DO64">
            <v>0</v>
          </cell>
          <cell r="DP64">
            <v>0</v>
          </cell>
          <cell r="DQ64">
            <v>92190.655851086893</v>
          </cell>
          <cell r="DR64">
            <v>0</v>
          </cell>
          <cell r="DS64">
            <v>0</v>
          </cell>
          <cell r="DT64">
            <v>0</v>
          </cell>
          <cell r="DU64">
            <v>0</v>
          </cell>
          <cell r="DV64">
            <v>0</v>
          </cell>
          <cell r="DW64">
            <v>0</v>
          </cell>
          <cell r="DX64">
            <v>0</v>
          </cell>
          <cell r="DY64">
            <v>2287.4876096807366</v>
          </cell>
          <cell r="DZ64">
            <v>0</v>
          </cell>
          <cell r="EA64">
            <v>0</v>
          </cell>
          <cell r="EB64">
            <v>2287.4876096807366</v>
          </cell>
          <cell r="EE64">
            <v>0</v>
          </cell>
          <cell r="EH64">
            <v>0</v>
          </cell>
          <cell r="EI64">
            <v>0</v>
          </cell>
          <cell r="EK64">
            <v>0</v>
          </cell>
          <cell r="EL64">
            <v>0</v>
          </cell>
          <cell r="EM64">
            <v>0</v>
          </cell>
          <cell r="EO64">
            <v>0</v>
          </cell>
          <cell r="EP64">
            <v>19394.120072483551</v>
          </cell>
          <cell r="EQ64">
            <v>0</v>
          </cell>
          <cell r="ER64">
            <v>1110321.3268356805</v>
          </cell>
          <cell r="ET64">
            <v>318</v>
          </cell>
          <cell r="EU64">
            <v>3491.5764994832721</v>
          </cell>
          <cell r="EV64" t="str">
            <v>No Variation Applied</v>
          </cell>
          <cell r="EW64">
            <v>58200</v>
          </cell>
          <cell r="EX64">
            <v>0</v>
          </cell>
          <cell r="EY64">
            <v>0</v>
          </cell>
          <cell r="EZ64">
            <v>135970.49016548606</v>
          </cell>
        </row>
        <row r="65">
          <cell r="C65" t="str">
            <v>Cavendish Close Infant School</v>
          </cell>
          <cell r="D65">
            <v>2449</v>
          </cell>
          <cell r="F65" t="str">
            <v/>
          </cell>
          <cell r="G65">
            <v>0</v>
          </cell>
          <cell r="H65">
            <v>44280</v>
          </cell>
          <cell r="I65">
            <v>0</v>
          </cell>
          <cell r="J65">
            <v>0</v>
          </cell>
          <cell r="L65">
            <v>154821.97537123782</v>
          </cell>
          <cell r="M65">
            <v>44280</v>
          </cell>
          <cell r="N65">
            <v>46.610526315789471</v>
          </cell>
          <cell r="S65">
            <v>0</v>
          </cell>
          <cell r="T65">
            <v>0</v>
          </cell>
          <cell r="U65">
            <v>90</v>
          </cell>
          <cell r="Y65">
            <v>82</v>
          </cell>
          <cell r="Z65">
            <v>88</v>
          </cell>
          <cell r="AA65">
            <v>0</v>
          </cell>
          <cell r="AB65">
            <v>0</v>
          </cell>
          <cell r="AC65">
            <v>0</v>
          </cell>
          <cell r="AD65">
            <v>0</v>
          </cell>
          <cell r="AK65">
            <v>678166.17666812742</v>
          </cell>
          <cell r="AL65">
            <v>260</v>
          </cell>
          <cell r="BS65">
            <v>4642.08</v>
          </cell>
          <cell r="BT65">
            <v>0</v>
          </cell>
          <cell r="BU65">
            <v>348.15600000000001</v>
          </cell>
          <cell r="BV65">
            <v>0</v>
          </cell>
          <cell r="BW65">
            <v>0</v>
          </cell>
          <cell r="BX65">
            <v>-7216.5017999999982</v>
          </cell>
          <cell r="BY65">
            <v>0</v>
          </cell>
          <cell r="BZ65">
            <v>4015.3991999999998</v>
          </cell>
          <cell r="CA65">
            <v>0</v>
          </cell>
          <cell r="CB65">
            <v>0</v>
          </cell>
          <cell r="CC65">
            <v>0</v>
          </cell>
          <cell r="CD65">
            <v>0</v>
          </cell>
          <cell r="CE65">
            <v>1789.1334000000015</v>
          </cell>
          <cell r="CF65">
            <v>34020.916695056439</v>
          </cell>
          <cell r="CI65">
            <v>0</v>
          </cell>
          <cell r="CJ65">
            <v>0</v>
          </cell>
          <cell r="CK65">
            <v>5277.22</v>
          </cell>
          <cell r="CL65">
            <v>2962.5794827973805</v>
          </cell>
          <cell r="CM65">
            <v>42260.716177853821</v>
          </cell>
          <cell r="CQ65">
            <v>7617.3095944609295</v>
          </cell>
          <cell r="CR65">
            <v>2210.69</v>
          </cell>
          <cell r="CS65">
            <v>2020.8526015125899</v>
          </cell>
          <cell r="CT65">
            <v>11848.852195973519</v>
          </cell>
          <cell r="CU65">
            <v>4379.7231785719678</v>
          </cell>
          <cell r="CV65">
            <v>0</v>
          </cell>
          <cell r="CW65">
            <v>4379.7231785719678</v>
          </cell>
          <cell r="CX65">
            <v>0</v>
          </cell>
          <cell r="CZ65">
            <v>0</v>
          </cell>
          <cell r="DC65">
            <v>0</v>
          </cell>
          <cell r="DD65">
            <v>78100.928294232217</v>
          </cell>
          <cell r="DE65">
            <v>41156.03906136132</v>
          </cell>
          <cell r="DF65">
            <v>4280.5871237630872</v>
          </cell>
          <cell r="DG65">
            <v>0</v>
          </cell>
          <cell r="DH65">
            <v>0</v>
          </cell>
          <cell r="DI65">
            <v>123537.55447935664</v>
          </cell>
          <cell r="DJ65">
            <v>0</v>
          </cell>
          <cell r="DK65">
            <v>11106.5</v>
          </cell>
          <cell r="DL65">
            <v>7187.43</v>
          </cell>
          <cell r="DM65">
            <v>70073.495851086889</v>
          </cell>
          <cell r="DN65">
            <v>0</v>
          </cell>
          <cell r="DO65">
            <v>0</v>
          </cell>
          <cell r="DP65">
            <v>0</v>
          </cell>
          <cell r="DQ65">
            <v>88367.425851086882</v>
          </cell>
          <cell r="DR65">
            <v>0</v>
          </cell>
          <cell r="DS65">
            <v>0</v>
          </cell>
          <cell r="DT65">
            <v>0</v>
          </cell>
          <cell r="DU65">
            <v>0</v>
          </cell>
          <cell r="DV65">
            <v>0</v>
          </cell>
          <cell r="DW65">
            <v>0</v>
          </cell>
          <cell r="DX65">
            <v>0</v>
          </cell>
          <cell r="DY65">
            <v>3594.6233866411571</v>
          </cell>
          <cell r="DZ65">
            <v>0</v>
          </cell>
          <cell r="EA65">
            <v>0</v>
          </cell>
          <cell r="EB65">
            <v>3594.6233866411571</v>
          </cell>
          <cell r="EE65">
            <v>0</v>
          </cell>
          <cell r="EH65">
            <v>0</v>
          </cell>
          <cell r="EI65">
            <v>6770.3555000000006</v>
          </cell>
          <cell r="EK65">
            <v>0</v>
          </cell>
          <cell r="EL65">
            <v>0</v>
          </cell>
          <cell r="EM65">
            <v>0</v>
          </cell>
          <cell r="EO65">
            <v>6770.3555000000006</v>
          </cell>
          <cell r="EP65">
            <v>0</v>
          </cell>
          <cell r="EQ65">
            <v>156611.10877123781</v>
          </cell>
          <cell r="ER65">
            <v>1115536.5362088496</v>
          </cell>
          <cell r="ET65">
            <v>306.61052631578946</v>
          </cell>
          <cell r="EU65">
            <v>3638.2851874430348</v>
          </cell>
          <cell r="EV65" t="str">
            <v>No Variation Applied</v>
          </cell>
          <cell r="EW65">
            <v>40800</v>
          </cell>
          <cell r="EX65">
            <v>0</v>
          </cell>
          <cell r="EY65">
            <v>0</v>
          </cell>
          <cell r="EZ65">
            <v>115452.83372507186</v>
          </cell>
        </row>
        <row r="66">
          <cell r="C66" t="str">
            <v>Cherry Tree Hill Primary School</v>
          </cell>
          <cell r="D66">
            <v>2451</v>
          </cell>
          <cell r="F66" t="str">
            <v/>
          </cell>
          <cell r="G66">
            <v>0</v>
          </cell>
          <cell r="H66">
            <v>29442</v>
          </cell>
          <cell r="I66">
            <v>0</v>
          </cell>
          <cell r="J66">
            <v>0</v>
          </cell>
          <cell r="L66">
            <v>102941.92861065907</v>
          </cell>
          <cell r="M66">
            <v>29442</v>
          </cell>
          <cell r="N66">
            <v>30.991578947368421</v>
          </cell>
          <cell r="S66">
            <v>0</v>
          </cell>
          <cell r="T66">
            <v>0</v>
          </cell>
          <cell r="U66">
            <v>65</v>
          </cell>
          <cell r="Y66">
            <v>63</v>
          </cell>
          <cell r="Z66">
            <v>58</v>
          </cell>
          <cell r="AA66">
            <v>61</v>
          </cell>
          <cell r="AB66">
            <v>62</v>
          </cell>
          <cell r="AC66">
            <v>63</v>
          </cell>
          <cell r="AD66">
            <v>66</v>
          </cell>
          <cell r="AK66">
            <v>1132894.9302798971</v>
          </cell>
          <cell r="AL66">
            <v>438</v>
          </cell>
          <cell r="BS66">
            <v>6371.2548000000006</v>
          </cell>
          <cell r="BT66">
            <v>0</v>
          </cell>
          <cell r="BU66">
            <v>0</v>
          </cell>
          <cell r="BV66">
            <v>0</v>
          </cell>
          <cell r="BW66">
            <v>0</v>
          </cell>
          <cell r="BX66">
            <v>1289.6031999999977</v>
          </cell>
          <cell r="BY66">
            <v>0</v>
          </cell>
          <cell r="BZ66">
            <v>5019.2489999999998</v>
          </cell>
          <cell r="CA66">
            <v>0</v>
          </cell>
          <cell r="CB66">
            <v>0</v>
          </cell>
          <cell r="CC66">
            <v>0</v>
          </cell>
          <cell r="CD66">
            <v>0</v>
          </cell>
          <cell r="CE66">
            <v>12680.106999999998</v>
          </cell>
          <cell r="CF66">
            <v>34020.916695056439</v>
          </cell>
          <cell r="CI66">
            <v>0</v>
          </cell>
          <cell r="CJ66">
            <v>0</v>
          </cell>
          <cell r="CK66">
            <v>8890.09</v>
          </cell>
          <cell r="CL66">
            <v>5979.0240471001689</v>
          </cell>
          <cell r="CM66">
            <v>48890.030742156603</v>
          </cell>
          <cell r="CQ66">
            <v>3046.9238377843717</v>
          </cell>
          <cell r="CR66">
            <v>1607.77</v>
          </cell>
          <cell r="CS66">
            <v>2829.1936421176256</v>
          </cell>
          <cell r="CT66">
            <v>7483.8874799019977</v>
          </cell>
          <cell r="CU66">
            <v>3003.2387510207782</v>
          </cell>
          <cell r="CV66">
            <v>0</v>
          </cell>
          <cell r="CW66">
            <v>3003.2387510207782</v>
          </cell>
          <cell r="CX66">
            <v>0</v>
          </cell>
          <cell r="CZ66">
            <v>0</v>
          </cell>
          <cell r="DC66">
            <v>0</v>
          </cell>
          <cell r="DD66">
            <v>85710.459827431565</v>
          </cell>
          <cell r="DE66">
            <v>89815.66535490453</v>
          </cell>
          <cell r="DF66">
            <v>10273.40909703141</v>
          </cell>
          <cell r="DG66">
            <v>0</v>
          </cell>
          <cell r="DH66">
            <v>0</v>
          </cell>
          <cell r="DI66">
            <v>185799.53427936748</v>
          </cell>
          <cell r="DJ66">
            <v>0</v>
          </cell>
          <cell r="DK66">
            <v>22098.5</v>
          </cell>
          <cell r="DL66">
            <v>7362.3</v>
          </cell>
          <cell r="DM66">
            <v>70073.495851086889</v>
          </cell>
          <cell r="DN66">
            <v>0</v>
          </cell>
          <cell r="DO66">
            <v>0</v>
          </cell>
          <cell r="DP66">
            <v>0</v>
          </cell>
          <cell r="DQ66">
            <v>99534.295851086892</v>
          </cell>
          <cell r="DR66">
            <v>0</v>
          </cell>
          <cell r="DS66">
            <v>0</v>
          </cell>
          <cell r="DT66">
            <v>0</v>
          </cell>
          <cell r="DU66">
            <v>0</v>
          </cell>
          <cell r="DV66">
            <v>0</v>
          </cell>
          <cell r="DW66">
            <v>0</v>
          </cell>
          <cell r="DX66">
            <v>0</v>
          </cell>
          <cell r="DY66">
            <v>4248.1912751213677</v>
          </cell>
          <cell r="DZ66">
            <v>1512.6823409033225</v>
          </cell>
          <cell r="EA66">
            <v>0</v>
          </cell>
          <cell r="EB66">
            <v>5760.8736160246899</v>
          </cell>
          <cell r="EE66">
            <v>0</v>
          </cell>
          <cell r="EH66">
            <v>0</v>
          </cell>
          <cell r="EI66">
            <v>0</v>
          </cell>
          <cell r="EK66">
            <v>0</v>
          </cell>
          <cell r="EL66">
            <v>0</v>
          </cell>
          <cell r="EM66">
            <v>0</v>
          </cell>
          <cell r="EO66">
            <v>0</v>
          </cell>
          <cell r="EP66">
            <v>0</v>
          </cell>
          <cell r="EQ66">
            <v>115622.03561065908</v>
          </cell>
          <cell r="ER66">
            <v>1598988.8266101144</v>
          </cell>
          <cell r="ET66">
            <v>468.9915789473684</v>
          </cell>
          <cell r="EU66">
            <v>3409.4190565190461</v>
          </cell>
          <cell r="EV66" t="str">
            <v>No Variation Applied</v>
          </cell>
          <cell r="EW66">
            <v>52800</v>
          </cell>
          <cell r="EX66">
            <v>0</v>
          </cell>
          <cell r="EY66">
            <v>0</v>
          </cell>
          <cell r="EZ66">
            <v>131280.67495362909</v>
          </cell>
        </row>
        <row r="67">
          <cell r="C67" t="str">
            <v>Meadow Farm Community Primary School</v>
          </cell>
          <cell r="D67">
            <v>2452</v>
          </cell>
          <cell r="F67" t="str">
            <v/>
          </cell>
          <cell r="G67">
            <v>0</v>
          </cell>
          <cell r="H67">
            <v>21210</v>
          </cell>
          <cell r="I67">
            <v>0</v>
          </cell>
          <cell r="J67">
            <v>0</v>
          </cell>
          <cell r="L67">
            <v>74159.306631073938</v>
          </cell>
          <cell r="M67">
            <v>21210</v>
          </cell>
          <cell r="N67">
            <v>22.326315789473686</v>
          </cell>
          <cell r="S67">
            <v>0</v>
          </cell>
          <cell r="T67">
            <v>0</v>
          </cell>
          <cell r="U67">
            <v>30</v>
          </cell>
          <cell r="Y67">
            <v>29</v>
          </cell>
          <cell r="Z67">
            <v>28</v>
          </cell>
          <cell r="AA67">
            <v>33</v>
          </cell>
          <cell r="AB67">
            <v>27</v>
          </cell>
          <cell r="AC67">
            <v>25</v>
          </cell>
          <cell r="AD67">
            <v>38</v>
          </cell>
          <cell r="AK67">
            <v>542896.45356527099</v>
          </cell>
          <cell r="AL67">
            <v>210</v>
          </cell>
          <cell r="BS67">
            <v>7659.4319999999998</v>
          </cell>
          <cell r="BT67">
            <v>0</v>
          </cell>
          <cell r="BU67">
            <v>116.05200000000001</v>
          </cell>
          <cell r="BV67">
            <v>0</v>
          </cell>
          <cell r="BW67">
            <v>0</v>
          </cell>
          <cell r="BX67">
            <v>-5679.6097515765869</v>
          </cell>
          <cell r="BY67">
            <v>0</v>
          </cell>
          <cell r="BZ67">
            <v>3011.5493999999999</v>
          </cell>
          <cell r="CA67">
            <v>0</v>
          </cell>
          <cell r="CB67">
            <v>0</v>
          </cell>
          <cell r="CC67">
            <v>0</v>
          </cell>
          <cell r="CD67">
            <v>0</v>
          </cell>
          <cell r="CE67">
            <v>5107.4236484234125</v>
          </cell>
          <cell r="CF67">
            <v>11340.305565018814</v>
          </cell>
          <cell r="CI67">
            <v>0</v>
          </cell>
          <cell r="CJ67">
            <v>0</v>
          </cell>
          <cell r="CK67">
            <v>4262.37</v>
          </cell>
          <cell r="CL67">
            <v>2874.0868488956407</v>
          </cell>
          <cell r="CM67">
            <v>18476.762413914454</v>
          </cell>
          <cell r="CQ67">
            <v>3046.9238377843717</v>
          </cell>
          <cell r="CR67">
            <v>1004.86</v>
          </cell>
          <cell r="CS67">
            <v>1616.6820812100718</v>
          </cell>
          <cell r="CT67">
            <v>5668.4659189944432</v>
          </cell>
          <cell r="CU67">
            <v>6006.4775020415564</v>
          </cell>
          <cell r="CV67">
            <v>0</v>
          </cell>
          <cell r="CW67">
            <v>6006.4775020415564</v>
          </cell>
          <cell r="CX67">
            <v>0</v>
          </cell>
          <cell r="CZ67">
            <v>0</v>
          </cell>
          <cell r="DC67">
            <v>0</v>
          </cell>
          <cell r="DD67">
            <v>84766.641962848706</v>
          </cell>
          <cell r="DE67">
            <v>79583.500947383756</v>
          </cell>
          <cell r="DF67">
            <v>5136.704548515705</v>
          </cell>
          <cell r="DG67">
            <v>0</v>
          </cell>
          <cell r="DH67">
            <v>0</v>
          </cell>
          <cell r="DI67">
            <v>169486.84745874818</v>
          </cell>
          <cell r="DJ67">
            <v>0</v>
          </cell>
          <cell r="DK67">
            <v>14198</v>
          </cell>
          <cell r="DL67">
            <v>3811.25</v>
          </cell>
          <cell r="DM67">
            <v>70073.495851086889</v>
          </cell>
          <cell r="DN67">
            <v>0</v>
          </cell>
          <cell r="DO67">
            <v>0</v>
          </cell>
          <cell r="DP67">
            <v>0</v>
          </cell>
          <cell r="DQ67">
            <v>88082.745851086889</v>
          </cell>
          <cell r="DR67">
            <v>0</v>
          </cell>
          <cell r="DS67">
            <v>0</v>
          </cell>
          <cell r="DT67">
            <v>0</v>
          </cell>
          <cell r="DU67">
            <v>0</v>
          </cell>
          <cell r="DV67">
            <v>0</v>
          </cell>
          <cell r="DW67">
            <v>0</v>
          </cell>
          <cell r="DX67">
            <v>0</v>
          </cell>
          <cell r="DY67">
            <v>1960.7036654406311</v>
          </cell>
          <cell r="DZ67">
            <v>0</v>
          </cell>
          <cell r="EA67">
            <v>0</v>
          </cell>
          <cell r="EB67">
            <v>1960.7036654406311</v>
          </cell>
          <cell r="EE67">
            <v>0</v>
          </cell>
          <cell r="EH67">
            <v>0</v>
          </cell>
          <cell r="EI67">
            <v>0</v>
          </cell>
          <cell r="EK67">
            <v>0</v>
          </cell>
          <cell r="EL67">
            <v>5632</v>
          </cell>
          <cell r="EM67">
            <v>0</v>
          </cell>
          <cell r="EO67">
            <v>5632</v>
          </cell>
          <cell r="EP67">
            <v>0</v>
          </cell>
          <cell r="EQ67">
            <v>79266.730279497351</v>
          </cell>
          <cell r="ER67">
            <v>917477.1866549945</v>
          </cell>
          <cell r="ET67">
            <v>232.32631578947368</v>
          </cell>
          <cell r="EU67">
            <v>3949.0885203309535</v>
          </cell>
          <cell r="EV67" t="str">
            <v>No Variation Applied</v>
          </cell>
          <cell r="EW67">
            <v>43200</v>
          </cell>
          <cell r="EX67">
            <v>0</v>
          </cell>
          <cell r="EY67">
            <v>0</v>
          </cell>
          <cell r="EZ67">
            <v>113858.1342972253</v>
          </cell>
        </row>
        <row r="68">
          <cell r="C68" t="str">
            <v>Chaddesden Park Junior School</v>
          </cell>
          <cell r="D68">
            <v>2453</v>
          </cell>
          <cell r="F68" t="str">
            <v/>
          </cell>
          <cell r="G68">
            <v>0</v>
          </cell>
          <cell r="H68">
            <v>0</v>
          </cell>
          <cell r="I68">
            <v>0</v>
          </cell>
          <cell r="J68">
            <v>0</v>
          </cell>
          <cell r="L68">
            <v>0</v>
          </cell>
          <cell r="M68">
            <v>0</v>
          </cell>
          <cell r="N68">
            <v>0</v>
          </cell>
          <cell r="S68">
            <v>0</v>
          </cell>
          <cell r="T68">
            <v>0</v>
          </cell>
          <cell r="U68">
            <v>0</v>
          </cell>
          <cell r="Y68">
            <v>0</v>
          </cell>
          <cell r="Z68">
            <v>0</v>
          </cell>
          <cell r="AA68">
            <v>38</v>
          </cell>
          <cell r="AB68">
            <v>49</v>
          </cell>
          <cell r="AC68">
            <v>40</v>
          </cell>
          <cell r="AD68">
            <v>55</v>
          </cell>
          <cell r="AK68">
            <v>467613.16944306128</v>
          </cell>
          <cell r="AL68">
            <v>182</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I68">
            <v>0</v>
          </cell>
          <cell r="CJ68">
            <v>0</v>
          </cell>
          <cell r="CK68">
            <v>3694.05</v>
          </cell>
          <cell r="CL68">
            <v>2866.3918372520111</v>
          </cell>
          <cell r="CM68">
            <v>6560.4418372520113</v>
          </cell>
          <cell r="CQ68">
            <v>1523.4619188921858</v>
          </cell>
          <cell r="CR68">
            <v>1607.77</v>
          </cell>
          <cell r="CS68">
            <v>808.34104060503591</v>
          </cell>
          <cell r="CT68">
            <v>3939.5729594972217</v>
          </cell>
          <cell r="CU68">
            <v>9009.7162530623336</v>
          </cell>
          <cell r="CV68">
            <v>0</v>
          </cell>
          <cell r="CW68">
            <v>9009.7162530623336</v>
          </cell>
          <cell r="CX68">
            <v>0</v>
          </cell>
          <cell r="CZ68">
            <v>0</v>
          </cell>
          <cell r="DC68">
            <v>0</v>
          </cell>
          <cell r="DD68">
            <v>44315.198172992408</v>
          </cell>
          <cell r="DE68">
            <v>51160.822037603844</v>
          </cell>
          <cell r="DF68">
            <v>4280.5871237630872</v>
          </cell>
          <cell r="DG68">
            <v>0</v>
          </cell>
          <cell r="DH68">
            <v>0</v>
          </cell>
          <cell r="DI68">
            <v>99756.607334359345</v>
          </cell>
          <cell r="DJ68">
            <v>0</v>
          </cell>
          <cell r="DK68">
            <v>6125.75</v>
          </cell>
          <cell r="DL68">
            <v>6247.81</v>
          </cell>
          <cell r="DM68">
            <v>74722.185859261808</v>
          </cell>
          <cell r="DN68">
            <v>0</v>
          </cell>
          <cell r="DO68">
            <v>0</v>
          </cell>
          <cell r="DP68">
            <v>0</v>
          </cell>
          <cell r="DQ68">
            <v>87095.745859261806</v>
          </cell>
          <cell r="DR68">
            <v>0</v>
          </cell>
          <cell r="DS68">
            <v>0</v>
          </cell>
          <cell r="DT68">
            <v>0</v>
          </cell>
          <cell r="DU68">
            <v>0</v>
          </cell>
          <cell r="DV68">
            <v>0</v>
          </cell>
          <cell r="DW68">
            <v>0</v>
          </cell>
          <cell r="DX68">
            <v>0</v>
          </cell>
          <cell r="DY68">
            <v>2941.0554981609466</v>
          </cell>
          <cell r="DZ68">
            <v>0</v>
          </cell>
          <cell r="EA68">
            <v>0</v>
          </cell>
          <cell r="EB68">
            <v>2941.0554981609466</v>
          </cell>
          <cell r="EE68">
            <v>0</v>
          </cell>
          <cell r="EH68">
            <v>0</v>
          </cell>
          <cell r="EI68">
            <v>0</v>
          </cell>
          <cell r="EK68">
            <v>0</v>
          </cell>
          <cell r="EL68">
            <v>10887</v>
          </cell>
          <cell r="EM68">
            <v>0</v>
          </cell>
          <cell r="EO68">
            <v>10887</v>
          </cell>
          <cell r="EP68">
            <v>0</v>
          </cell>
          <cell r="EQ68">
            <v>0</v>
          </cell>
          <cell r="ER68">
            <v>687803.30918465508</v>
          </cell>
          <cell r="ET68">
            <v>182</v>
          </cell>
          <cell r="EU68">
            <v>3779.1390614541488</v>
          </cell>
          <cell r="EV68" t="str">
            <v>No Variation Applied</v>
          </cell>
          <cell r="EW68">
            <v>36000</v>
          </cell>
          <cell r="EX68">
            <v>0</v>
          </cell>
          <cell r="EY68">
            <v>0</v>
          </cell>
          <cell r="EZ68">
            <v>71311.580830052713</v>
          </cell>
        </row>
        <row r="69">
          <cell r="C69" t="str">
            <v>Chellaston Infant School</v>
          </cell>
          <cell r="D69">
            <v>2455</v>
          </cell>
          <cell r="F69" t="str">
            <v/>
          </cell>
          <cell r="G69">
            <v>0</v>
          </cell>
          <cell r="H69">
            <v>0</v>
          </cell>
          <cell r="I69">
            <v>0</v>
          </cell>
          <cell r="J69">
            <v>0</v>
          </cell>
          <cell r="L69">
            <v>0</v>
          </cell>
          <cell r="M69">
            <v>0</v>
          </cell>
          <cell r="N69">
            <v>0</v>
          </cell>
          <cell r="S69">
            <v>0</v>
          </cell>
          <cell r="T69">
            <v>0</v>
          </cell>
          <cell r="U69">
            <v>120</v>
          </cell>
          <cell r="Y69">
            <v>120</v>
          </cell>
          <cell r="Z69">
            <v>120</v>
          </cell>
          <cell r="AA69">
            <v>0</v>
          </cell>
          <cell r="AB69">
            <v>0</v>
          </cell>
          <cell r="AC69">
            <v>0</v>
          </cell>
          <cell r="AD69">
            <v>0</v>
          </cell>
          <cell r="AK69">
            <v>936892.62885780726</v>
          </cell>
          <cell r="AL69">
            <v>360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45361.222260075258</v>
          </cell>
          <cell r="CI69">
            <v>0</v>
          </cell>
          <cell r="CJ69">
            <v>0</v>
          </cell>
          <cell r="CK69">
            <v>7306.92</v>
          </cell>
          <cell r="CL69">
            <v>4882.4848878829562</v>
          </cell>
          <cell r="CM69">
            <v>57550.627147958214</v>
          </cell>
          <cell r="CQ69">
            <v>5332.1167161226504</v>
          </cell>
          <cell r="CR69">
            <v>3818.46</v>
          </cell>
          <cell r="CS69">
            <v>6062.5578045377697</v>
          </cell>
          <cell r="CT69">
            <v>15213.13452066042</v>
          </cell>
          <cell r="CU69">
            <v>11011.875420409518</v>
          </cell>
          <cell r="CV69">
            <v>0</v>
          </cell>
          <cell r="CW69">
            <v>11011.875420409518</v>
          </cell>
          <cell r="CX69">
            <v>0</v>
          </cell>
          <cell r="CZ69">
            <v>0</v>
          </cell>
          <cell r="DC69">
            <v>0</v>
          </cell>
          <cell r="DD69">
            <v>59666.9856265981</v>
          </cell>
          <cell r="DE69">
            <v>24102.431715493367</v>
          </cell>
          <cell r="DF69">
            <v>7705.0568227735575</v>
          </cell>
          <cell r="DG69">
            <v>0</v>
          </cell>
          <cell r="DH69">
            <v>0</v>
          </cell>
          <cell r="DI69">
            <v>91474.474164865038</v>
          </cell>
          <cell r="DJ69">
            <v>0</v>
          </cell>
          <cell r="DK69">
            <v>23816</v>
          </cell>
          <cell r="DL69">
            <v>4365.59</v>
          </cell>
          <cell r="DM69">
            <v>70073.495851086889</v>
          </cell>
          <cell r="DN69">
            <v>0</v>
          </cell>
          <cell r="DO69">
            <v>0</v>
          </cell>
          <cell r="DP69">
            <v>0</v>
          </cell>
          <cell r="DQ69">
            <v>98255.085851086886</v>
          </cell>
          <cell r="DR69">
            <v>0</v>
          </cell>
          <cell r="DS69">
            <v>0</v>
          </cell>
          <cell r="DT69">
            <v>0</v>
          </cell>
          <cell r="DU69">
            <v>0</v>
          </cell>
          <cell r="DV69">
            <v>0</v>
          </cell>
          <cell r="DW69">
            <v>0</v>
          </cell>
          <cell r="DX69">
            <v>0</v>
          </cell>
          <cell r="DY69">
            <v>4574.9752193614731</v>
          </cell>
          <cell r="DZ69">
            <v>0</v>
          </cell>
          <cell r="EA69">
            <v>0</v>
          </cell>
          <cell r="EB69">
            <v>4574.9752193614731</v>
          </cell>
          <cell r="EE69">
            <v>0</v>
          </cell>
          <cell r="EH69">
            <v>0</v>
          </cell>
          <cell r="EI69">
            <v>0</v>
          </cell>
          <cell r="EK69">
            <v>0</v>
          </cell>
          <cell r="EL69">
            <v>7384</v>
          </cell>
          <cell r="EM69">
            <v>0</v>
          </cell>
          <cell r="EO69">
            <v>7384</v>
          </cell>
          <cell r="EP69">
            <v>0</v>
          </cell>
          <cell r="EQ69">
            <v>0</v>
          </cell>
          <cell r="ER69">
            <v>1222356.801182149</v>
          </cell>
          <cell r="ET69">
            <v>360</v>
          </cell>
          <cell r="EU69">
            <v>3395.4355588393028</v>
          </cell>
          <cell r="EV69" t="str">
            <v>No Variation Applied</v>
          </cell>
          <cell r="EW69">
            <v>28200</v>
          </cell>
          <cell r="EX69">
            <v>0</v>
          </cell>
          <cell r="EY69">
            <v>0</v>
          </cell>
          <cell r="EZ69">
            <v>107209.27788628415</v>
          </cell>
        </row>
        <row r="70">
          <cell r="C70" t="str">
            <v>Carlyle Infant School</v>
          </cell>
          <cell r="D70">
            <v>2456</v>
          </cell>
          <cell r="F70" t="str">
            <v/>
          </cell>
          <cell r="G70">
            <v>0</v>
          </cell>
          <cell r="H70">
            <v>28020</v>
          </cell>
          <cell r="I70">
            <v>0</v>
          </cell>
          <cell r="J70">
            <v>0</v>
          </cell>
          <cell r="L70">
            <v>97970.003385322576</v>
          </cell>
          <cell r="M70">
            <v>28020</v>
          </cell>
          <cell r="N70">
            <v>29.494736842105262</v>
          </cell>
          <cell r="S70">
            <v>0</v>
          </cell>
          <cell r="T70">
            <v>0</v>
          </cell>
          <cell r="U70">
            <v>60</v>
          </cell>
          <cell r="Y70">
            <v>60</v>
          </cell>
          <cell r="Z70">
            <v>59</v>
          </cell>
          <cell r="AA70">
            <v>0</v>
          </cell>
          <cell r="AB70">
            <v>0</v>
          </cell>
          <cell r="AC70">
            <v>0</v>
          </cell>
          <cell r="AD70">
            <v>0</v>
          </cell>
          <cell r="AK70">
            <v>465995.98493138084</v>
          </cell>
          <cell r="AL70">
            <v>179</v>
          </cell>
          <cell r="BS70">
            <v>1624.7280000000001</v>
          </cell>
          <cell r="BT70">
            <v>0</v>
          </cell>
          <cell r="BU70">
            <v>1856.8320000000001</v>
          </cell>
          <cell r="BV70">
            <v>0</v>
          </cell>
          <cell r="BW70">
            <v>0</v>
          </cell>
          <cell r="BX70">
            <v>-2196.2480000000069</v>
          </cell>
          <cell r="BY70">
            <v>0</v>
          </cell>
          <cell r="BZ70">
            <v>0</v>
          </cell>
          <cell r="CA70">
            <v>0</v>
          </cell>
          <cell r="CB70">
            <v>0</v>
          </cell>
          <cell r="CC70">
            <v>0</v>
          </cell>
          <cell r="CD70">
            <v>0</v>
          </cell>
          <cell r="CE70">
            <v>1285.3119999999935</v>
          </cell>
          <cell r="CF70">
            <v>22680.611130037629</v>
          </cell>
          <cell r="CI70">
            <v>0</v>
          </cell>
          <cell r="CJ70">
            <v>0</v>
          </cell>
          <cell r="CK70">
            <v>3633.16</v>
          </cell>
          <cell r="CL70">
            <v>3016.444564302788</v>
          </cell>
          <cell r="CM70">
            <v>29330.215694340415</v>
          </cell>
          <cell r="CQ70">
            <v>3808.6547972304647</v>
          </cell>
          <cell r="CR70">
            <v>8641.77</v>
          </cell>
          <cell r="CS70">
            <v>10104.263007562949</v>
          </cell>
          <cell r="CT70">
            <v>22554.687804793415</v>
          </cell>
          <cell r="CU70">
            <v>2502.698959183982</v>
          </cell>
          <cell r="CV70">
            <v>0</v>
          </cell>
          <cell r="CW70">
            <v>2502.698959183982</v>
          </cell>
          <cell r="CX70">
            <v>0</v>
          </cell>
          <cell r="CZ70">
            <v>0</v>
          </cell>
          <cell r="DC70">
            <v>0</v>
          </cell>
          <cell r="DD70">
            <v>19289.277607412336</v>
          </cell>
          <cell r="DE70">
            <v>13870.267307972599</v>
          </cell>
          <cell r="DF70">
            <v>856.11742475261747</v>
          </cell>
          <cell r="DG70">
            <v>0</v>
          </cell>
          <cell r="DH70">
            <v>0</v>
          </cell>
          <cell r="DI70">
            <v>34015.662340137547</v>
          </cell>
          <cell r="DJ70">
            <v>0</v>
          </cell>
          <cell r="DK70">
            <v>8587.5</v>
          </cell>
          <cell r="DL70">
            <v>2870.98</v>
          </cell>
          <cell r="DM70">
            <v>70073.495851086889</v>
          </cell>
          <cell r="DN70">
            <v>0</v>
          </cell>
          <cell r="DO70">
            <v>0</v>
          </cell>
          <cell r="DP70">
            <v>0</v>
          </cell>
          <cell r="DQ70">
            <v>81531.975851086885</v>
          </cell>
          <cell r="DR70">
            <v>0</v>
          </cell>
          <cell r="DS70">
            <v>0</v>
          </cell>
          <cell r="DT70">
            <v>0</v>
          </cell>
          <cell r="DU70">
            <v>0</v>
          </cell>
          <cell r="DV70">
            <v>0</v>
          </cell>
          <cell r="DW70">
            <v>0</v>
          </cell>
          <cell r="DX70">
            <v>0</v>
          </cell>
          <cell r="DY70">
            <v>4574.9752193614731</v>
          </cell>
          <cell r="DZ70">
            <v>0</v>
          </cell>
          <cell r="EA70">
            <v>0</v>
          </cell>
          <cell r="EB70">
            <v>4574.9752193614731</v>
          </cell>
          <cell r="EE70">
            <v>0</v>
          </cell>
          <cell r="EH70">
            <v>0</v>
          </cell>
          <cell r="EI70">
            <v>0</v>
          </cell>
          <cell r="EK70">
            <v>0</v>
          </cell>
          <cell r="EL70">
            <v>6257</v>
          </cell>
          <cell r="EM70">
            <v>0</v>
          </cell>
          <cell r="EO70">
            <v>6257</v>
          </cell>
          <cell r="EP70">
            <v>0</v>
          </cell>
          <cell r="EQ70">
            <v>99255.315385322567</v>
          </cell>
          <cell r="ER70">
            <v>746018.51618560706</v>
          </cell>
          <cell r="ET70">
            <v>208.49473684210525</v>
          </cell>
          <cell r="EU70">
            <v>3578.1167787970248</v>
          </cell>
          <cell r="EV70" t="str">
            <v>No Variation Applied</v>
          </cell>
          <cell r="EW70">
            <v>9000</v>
          </cell>
          <cell r="EX70">
            <v>0</v>
          </cell>
          <cell r="EY70">
            <v>0</v>
          </cell>
          <cell r="EZ70">
            <v>49038.286137114141</v>
          </cell>
        </row>
        <row r="71">
          <cell r="C71" t="str">
            <v>Gayton Community Junior School</v>
          </cell>
          <cell r="D71">
            <v>2457</v>
          </cell>
          <cell r="F71" t="str">
            <v/>
          </cell>
          <cell r="G71">
            <v>0</v>
          </cell>
          <cell r="H71">
            <v>0</v>
          </cell>
          <cell r="I71">
            <v>0</v>
          </cell>
          <cell r="J71">
            <v>0</v>
          </cell>
          <cell r="L71">
            <v>0</v>
          </cell>
          <cell r="M71">
            <v>0</v>
          </cell>
          <cell r="N71">
            <v>0</v>
          </cell>
          <cell r="S71">
            <v>0</v>
          </cell>
          <cell r="T71">
            <v>0</v>
          </cell>
          <cell r="U71">
            <v>0</v>
          </cell>
          <cell r="Y71">
            <v>0</v>
          </cell>
          <cell r="Z71">
            <v>0</v>
          </cell>
          <cell r="AA71">
            <v>82</v>
          </cell>
          <cell r="AB71">
            <v>92</v>
          </cell>
          <cell r="AC71">
            <v>85</v>
          </cell>
          <cell r="AD71">
            <v>84</v>
          </cell>
          <cell r="AK71">
            <v>881270.97318115388</v>
          </cell>
          <cell r="AL71">
            <v>343</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I71">
            <v>0</v>
          </cell>
          <cell r="CJ71">
            <v>0</v>
          </cell>
          <cell r="CK71">
            <v>6961.87</v>
          </cell>
          <cell r="CL71">
            <v>2866.3918372520111</v>
          </cell>
          <cell r="CM71">
            <v>9828.2618372520119</v>
          </cell>
          <cell r="CQ71">
            <v>3808.6547972304647</v>
          </cell>
          <cell r="CR71">
            <v>17886.46</v>
          </cell>
          <cell r="CS71">
            <v>17581.41763315953</v>
          </cell>
          <cell r="CT71">
            <v>39276.532430389998</v>
          </cell>
          <cell r="CU71">
            <v>7257.8269816335478</v>
          </cell>
          <cell r="CV71">
            <v>0</v>
          </cell>
          <cell r="CW71">
            <v>7257.8269816335478</v>
          </cell>
          <cell r="CX71">
            <v>0</v>
          </cell>
          <cell r="CZ71">
            <v>0</v>
          </cell>
          <cell r="DC71">
            <v>0</v>
          </cell>
          <cell r="DD71">
            <v>64843.236727669755</v>
          </cell>
          <cell r="DE71">
            <v>53889.399212942721</v>
          </cell>
          <cell r="DF71">
            <v>3424.4696990104699</v>
          </cell>
          <cell r="DG71">
            <v>0</v>
          </cell>
          <cell r="DH71">
            <v>0</v>
          </cell>
          <cell r="DI71">
            <v>122157.10563962294</v>
          </cell>
          <cell r="DJ71">
            <v>0</v>
          </cell>
          <cell r="DK71">
            <v>19055</v>
          </cell>
          <cell r="DL71">
            <v>5208.22</v>
          </cell>
          <cell r="DM71">
            <v>70073.495851086889</v>
          </cell>
          <cell r="DN71">
            <v>0</v>
          </cell>
          <cell r="DO71">
            <v>0</v>
          </cell>
          <cell r="DP71">
            <v>0</v>
          </cell>
          <cell r="DQ71">
            <v>94336.71585108689</v>
          </cell>
          <cell r="DR71">
            <v>0</v>
          </cell>
          <cell r="DS71">
            <v>0</v>
          </cell>
          <cell r="DT71">
            <v>0</v>
          </cell>
          <cell r="DU71">
            <v>0</v>
          </cell>
          <cell r="DV71">
            <v>0</v>
          </cell>
          <cell r="DW71">
            <v>0</v>
          </cell>
          <cell r="DX71">
            <v>0</v>
          </cell>
          <cell r="DY71">
            <v>4248.1912751213677</v>
          </cell>
          <cell r="DZ71">
            <v>0</v>
          </cell>
          <cell r="EA71">
            <v>0</v>
          </cell>
          <cell r="EB71">
            <v>4248.1912751213677</v>
          </cell>
          <cell r="EE71">
            <v>0</v>
          </cell>
          <cell r="EH71">
            <v>0</v>
          </cell>
          <cell r="EI71">
            <v>0</v>
          </cell>
          <cell r="EK71">
            <v>0</v>
          </cell>
          <cell r="EL71">
            <v>3504</v>
          </cell>
          <cell r="EM71">
            <v>0</v>
          </cell>
          <cell r="EO71">
            <v>3504</v>
          </cell>
          <cell r="EP71">
            <v>0</v>
          </cell>
          <cell r="EQ71">
            <v>0</v>
          </cell>
          <cell r="ER71">
            <v>1161879.6071962607</v>
          </cell>
          <cell r="ET71">
            <v>343</v>
          </cell>
          <cell r="EU71">
            <v>3387.4041026130049</v>
          </cell>
          <cell r="EV71" t="str">
            <v>No Variation Applied</v>
          </cell>
          <cell r="EW71">
            <v>50400</v>
          </cell>
          <cell r="EX71">
            <v>0</v>
          </cell>
          <cell r="EY71">
            <v>0</v>
          </cell>
          <cell r="EZ71">
            <v>115855.60106896967</v>
          </cell>
        </row>
        <row r="72">
          <cell r="C72" t="str">
            <v>Ridgeway Infant School</v>
          </cell>
          <cell r="D72">
            <v>2458</v>
          </cell>
          <cell r="F72" t="str">
            <v/>
          </cell>
          <cell r="G72">
            <v>0</v>
          </cell>
          <cell r="H72">
            <v>0</v>
          </cell>
          <cell r="I72">
            <v>0</v>
          </cell>
          <cell r="J72">
            <v>0</v>
          </cell>
          <cell r="L72">
            <v>0</v>
          </cell>
          <cell r="M72">
            <v>0</v>
          </cell>
          <cell r="N72">
            <v>0</v>
          </cell>
          <cell r="S72">
            <v>0</v>
          </cell>
          <cell r="T72">
            <v>0</v>
          </cell>
          <cell r="U72">
            <v>90</v>
          </cell>
          <cell r="Y72">
            <v>90</v>
          </cell>
          <cell r="Z72">
            <v>90</v>
          </cell>
          <cell r="AA72">
            <v>0</v>
          </cell>
          <cell r="AB72">
            <v>0</v>
          </cell>
          <cell r="AC72">
            <v>0</v>
          </cell>
          <cell r="AD72">
            <v>0</v>
          </cell>
          <cell r="AK72">
            <v>702669.47164335544</v>
          </cell>
          <cell r="AL72">
            <v>270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34020.916695056439</v>
          </cell>
          <cell r="CI72">
            <v>0</v>
          </cell>
          <cell r="CJ72">
            <v>0</v>
          </cell>
          <cell r="CK72">
            <v>5480.19</v>
          </cell>
          <cell r="CL72">
            <v>3021.2539465800564</v>
          </cell>
          <cell r="CM72">
            <v>42522.3606416365</v>
          </cell>
          <cell r="CQ72">
            <v>3046.9238377843717</v>
          </cell>
          <cell r="CR72">
            <v>11857.31</v>
          </cell>
          <cell r="CS72">
            <v>15358.479771495682</v>
          </cell>
          <cell r="CT72">
            <v>30262.713609280054</v>
          </cell>
          <cell r="CU72">
            <v>8133.7716173479403</v>
          </cell>
          <cell r="CV72">
            <v>0</v>
          </cell>
          <cell r="CW72">
            <v>8133.7716173479403</v>
          </cell>
          <cell r="CX72">
            <v>0</v>
          </cell>
          <cell r="CZ72">
            <v>0</v>
          </cell>
          <cell r="DC72">
            <v>0</v>
          </cell>
          <cell r="DD72">
            <v>46394.546905901538</v>
          </cell>
          <cell r="DE72">
            <v>58664.409269785741</v>
          </cell>
          <cell r="DF72">
            <v>5992.8219732683219</v>
          </cell>
          <cell r="DG72">
            <v>0</v>
          </cell>
          <cell r="DH72">
            <v>0</v>
          </cell>
          <cell r="DI72">
            <v>111051.77814895561</v>
          </cell>
          <cell r="DJ72">
            <v>0</v>
          </cell>
          <cell r="DK72">
            <v>3044</v>
          </cell>
          <cell r="DL72">
            <v>3467.23</v>
          </cell>
          <cell r="DM72">
            <v>70073.495851086889</v>
          </cell>
          <cell r="DN72">
            <v>0</v>
          </cell>
          <cell r="DO72">
            <v>0</v>
          </cell>
          <cell r="DP72">
            <v>0</v>
          </cell>
          <cell r="DQ72">
            <v>76584.725851086885</v>
          </cell>
          <cell r="DR72">
            <v>0</v>
          </cell>
          <cell r="DS72">
            <v>0</v>
          </cell>
          <cell r="DT72">
            <v>0</v>
          </cell>
          <cell r="DU72">
            <v>0</v>
          </cell>
          <cell r="DV72">
            <v>0</v>
          </cell>
          <cell r="DW72">
            <v>0</v>
          </cell>
          <cell r="DX72">
            <v>0</v>
          </cell>
          <cell r="DY72">
            <v>2614.2715539208416</v>
          </cell>
          <cell r="DZ72">
            <v>0</v>
          </cell>
          <cell r="EA72">
            <v>0</v>
          </cell>
          <cell r="EB72">
            <v>2614.2715539208416</v>
          </cell>
          <cell r="EE72">
            <v>0</v>
          </cell>
          <cell r="EH72">
            <v>0</v>
          </cell>
          <cell r="EI72">
            <v>0</v>
          </cell>
          <cell r="EK72">
            <v>0</v>
          </cell>
          <cell r="EL72">
            <v>10385</v>
          </cell>
          <cell r="EM72">
            <v>0</v>
          </cell>
          <cell r="EO72">
            <v>10385</v>
          </cell>
          <cell r="EP72">
            <v>0</v>
          </cell>
          <cell r="EQ72">
            <v>0</v>
          </cell>
          <cell r="ER72">
            <v>984224.09306558338</v>
          </cell>
          <cell r="ET72">
            <v>270</v>
          </cell>
          <cell r="EU72">
            <v>3645.2744187614198</v>
          </cell>
          <cell r="EV72" t="str">
            <v>No Variation Applied</v>
          </cell>
          <cell r="EW72">
            <v>24250</v>
          </cell>
          <cell r="EX72">
            <v>0</v>
          </cell>
          <cell r="EY72">
            <v>0</v>
          </cell>
          <cell r="EZ72">
            <v>89364.501948987163</v>
          </cell>
        </row>
        <row r="73">
          <cell r="C73" t="str">
            <v>Wren Park Primary School</v>
          </cell>
          <cell r="D73">
            <v>2459</v>
          </cell>
          <cell r="F73" t="str">
            <v/>
          </cell>
          <cell r="G73">
            <v>0</v>
          </cell>
          <cell r="H73">
            <v>0</v>
          </cell>
          <cell r="I73">
            <v>0</v>
          </cell>
          <cell r="J73">
            <v>0</v>
          </cell>
          <cell r="L73">
            <v>0</v>
          </cell>
          <cell r="M73">
            <v>0</v>
          </cell>
          <cell r="N73">
            <v>0</v>
          </cell>
          <cell r="S73">
            <v>0</v>
          </cell>
          <cell r="T73">
            <v>0</v>
          </cell>
          <cell r="U73">
            <v>55</v>
          </cell>
          <cell r="Y73">
            <v>54</v>
          </cell>
          <cell r="Z73">
            <v>54</v>
          </cell>
          <cell r="AA73">
            <v>53</v>
          </cell>
          <cell r="AB73">
            <v>51</v>
          </cell>
          <cell r="AC73">
            <v>61</v>
          </cell>
          <cell r="AD73">
            <v>56</v>
          </cell>
          <cell r="AK73">
            <v>992324.45403135708</v>
          </cell>
          <cell r="AL73">
            <v>384</v>
          </cell>
          <cell r="BS73">
            <v>0</v>
          </cell>
          <cell r="BT73">
            <v>0</v>
          </cell>
          <cell r="BU73">
            <v>0</v>
          </cell>
          <cell r="BV73">
            <v>0</v>
          </cell>
          <cell r="BW73">
            <v>0</v>
          </cell>
          <cell r="BX73">
            <v>0</v>
          </cell>
          <cell r="BY73">
            <v>0</v>
          </cell>
          <cell r="BZ73">
            <v>0</v>
          </cell>
          <cell r="CA73">
            <v>0</v>
          </cell>
          <cell r="CB73">
            <v>0</v>
          </cell>
          <cell r="CC73">
            <v>0</v>
          </cell>
          <cell r="CD73">
            <v>0</v>
          </cell>
          <cell r="CE73">
            <v>0</v>
          </cell>
          <cell r="CF73">
            <v>22680.611130037629</v>
          </cell>
          <cell r="CI73">
            <v>0</v>
          </cell>
          <cell r="CJ73">
            <v>0</v>
          </cell>
          <cell r="CK73">
            <v>7794.05</v>
          </cell>
          <cell r="CL73">
            <v>5663.5285697113559</v>
          </cell>
          <cell r="CM73">
            <v>36138.189699748982</v>
          </cell>
          <cell r="CQ73">
            <v>3046.9238377843717</v>
          </cell>
          <cell r="CR73">
            <v>4019.43</v>
          </cell>
          <cell r="CS73">
            <v>12529.286129378057</v>
          </cell>
          <cell r="CT73">
            <v>19595.639967162428</v>
          </cell>
          <cell r="CU73">
            <v>16017.273338777484</v>
          </cell>
          <cell r="CV73">
            <v>0</v>
          </cell>
          <cell r="CW73">
            <v>16017.273338777484</v>
          </cell>
          <cell r="CX73">
            <v>0</v>
          </cell>
          <cell r="CZ73">
            <v>0</v>
          </cell>
          <cell r="DC73">
            <v>0</v>
          </cell>
          <cell r="DD73">
            <v>38106.646282533242</v>
          </cell>
          <cell r="DE73">
            <v>7276.2058009036582</v>
          </cell>
          <cell r="DF73">
            <v>1712.2348495052349</v>
          </cell>
          <cell r="DG73">
            <v>0</v>
          </cell>
          <cell r="DH73">
            <v>0</v>
          </cell>
          <cell r="DI73">
            <v>47095.086932942133</v>
          </cell>
          <cell r="DJ73">
            <v>0</v>
          </cell>
          <cell r="DK73">
            <v>14427</v>
          </cell>
          <cell r="DL73">
            <v>4560.26</v>
          </cell>
          <cell r="DM73">
            <v>70073.495851086889</v>
          </cell>
          <cell r="DN73">
            <v>0</v>
          </cell>
          <cell r="DO73">
            <v>0</v>
          </cell>
          <cell r="DP73">
            <v>0</v>
          </cell>
          <cell r="DQ73">
            <v>89060.755851086898</v>
          </cell>
          <cell r="DR73">
            <v>0</v>
          </cell>
          <cell r="DS73">
            <v>0</v>
          </cell>
          <cell r="DT73">
            <v>0</v>
          </cell>
          <cell r="DU73">
            <v>0</v>
          </cell>
          <cell r="DV73">
            <v>0</v>
          </cell>
          <cell r="DW73">
            <v>0</v>
          </cell>
          <cell r="DX73">
            <v>0</v>
          </cell>
          <cell r="DY73">
            <v>2614.2715539208416</v>
          </cell>
          <cell r="DZ73">
            <v>0</v>
          </cell>
          <cell r="EA73">
            <v>0</v>
          </cell>
          <cell r="EB73">
            <v>2614.2715539208416</v>
          </cell>
          <cell r="EE73">
            <v>0</v>
          </cell>
          <cell r="EH73">
            <v>0</v>
          </cell>
          <cell r="EI73">
            <v>0</v>
          </cell>
          <cell r="EK73">
            <v>0</v>
          </cell>
          <cell r="EL73">
            <v>12139</v>
          </cell>
          <cell r="EM73">
            <v>0</v>
          </cell>
          <cell r="EO73">
            <v>12139</v>
          </cell>
          <cell r="EP73">
            <v>0</v>
          </cell>
          <cell r="EQ73">
            <v>0</v>
          </cell>
          <cell r="ER73">
            <v>1214984.6713749957</v>
          </cell>
          <cell r="ET73">
            <v>384</v>
          </cell>
          <cell r="EU73">
            <v>3164.022581705718</v>
          </cell>
          <cell r="EV73" t="str">
            <v>No Variation Applied</v>
          </cell>
          <cell r="EW73">
            <v>17400</v>
          </cell>
          <cell r="EX73">
            <v>0</v>
          </cell>
          <cell r="EY73">
            <v>0</v>
          </cell>
          <cell r="EZ73">
            <v>81623.241815607951</v>
          </cell>
        </row>
        <row r="74">
          <cell r="C74" t="str">
            <v>Ravensdale Infant and Nursery School</v>
          </cell>
          <cell r="D74">
            <v>2462</v>
          </cell>
          <cell r="F74" t="str">
            <v/>
          </cell>
          <cell r="G74">
            <v>0</v>
          </cell>
          <cell r="H74">
            <v>28692</v>
          </cell>
          <cell r="I74">
            <v>0</v>
          </cell>
          <cell r="J74">
            <v>0</v>
          </cell>
          <cell r="L74">
            <v>100319.60517957443</v>
          </cell>
          <cell r="M74">
            <v>28692</v>
          </cell>
          <cell r="N74">
            <v>30.202105263157893</v>
          </cell>
          <cell r="S74">
            <v>0</v>
          </cell>
          <cell r="T74">
            <v>0</v>
          </cell>
          <cell r="U74">
            <v>75</v>
          </cell>
          <cell r="Y74">
            <v>72</v>
          </cell>
          <cell r="Z74">
            <v>74</v>
          </cell>
          <cell r="AA74">
            <v>0</v>
          </cell>
          <cell r="AB74">
            <v>0</v>
          </cell>
          <cell r="AC74">
            <v>0</v>
          </cell>
          <cell r="AD74">
            <v>0</v>
          </cell>
          <cell r="AK74">
            <v>575756.57504603826</v>
          </cell>
          <cell r="AL74">
            <v>221</v>
          </cell>
          <cell r="BS74">
            <v>719.52239999999995</v>
          </cell>
          <cell r="BT74">
            <v>0</v>
          </cell>
          <cell r="BU74">
            <v>348.15600000000001</v>
          </cell>
          <cell r="BV74">
            <v>0</v>
          </cell>
          <cell r="BW74">
            <v>0</v>
          </cell>
          <cell r="BX74">
            <v>-2105.2171999999991</v>
          </cell>
          <cell r="BY74">
            <v>0</v>
          </cell>
          <cell r="BZ74">
            <v>0</v>
          </cell>
          <cell r="CA74">
            <v>0</v>
          </cell>
          <cell r="CB74">
            <v>0</v>
          </cell>
          <cell r="CC74">
            <v>0</v>
          </cell>
          <cell r="CD74">
            <v>0</v>
          </cell>
          <cell r="CE74">
            <v>-1037.5387999999991</v>
          </cell>
          <cell r="CF74">
            <v>34020.916695056439</v>
          </cell>
          <cell r="CI74">
            <v>0</v>
          </cell>
          <cell r="CJ74">
            <v>0</v>
          </cell>
          <cell r="CK74">
            <v>4485.6400000000003</v>
          </cell>
          <cell r="CL74">
            <v>3562.7903910004861</v>
          </cell>
          <cell r="CM74">
            <v>42069.347086056921</v>
          </cell>
          <cell r="CQ74">
            <v>6855.5786350148364</v>
          </cell>
          <cell r="CR74">
            <v>3416.51</v>
          </cell>
          <cell r="CS74">
            <v>9093.8367068066545</v>
          </cell>
          <cell r="CT74">
            <v>19365.92534182149</v>
          </cell>
          <cell r="CU74">
            <v>9134.8512010215345</v>
          </cell>
          <cell r="CV74">
            <v>0</v>
          </cell>
          <cell r="CW74">
            <v>9134.8512010215345</v>
          </cell>
          <cell r="CX74">
            <v>0</v>
          </cell>
          <cell r="CZ74">
            <v>0</v>
          </cell>
          <cell r="DC74">
            <v>0</v>
          </cell>
          <cell r="DD74">
            <v>41616.468966450775</v>
          </cell>
          <cell r="DE74">
            <v>27513.153184666957</v>
          </cell>
          <cell r="DF74">
            <v>4280.5871237630872</v>
          </cell>
          <cell r="DG74">
            <v>0</v>
          </cell>
          <cell r="DH74">
            <v>0</v>
          </cell>
          <cell r="DI74">
            <v>73410.209274880821</v>
          </cell>
          <cell r="DJ74">
            <v>0</v>
          </cell>
          <cell r="DK74">
            <v>12824</v>
          </cell>
          <cell r="DL74">
            <v>5405.17</v>
          </cell>
          <cell r="DM74">
            <v>70073.495851086889</v>
          </cell>
          <cell r="DN74">
            <v>0</v>
          </cell>
          <cell r="DO74">
            <v>0</v>
          </cell>
          <cell r="DP74">
            <v>0</v>
          </cell>
          <cell r="DQ74">
            <v>88302.665851086887</v>
          </cell>
          <cell r="DR74">
            <v>0</v>
          </cell>
          <cell r="DS74">
            <v>0</v>
          </cell>
          <cell r="DT74">
            <v>0</v>
          </cell>
          <cell r="DU74">
            <v>0</v>
          </cell>
          <cell r="DV74">
            <v>0</v>
          </cell>
          <cell r="DW74">
            <v>0</v>
          </cell>
          <cell r="DX74">
            <v>0</v>
          </cell>
          <cell r="DY74">
            <v>4901.7591636015777</v>
          </cell>
          <cell r="DZ74">
            <v>0</v>
          </cell>
          <cell r="EA74">
            <v>0</v>
          </cell>
          <cell r="EB74">
            <v>4901.7591636015777</v>
          </cell>
          <cell r="EE74">
            <v>0</v>
          </cell>
          <cell r="EH74">
            <v>0</v>
          </cell>
          <cell r="EI74">
            <v>0</v>
          </cell>
          <cell r="EK74">
            <v>0</v>
          </cell>
          <cell r="EL74">
            <v>-2127</v>
          </cell>
          <cell r="EM74">
            <v>0</v>
          </cell>
          <cell r="EO74">
            <v>-2127</v>
          </cell>
          <cell r="EP74">
            <v>0</v>
          </cell>
          <cell r="EQ74">
            <v>99282.066379574433</v>
          </cell>
          <cell r="ER74">
            <v>910096.39934408199</v>
          </cell>
          <cell r="ET74">
            <v>251.2021052631579</v>
          </cell>
          <cell r="EU74">
            <v>3622.964856885535</v>
          </cell>
          <cell r="EV74" t="str">
            <v>No Variation Applied</v>
          </cell>
          <cell r="EW74">
            <v>18600</v>
          </cell>
          <cell r="EX74">
            <v>0</v>
          </cell>
          <cell r="EY74">
            <v>0</v>
          </cell>
          <cell r="EZ74">
            <v>79823.515495143933</v>
          </cell>
        </row>
        <row r="75">
          <cell r="C75" t="str">
            <v>Ravensdale Junior School</v>
          </cell>
          <cell r="D75">
            <v>2463</v>
          </cell>
          <cell r="F75" t="str">
            <v/>
          </cell>
          <cell r="G75">
            <v>0</v>
          </cell>
          <cell r="H75">
            <v>0</v>
          </cell>
          <cell r="I75">
            <v>0</v>
          </cell>
          <cell r="J75">
            <v>0</v>
          </cell>
          <cell r="L75">
            <v>0</v>
          </cell>
          <cell r="M75">
            <v>0</v>
          </cell>
          <cell r="N75">
            <v>0</v>
          </cell>
          <cell r="S75">
            <v>0</v>
          </cell>
          <cell r="T75">
            <v>0</v>
          </cell>
          <cell r="U75">
            <v>0</v>
          </cell>
          <cell r="Y75">
            <v>0</v>
          </cell>
          <cell r="Z75">
            <v>0</v>
          </cell>
          <cell r="AA75">
            <v>72</v>
          </cell>
          <cell r="AB75">
            <v>75</v>
          </cell>
          <cell r="AC75">
            <v>71</v>
          </cell>
          <cell r="AD75">
            <v>60</v>
          </cell>
          <cell r="AK75">
            <v>714266.26980863197</v>
          </cell>
          <cell r="AL75">
            <v>278</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I75">
            <v>0</v>
          </cell>
          <cell r="CJ75">
            <v>0</v>
          </cell>
          <cell r="CK75">
            <v>5642.57</v>
          </cell>
          <cell r="CL75">
            <v>4043.7286187273335</v>
          </cell>
          <cell r="CM75">
            <v>9686.2986187273327</v>
          </cell>
          <cell r="CQ75">
            <v>2285.1928783382787</v>
          </cell>
          <cell r="CR75">
            <v>4220.3999999999996</v>
          </cell>
          <cell r="CS75">
            <v>7881.3251458990999</v>
          </cell>
          <cell r="CT75">
            <v>14386.918024237379</v>
          </cell>
          <cell r="CU75">
            <v>9134.8512010215345</v>
          </cell>
          <cell r="CV75">
            <v>0</v>
          </cell>
          <cell r="CW75">
            <v>9134.8512010215345</v>
          </cell>
          <cell r="CX75">
            <v>0</v>
          </cell>
          <cell r="CZ75">
            <v>0</v>
          </cell>
          <cell r="DC75">
            <v>0</v>
          </cell>
          <cell r="DD75">
            <v>45834.155048805456</v>
          </cell>
          <cell r="DE75">
            <v>17280.988777146187</v>
          </cell>
          <cell r="DF75">
            <v>2568.3522742578525</v>
          </cell>
          <cell r="DG75">
            <v>0</v>
          </cell>
          <cell r="DH75">
            <v>0</v>
          </cell>
          <cell r="DI75">
            <v>65683.496100209493</v>
          </cell>
          <cell r="DJ75">
            <v>0</v>
          </cell>
          <cell r="DK75">
            <v>12824</v>
          </cell>
          <cell r="DL75">
            <v>4623.2299999999996</v>
          </cell>
          <cell r="DM75">
            <v>70073.495851086889</v>
          </cell>
          <cell r="DN75">
            <v>0</v>
          </cell>
          <cell r="DO75">
            <v>0</v>
          </cell>
          <cell r="DP75">
            <v>0</v>
          </cell>
          <cell r="DQ75">
            <v>87520.725851086885</v>
          </cell>
          <cell r="DR75">
            <v>0</v>
          </cell>
          <cell r="DS75">
            <v>0</v>
          </cell>
          <cell r="DT75">
            <v>0</v>
          </cell>
          <cell r="DU75">
            <v>0</v>
          </cell>
          <cell r="DV75">
            <v>0</v>
          </cell>
          <cell r="DW75">
            <v>0</v>
          </cell>
          <cell r="DX75">
            <v>0</v>
          </cell>
          <cell r="DY75">
            <v>1633.9197212005261</v>
          </cell>
          <cell r="DZ75">
            <v>0</v>
          </cell>
          <cell r="EA75">
            <v>0</v>
          </cell>
          <cell r="EB75">
            <v>1633.9197212005261</v>
          </cell>
          <cell r="EE75">
            <v>0</v>
          </cell>
          <cell r="EH75">
            <v>0</v>
          </cell>
          <cell r="EI75">
            <v>0</v>
          </cell>
          <cell r="EK75">
            <v>0</v>
          </cell>
          <cell r="EL75">
            <v>0</v>
          </cell>
          <cell r="EM75">
            <v>0</v>
          </cell>
          <cell r="EO75">
            <v>0</v>
          </cell>
          <cell r="EP75">
            <v>0</v>
          </cell>
          <cell r="EQ75">
            <v>0</v>
          </cell>
          <cell r="ER75">
            <v>902312.47932511522</v>
          </cell>
          <cell r="ET75">
            <v>278</v>
          </cell>
          <cell r="EU75">
            <v>3245.7283428960977</v>
          </cell>
          <cell r="EV75" t="str">
            <v>No Variation Applied</v>
          </cell>
          <cell r="EW75">
            <v>29050</v>
          </cell>
          <cell r="EX75">
            <v>0</v>
          </cell>
          <cell r="EY75">
            <v>0</v>
          </cell>
          <cell r="EZ75">
            <v>77337.278475077095</v>
          </cell>
        </row>
        <row r="76">
          <cell r="C76" t="str">
            <v>Asterdale Primary School</v>
          </cell>
          <cell r="D76">
            <v>2464</v>
          </cell>
          <cell r="F76" t="str">
            <v/>
          </cell>
          <cell r="G76">
            <v>0</v>
          </cell>
          <cell r="H76">
            <v>24480</v>
          </cell>
          <cell r="I76">
            <v>0</v>
          </cell>
          <cell r="J76">
            <v>0</v>
          </cell>
          <cell r="L76">
            <v>85592.636790603021</v>
          </cell>
          <cell r="M76">
            <v>24480</v>
          </cell>
          <cell r="N76">
            <v>25.768421052631577</v>
          </cell>
          <cell r="S76">
            <v>0</v>
          </cell>
          <cell r="T76">
            <v>0</v>
          </cell>
          <cell r="U76">
            <v>30</v>
          </cell>
          <cell r="Y76">
            <v>30</v>
          </cell>
          <cell r="Z76">
            <v>19</v>
          </cell>
          <cell r="AA76">
            <v>24</v>
          </cell>
          <cell r="AB76">
            <v>22</v>
          </cell>
          <cell r="AC76">
            <v>20</v>
          </cell>
          <cell r="AD76">
            <v>24</v>
          </cell>
          <cell r="AK76">
            <v>438506.81433442369</v>
          </cell>
          <cell r="AL76">
            <v>169</v>
          </cell>
          <cell r="BS76">
            <v>3249.4560000000001</v>
          </cell>
          <cell r="BT76">
            <v>0</v>
          </cell>
          <cell r="BU76">
            <v>0</v>
          </cell>
          <cell r="BV76">
            <v>0</v>
          </cell>
          <cell r="BW76">
            <v>0</v>
          </cell>
          <cell r="BX76">
            <v>-9654.2710156044486</v>
          </cell>
          <cell r="BY76">
            <v>0</v>
          </cell>
          <cell r="BZ76">
            <v>0</v>
          </cell>
          <cell r="CA76">
            <v>0</v>
          </cell>
          <cell r="CB76">
            <v>0</v>
          </cell>
          <cell r="CC76">
            <v>0</v>
          </cell>
          <cell r="CD76">
            <v>0</v>
          </cell>
          <cell r="CE76">
            <v>-6404.8150156044485</v>
          </cell>
          <cell r="CF76">
            <v>11340.305565018814</v>
          </cell>
          <cell r="CI76">
            <v>0</v>
          </cell>
          <cell r="CJ76">
            <v>0</v>
          </cell>
          <cell r="CK76">
            <v>3430.19</v>
          </cell>
          <cell r="CL76">
            <v>2962.5794827973805</v>
          </cell>
          <cell r="CM76">
            <v>17733.075047816194</v>
          </cell>
          <cell r="CQ76">
            <v>3046.9238377843717</v>
          </cell>
          <cell r="CR76">
            <v>602.91</v>
          </cell>
          <cell r="CS76">
            <v>2829.1936421176256</v>
          </cell>
          <cell r="CT76">
            <v>6479.0274799019971</v>
          </cell>
          <cell r="CU76">
            <v>0</v>
          </cell>
          <cell r="CV76">
            <v>0</v>
          </cell>
          <cell r="CW76">
            <v>0</v>
          </cell>
          <cell r="CX76">
            <v>0</v>
          </cell>
          <cell r="CZ76">
            <v>0</v>
          </cell>
          <cell r="DC76">
            <v>0</v>
          </cell>
          <cell r="DD76">
            <v>66775.113919237818</v>
          </cell>
          <cell r="DE76">
            <v>24102.431715493367</v>
          </cell>
          <cell r="DF76">
            <v>14553.996220794497</v>
          </cell>
          <cell r="DG76">
            <v>0</v>
          </cell>
          <cell r="DH76">
            <v>0</v>
          </cell>
          <cell r="DI76">
            <v>105431.54185552568</v>
          </cell>
          <cell r="DJ76">
            <v>0</v>
          </cell>
          <cell r="DK76">
            <v>12137</v>
          </cell>
          <cell r="DL76">
            <v>5904.43</v>
          </cell>
          <cell r="DM76">
            <v>74722.185859261808</v>
          </cell>
          <cell r="DN76">
            <v>0</v>
          </cell>
          <cell r="DO76">
            <v>0</v>
          </cell>
          <cell r="DP76">
            <v>0</v>
          </cell>
          <cell r="DQ76">
            <v>92763.615859261801</v>
          </cell>
          <cell r="DR76">
            <v>0</v>
          </cell>
          <cell r="DS76">
            <v>0</v>
          </cell>
          <cell r="DT76">
            <v>0</v>
          </cell>
          <cell r="DU76">
            <v>0</v>
          </cell>
          <cell r="DV76">
            <v>0</v>
          </cell>
          <cell r="DW76">
            <v>0</v>
          </cell>
          <cell r="DX76">
            <v>0</v>
          </cell>
          <cell r="DY76">
            <v>3594.6233866411571</v>
          </cell>
          <cell r="DZ76">
            <v>0</v>
          </cell>
          <cell r="EA76">
            <v>0</v>
          </cell>
          <cell r="EB76">
            <v>3594.6233866411571</v>
          </cell>
          <cell r="EE76">
            <v>0</v>
          </cell>
          <cell r="EH76">
            <v>0</v>
          </cell>
          <cell r="EI76">
            <v>0</v>
          </cell>
          <cell r="EK76">
            <v>0</v>
          </cell>
          <cell r="EL76">
            <v>0</v>
          </cell>
          <cell r="EM76">
            <v>0</v>
          </cell>
          <cell r="EO76">
            <v>0</v>
          </cell>
          <cell r="EP76">
            <v>56501.791736711632</v>
          </cell>
          <cell r="EQ76">
            <v>79187.821774998578</v>
          </cell>
          <cell r="ER76">
            <v>800198.31147528079</v>
          </cell>
          <cell r="ET76">
            <v>194.76842105263157</v>
          </cell>
          <cell r="EU76">
            <v>4108.4602275388679</v>
          </cell>
          <cell r="EV76" t="str">
            <v>No Variation Applied</v>
          </cell>
          <cell r="EW76">
            <v>33850</v>
          </cell>
          <cell r="EX76">
            <v>0</v>
          </cell>
          <cell r="EY76">
            <v>0</v>
          </cell>
          <cell r="EZ76">
            <v>95662.088380269473</v>
          </cell>
        </row>
        <row r="77">
          <cell r="C77" t="str">
            <v>Springfield Primary School</v>
          </cell>
          <cell r="D77">
            <v>2466</v>
          </cell>
          <cell r="F77" t="str">
            <v/>
          </cell>
          <cell r="G77">
            <v>0</v>
          </cell>
          <cell r="H77">
            <v>0</v>
          </cell>
          <cell r="I77">
            <v>0</v>
          </cell>
          <cell r="J77">
            <v>0</v>
          </cell>
          <cell r="L77">
            <v>0</v>
          </cell>
          <cell r="M77">
            <v>0</v>
          </cell>
          <cell r="N77">
            <v>0</v>
          </cell>
          <cell r="S77">
            <v>0</v>
          </cell>
          <cell r="T77">
            <v>0</v>
          </cell>
          <cell r="U77">
            <v>27</v>
          </cell>
          <cell r="Y77">
            <v>17</v>
          </cell>
          <cell r="Z77">
            <v>5</v>
          </cell>
          <cell r="AA77">
            <v>28</v>
          </cell>
          <cell r="AB77">
            <v>17</v>
          </cell>
          <cell r="AC77">
            <v>20</v>
          </cell>
          <cell r="AD77">
            <v>23</v>
          </cell>
          <cell r="AK77">
            <v>358488.97290738375</v>
          </cell>
          <cell r="AL77">
            <v>137</v>
          </cell>
          <cell r="BS77">
            <v>0</v>
          </cell>
          <cell r="BT77">
            <v>0</v>
          </cell>
          <cell r="BU77">
            <v>0</v>
          </cell>
          <cell r="BV77">
            <v>0</v>
          </cell>
          <cell r="BW77">
            <v>0</v>
          </cell>
          <cell r="BX77">
            <v>0</v>
          </cell>
          <cell r="BY77">
            <v>0</v>
          </cell>
          <cell r="BZ77">
            <v>0</v>
          </cell>
          <cell r="CA77">
            <v>0</v>
          </cell>
          <cell r="CB77">
            <v>0</v>
          </cell>
          <cell r="CC77">
            <v>0</v>
          </cell>
          <cell r="CD77">
            <v>0</v>
          </cell>
          <cell r="CE77">
            <v>0</v>
          </cell>
          <cell r="CF77">
            <v>11340.305565018814</v>
          </cell>
          <cell r="CI77">
            <v>0</v>
          </cell>
          <cell r="CJ77">
            <v>0</v>
          </cell>
          <cell r="CK77">
            <v>2780.69</v>
          </cell>
          <cell r="CL77">
            <v>961.87645545369503</v>
          </cell>
          <cell r="CM77">
            <v>15082.87202047251</v>
          </cell>
          <cell r="CQ77">
            <v>3808.6547972304647</v>
          </cell>
          <cell r="CR77">
            <v>602.91</v>
          </cell>
          <cell r="CS77">
            <v>2829.1936421176256</v>
          </cell>
          <cell r="CT77">
            <v>7240.7584393480902</v>
          </cell>
          <cell r="CU77">
            <v>21022.671257145448</v>
          </cell>
          <cell r="CV77">
            <v>0</v>
          </cell>
          <cell r="CW77">
            <v>21022.671257145448</v>
          </cell>
          <cell r="CX77">
            <v>0</v>
          </cell>
          <cell r="CZ77">
            <v>0</v>
          </cell>
          <cell r="DC77">
            <v>0</v>
          </cell>
          <cell r="DD77">
            <v>35820.837391746609</v>
          </cell>
          <cell r="DE77">
            <v>6594.06150706894</v>
          </cell>
          <cell r="DF77">
            <v>3424.4696990104699</v>
          </cell>
          <cell r="DG77">
            <v>0</v>
          </cell>
          <cell r="DH77">
            <v>0</v>
          </cell>
          <cell r="DI77">
            <v>45839.368597826018</v>
          </cell>
          <cell r="DJ77">
            <v>0</v>
          </cell>
          <cell r="DK77">
            <v>11450</v>
          </cell>
          <cell r="DL77">
            <v>4226.3500000000004</v>
          </cell>
          <cell r="DM77">
            <v>74722.185859261808</v>
          </cell>
          <cell r="DN77">
            <v>0</v>
          </cell>
          <cell r="DO77">
            <v>0</v>
          </cell>
          <cell r="DP77">
            <v>0</v>
          </cell>
          <cell r="DQ77">
            <v>90398.535859261814</v>
          </cell>
          <cell r="DR77">
            <v>0</v>
          </cell>
          <cell r="DS77">
            <v>0</v>
          </cell>
          <cell r="DT77">
            <v>0</v>
          </cell>
          <cell r="DU77">
            <v>0</v>
          </cell>
          <cell r="DV77">
            <v>0</v>
          </cell>
          <cell r="DW77">
            <v>0</v>
          </cell>
          <cell r="DX77">
            <v>0</v>
          </cell>
          <cell r="DY77">
            <v>5555.3270520817887</v>
          </cell>
          <cell r="DZ77">
            <v>0</v>
          </cell>
          <cell r="EA77">
            <v>6494.1886918701339</v>
          </cell>
          <cell r="EB77">
            <v>12049.515743951923</v>
          </cell>
          <cell r="EE77">
            <v>0</v>
          </cell>
          <cell r="EH77">
            <v>0</v>
          </cell>
          <cell r="EI77">
            <v>3271.3254999999999</v>
          </cell>
          <cell r="EK77">
            <v>0</v>
          </cell>
          <cell r="EL77">
            <v>4255</v>
          </cell>
          <cell r="EM77">
            <v>0</v>
          </cell>
          <cell r="EO77">
            <v>7526.3254999999999</v>
          </cell>
          <cell r="EP77">
            <v>16662.874748644535</v>
          </cell>
          <cell r="EQ77">
            <v>0</v>
          </cell>
          <cell r="ER77">
            <v>574311.89507403411</v>
          </cell>
          <cell r="ET77">
            <v>137</v>
          </cell>
          <cell r="EU77">
            <v>4192.057628277621</v>
          </cell>
          <cell r="EV77" t="str">
            <v>No Variation Applied</v>
          </cell>
          <cell r="EW77">
            <v>23400</v>
          </cell>
          <cell r="EX77">
            <v>0</v>
          </cell>
          <cell r="EY77">
            <v>0</v>
          </cell>
          <cell r="EZ77">
            <v>75981.186050269171</v>
          </cell>
        </row>
        <row r="78">
          <cell r="C78" t="str">
            <v>Chaddesden Park Infant School</v>
          </cell>
          <cell r="D78">
            <v>2467</v>
          </cell>
          <cell r="F78" t="str">
            <v/>
          </cell>
          <cell r="G78">
            <v>0</v>
          </cell>
          <cell r="H78">
            <v>28110</v>
          </cell>
          <cell r="I78">
            <v>0</v>
          </cell>
          <cell r="J78">
            <v>0</v>
          </cell>
          <cell r="L78">
            <v>98284.682197052738</v>
          </cell>
          <cell r="M78">
            <v>28110</v>
          </cell>
          <cell r="N78">
            <v>29.589473684210525</v>
          </cell>
          <cell r="S78">
            <v>0</v>
          </cell>
          <cell r="T78">
            <v>0</v>
          </cell>
          <cell r="U78">
            <v>54</v>
          </cell>
          <cell r="Y78">
            <v>60</v>
          </cell>
          <cell r="Z78">
            <v>43</v>
          </cell>
          <cell r="AA78">
            <v>0</v>
          </cell>
          <cell r="AB78">
            <v>0</v>
          </cell>
          <cell r="AC78">
            <v>0</v>
          </cell>
          <cell r="AD78">
            <v>0</v>
          </cell>
          <cell r="AK78">
            <v>409350.03549839929</v>
          </cell>
          <cell r="AL78">
            <v>157</v>
          </cell>
          <cell r="BS78">
            <v>7852.8519999999999</v>
          </cell>
          <cell r="BT78">
            <v>0</v>
          </cell>
          <cell r="BU78">
            <v>116.05200000000001</v>
          </cell>
          <cell r="BV78">
            <v>0</v>
          </cell>
          <cell r="BW78">
            <v>0</v>
          </cell>
          <cell r="BX78">
            <v>7343.5443999999989</v>
          </cell>
          <cell r="BY78">
            <v>0</v>
          </cell>
          <cell r="BZ78">
            <v>3011.5493999999999</v>
          </cell>
          <cell r="CA78">
            <v>0</v>
          </cell>
          <cell r="CB78">
            <v>0</v>
          </cell>
          <cell r="CC78">
            <v>0</v>
          </cell>
          <cell r="CD78">
            <v>0</v>
          </cell>
          <cell r="CE78">
            <v>18323.997799999997</v>
          </cell>
          <cell r="CF78">
            <v>22680.611130037629</v>
          </cell>
          <cell r="CI78">
            <v>0</v>
          </cell>
          <cell r="CJ78">
            <v>0</v>
          </cell>
          <cell r="CK78">
            <v>3186.63</v>
          </cell>
          <cell r="CL78">
            <v>1569.7823753004302</v>
          </cell>
          <cell r="CM78">
            <v>27437.02350533806</v>
          </cell>
          <cell r="CQ78">
            <v>2285.1928783382787</v>
          </cell>
          <cell r="CR78">
            <v>401.94</v>
          </cell>
          <cell r="CS78">
            <v>1818.7673413613309</v>
          </cell>
          <cell r="CT78">
            <v>4505.9002196996098</v>
          </cell>
          <cell r="CU78">
            <v>0</v>
          </cell>
          <cell r="CV78">
            <v>0</v>
          </cell>
          <cell r="CW78">
            <v>0</v>
          </cell>
          <cell r="CX78">
            <v>0</v>
          </cell>
          <cell r="CZ78">
            <v>0</v>
          </cell>
          <cell r="DC78">
            <v>0</v>
          </cell>
          <cell r="DD78">
            <v>53443.686582004826</v>
          </cell>
          <cell r="DE78">
            <v>42747.709080308989</v>
          </cell>
          <cell r="DF78">
            <v>6848.9393980209397</v>
          </cell>
          <cell r="DG78">
            <v>0</v>
          </cell>
          <cell r="DH78">
            <v>0</v>
          </cell>
          <cell r="DI78">
            <v>103040.33506033476</v>
          </cell>
          <cell r="DJ78">
            <v>0</v>
          </cell>
          <cell r="DK78">
            <v>6125.75</v>
          </cell>
          <cell r="DL78">
            <v>2139.83</v>
          </cell>
          <cell r="DM78">
            <v>74722.185859261808</v>
          </cell>
          <cell r="DN78">
            <v>0</v>
          </cell>
          <cell r="DO78">
            <v>0</v>
          </cell>
          <cell r="DP78">
            <v>0</v>
          </cell>
          <cell r="DQ78">
            <v>82987.76585926181</v>
          </cell>
          <cell r="DR78">
            <v>0</v>
          </cell>
          <cell r="DS78">
            <v>0</v>
          </cell>
          <cell r="DT78">
            <v>0</v>
          </cell>
          <cell r="DU78">
            <v>0</v>
          </cell>
          <cell r="DV78">
            <v>0</v>
          </cell>
          <cell r="DW78">
            <v>0</v>
          </cell>
          <cell r="DX78">
            <v>0</v>
          </cell>
          <cell r="DY78">
            <v>4574.9752193614731</v>
          </cell>
          <cell r="DZ78">
            <v>0</v>
          </cell>
          <cell r="EA78">
            <v>0</v>
          </cell>
          <cell r="EB78">
            <v>4574.9752193614731</v>
          </cell>
          <cell r="EE78">
            <v>0</v>
          </cell>
          <cell r="EH78">
            <v>0</v>
          </cell>
          <cell r="EI78">
            <v>0</v>
          </cell>
          <cell r="EK78">
            <v>0</v>
          </cell>
          <cell r="EL78">
            <v>0</v>
          </cell>
          <cell r="EM78">
            <v>0</v>
          </cell>
          <cell r="EO78">
            <v>0</v>
          </cell>
          <cell r="EP78">
            <v>0</v>
          </cell>
          <cell r="EQ78">
            <v>116608.67999705274</v>
          </cell>
          <cell r="ER78">
            <v>748504.71535944776</v>
          </cell>
          <cell r="ET78">
            <v>186.58947368421053</v>
          </cell>
          <cell r="EU78">
            <v>4011.5055827116967</v>
          </cell>
          <cell r="EV78" t="str">
            <v>No Variation Applied</v>
          </cell>
          <cell r="EW78">
            <v>23650</v>
          </cell>
          <cell r="EX78">
            <v>0</v>
          </cell>
          <cell r="EY78">
            <v>0</v>
          </cell>
          <cell r="EZ78">
            <v>77267.529557503192</v>
          </cell>
        </row>
        <row r="79">
          <cell r="C79" t="str">
            <v>Silverhill Primary School</v>
          </cell>
          <cell r="D79">
            <v>2469</v>
          </cell>
          <cell r="F79" t="str">
            <v/>
          </cell>
          <cell r="G79">
            <v>0</v>
          </cell>
          <cell r="H79">
            <v>0</v>
          </cell>
          <cell r="I79">
            <v>0</v>
          </cell>
          <cell r="J79">
            <v>0</v>
          </cell>
          <cell r="L79">
            <v>0</v>
          </cell>
          <cell r="M79">
            <v>0</v>
          </cell>
          <cell r="N79">
            <v>0</v>
          </cell>
          <cell r="S79">
            <v>0</v>
          </cell>
          <cell r="T79">
            <v>0</v>
          </cell>
          <cell r="U79">
            <v>54</v>
          </cell>
          <cell r="Y79">
            <v>51</v>
          </cell>
          <cell r="Z79">
            <v>58</v>
          </cell>
          <cell r="AA79">
            <v>58</v>
          </cell>
          <cell r="AB79">
            <v>53</v>
          </cell>
          <cell r="AC79">
            <v>50</v>
          </cell>
          <cell r="AD79">
            <v>40</v>
          </cell>
          <cell r="AK79">
            <v>940481.94137394987</v>
          </cell>
          <cell r="AL79">
            <v>364</v>
          </cell>
          <cell r="BS79">
            <v>0</v>
          </cell>
          <cell r="BT79">
            <v>0</v>
          </cell>
          <cell r="BU79">
            <v>0</v>
          </cell>
          <cell r="BV79">
            <v>0</v>
          </cell>
          <cell r="BW79">
            <v>0</v>
          </cell>
          <cell r="BX79">
            <v>0</v>
          </cell>
          <cell r="BY79">
            <v>0</v>
          </cell>
          <cell r="BZ79">
            <v>0</v>
          </cell>
          <cell r="CA79">
            <v>0</v>
          </cell>
          <cell r="CB79">
            <v>0</v>
          </cell>
          <cell r="CC79">
            <v>0</v>
          </cell>
          <cell r="CD79">
            <v>0</v>
          </cell>
          <cell r="CE79">
            <v>0</v>
          </cell>
          <cell r="CF79">
            <v>34020.916695056439</v>
          </cell>
          <cell r="CI79">
            <v>0</v>
          </cell>
          <cell r="CJ79">
            <v>0</v>
          </cell>
          <cell r="CK79">
            <v>7388.11</v>
          </cell>
          <cell r="CL79">
            <v>5036.3851207555472</v>
          </cell>
          <cell r="CM79">
            <v>46445.411815811989</v>
          </cell>
          <cell r="CQ79">
            <v>3046.9238377843717</v>
          </cell>
          <cell r="CR79">
            <v>3416.51</v>
          </cell>
          <cell r="CS79">
            <v>13337.627169983092</v>
          </cell>
          <cell r="CT79">
            <v>19801.061007767465</v>
          </cell>
          <cell r="CU79">
            <v>13014.034587756705</v>
          </cell>
          <cell r="CV79">
            <v>9009.7162530623336</v>
          </cell>
          <cell r="CW79">
            <v>22023.750840819041</v>
          </cell>
          <cell r="CX79">
            <v>0</v>
          </cell>
          <cell r="CZ79">
            <v>0</v>
          </cell>
          <cell r="DC79">
            <v>0</v>
          </cell>
          <cell r="DD79">
            <v>48636.114334285841</v>
          </cell>
          <cell r="DE79">
            <v>24784.576009328084</v>
          </cell>
          <cell r="DF79">
            <v>4280.5871237630872</v>
          </cell>
          <cell r="DG79">
            <v>0</v>
          </cell>
          <cell r="DH79">
            <v>0</v>
          </cell>
          <cell r="DI79">
            <v>77701.277467377018</v>
          </cell>
          <cell r="DJ79">
            <v>0</v>
          </cell>
          <cell r="DK79">
            <v>13396.5</v>
          </cell>
          <cell r="DL79">
            <v>4408.53</v>
          </cell>
          <cell r="DM79">
            <v>70073.495851086889</v>
          </cell>
          <cell r="DN79">
            <v>0</v>
          </cell>
          <cell r="DO79">
            <v>0</v>
          </cell>
          <cell r="DP79">
            <v>0</v>
          </cell>
          <cell r="DQ79">
            <v>87878.525851086888</v>
          </cell>
          <cell r="DR79">
            <v>0</v>
          </cell>
          <cell r="DS79">
            <v>0</v>
          </cell>
          <cell r="DT79">
            <v>0</v>
          </cell>
          <cell r="DU79">
            <v>0</v>
          </cell>
          <cell r="DV79">
            <v>0</v>
          </cell>
          <cell r="DW79">
            <v>0</v>
          </cell>
          <cell r="DX79">
            <v>0</v>
          </cell>
          <cell r="DY79">
            <v>11437.438048403683</v>
          </cell>
          <cell r="DZ79">
            <v>0</v>
          </cell>
          <cell r="EA79">
            <v>0</v>
          </cell>
          <cell r="EB79">
            <v>11437.438048403683</v>
          </cell>
          <cell r="EE79">
            <v>0</v>
          </cell>
          <cell r="EH79">
            <v>0</v>
          </cell>
          <cell r="EI79">
            <v>8672.2829999999994</v>
          </cell>
          <cell r="EK79">
            <v>0</v>
          </cell>
          <cell r="EL79">
            <v>2252</v>
          </cell>
          <cell r="EM79">
            <v>0</v>
          </cell>
          <cell r="EO79">
            <v>10924.282999999999</v>
          </cell>
          <cell r="EP79">
            <v>0</v>
          </cell>
          <cell r="EQ79">
            <v>0</v>
          </cell>
          <cell r="ER79">
            <v>1216693.6894052161</v>
          </cell>
          <cell r="ET79">
            <v>364</v>
          </cell>
          <cell r="EU79">
            <v>3342.5650807835609</v>
          </cell>
          <cell r="EV79" t="str">
            <v>No Variation Applied</v>
          </cell>
          <cell r="EW79">
            <v>30600</v>
          </cell>
          <cell r="EX79">
            <v>0</v>
          </cell>
          <cell r="EY79">
            <v>0</v>
          </cell>
          <cell r="EZ79">
            <v>108108.90791141952</v>
          </cell>
        </row>
        <row r="80">
          <cell r="C80" t="str">
            <v>Oakwood Junior School</v>
          </cell>
          <cell r="D80">
            <v>2471</v>
          </cell>
          <cell r="F80" t="str">
            <v/>
          </cell>
          <cell r="G80">
            <v>0</v>
          </cell>
          <cell r="H80">
            <v>0</v>
          </cell>
          <cell r="I80">
            <v>0</v>
          </cell>
          <cell r="J80">
            <v>0</v>
          </cell>
          <cell r="L80">
            <v>0</v>
          </cell>
          <cell r="M80">
            <v>0</v>
          </cell>
          <cell r="N80">
            <v>0</v>
          </cell>
          <cell r="S80">
            <v>0</v>
          </cell>
          <cell r="T80">
            <v>0</v>
          </cell>
          <cell r="U80">
            <v>0</v>
          </cell>
          <cell r="Y80">
            <v>0</v>
          </cell>
          <cell r="Z80">
            <v>0</v>
          </cell>
          <cell r="AA80">
            <v>91</v>
          </cell>
          <cell r="AB80">
            <v>81</v>
          </cell>
          <cell r="AC80">
            <v>90</v>
          </cell>
          <cell r="AD80">
            <v>82</v>
          </cell>
          <cell r="AK80">
            <v>883840.2763099618</v>
          </cell>
          <cell r="AL80">
            <v>344</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I80">
            <v>0</v>
          </cell>
          <cell r="CJ80">
            <v>0</v>
          </cell>
          <cell r="CK80">
            <v>6982.17</v>
          </cell>
          <cell r="CL80">
            <v>3027.0252053127783</v>
          </cell>
          <cell r="CM80">
            <v>10009.195205312779</v>
          </cell>
          <cell r="CQ80">
            <v>8379.0405539070216</v>
          </cell>
          <cell r="CR80">
            <v>2210.69</v>
          </cell>
          <cell r="CS80">
            <v>5860.47254438651</v>
          </cell>
          <cell r="CT80">
            <v>16450.203098293532</v>
          </cell>
          <cell r="CU80">
            <v>9760.525940817528</v>
          </cell>
          <cell r="CV80">
            <v>0</v>
          </cell>
          <cell r="CW80">
            <v>9760.525940817528</v>
          </cell>
          <cell r="CX80">
            <v>0</v>
          </cell>
          <cell r="CZ80">
            <v>0</v>
          </cell>
          <cell r="DC80">
            <v>0</v>
          </cell>
          <cell r="DD80">
            <v>133771.43515048723</v>
          </cell>
          <cell r="DE80">
            <v>118010.9628334062</v>
          </cell>
          <cell r="DF80">
            <v>12841.761371289262</v>
          </cell>
          <cell r="DG80">
            <v>0</v>
          </cell>
          <cell r="DH80">
            <v>0</v>
          </cell>
          <cell r="DI80">
            <v>264624.15935518267</v>
          </cell>
          <cell r="DJ80">
            <v>0</v>
          </cell>
          <cell r="DK80">
            <v>14198</v>
          </cell>
          <cell r="DL80">
            <v>10447.42</v>
          </cell>
          <cell r="DM80">
            <v>70073.495851086889</v>
          </cell>
          <cell r="DN80">
            <v>0</v>
          </cell>
          <cell r="DO80">
            <v>0</v>
          </cell>
          <cell r="DP80">
            <v>0</v>
          </cell>
          <cell r="DQ80">
            <v>94718.915851086887</v>
          </cell>
          <cell r="DR80">
            <v>0</v>
          </cell>
          <cell r="DS80">
            <v>0</v>
          </cell>
          <cell r="DT80">
            <v>0</v>
          </cell>
          <cell r="DU80">
            <v>0</v>
          </cell>
          <cell r="DV80">
            <v>0</v>
          </cell>
          <cell r="DW80">
            <v>0</v>
          </cell>
          <cell r="DX80">
            <v>0</v>
          </cell>
          <cell r="DY80">
            <v>5882.1109963218933</v>
          </cell>
          <cell r="DZ80">
            <v>0</v>
          </cell>
          <cell r="EA80">
            <v>0</v>
          </cell>
          <cell r="EB80">
            <v>5882.1109963218933</v>
          </cell>
          <cell r="EE80">
            <v>0</v>
          </cell>
          <cell r="EH80">
            <v>0</v>
          </cell>
          <cell r="EI80">
            <v>0</v>
          </cell>
          <cell r="EK80">
            <v>0</v>
          </cell>
          <cell r="EL80">
            <v>2377</v>
          </cell>
          <cell r="EM80">
            <v>0</v>
          </cell>
          <cell r="EO80">
            <v>2377</v>
          </cell>
          <cell r="EP80">
            <v>0</v>
          </cell>
          <cell r="EQ80">
            <v>0</v>
          </cell>
          <cell r="ER80">
            <v>1287662.3867569773</v>
          </cell>
          <cell r="ET80">
            <v>344</v>
          </cell>
          <cell r="EU80">
            <v>3743.2046126656319</v>
          </cell>
          <cell r="EV80" t="str">
            <v>No Variation Applied</v>
          </cell>
          <cell r="EW80">
            <v>84500</v>
          </cell>
          <cell r="EX80">
            <v>0</v>
          </cell>
          <cell r="EY80">
            <v>0</v>
          </cell>
          <cell r="EZ80">
            <v>187274.26951246319</v>
          </cell>
        </row>
        <row r="81">
          <cell r="C81" t="str">
            <v>Oakwood Infant and Nursery School</v>
          </cell>
          <cell r="D81">
            <v>2473</v>
          </cell>
          <cell r="F81" t="str">
            <v/>
          </cell>
          <cell r="G81">
            <v>0</v>
          </cell>
          <cell r="H81">
            <v>41640</v>
          </cell>
          <cell r="I81">
            <v>0</v>
          </cell>
          <cell r="J81">
            <v>0</v>
          </cell>
          <cell r="L81">
            <v>145591.39689381985</v>
          </cell>
          <cell r="M81">
            <v>41640</v>
          </cell>
          <cell r="N81">
            <v>43.831578947368421</v>
          </cell>
          <cell r="S81">
            <v>0</v>
          </cell>
          <cell r="T81">
            <v>0</v>
          </cell>
          <cell r="U81">
            <v>90</v>
          </cell>
          <cell r="Y81">
            <v>91</v>
          </cell>
          <cell r="Z81">
            <v>85</v>
          </cell>
          <cell r="AA81">
            <v>0</v>
          </cell>
          <cell r="AB81">
            <v>0</v>
          </cell>
          <cell r="AC81">
            <v>0</v>
          </cell>
          <cell r="AD81">
            <v>0</v>
          </cell>
          <cell r="AK81">
            <v>692868.15365326428</v>
          </cell>
          <cell r="AL81">
            <v>266</v>
          </cell>
          <cell r="BS81">
            <v>13810.188</v>
          </cell>
          <cell r="BT81">
            <v>0</v>
          </cell>
          <cell r="BU81">
            <v>0</v>
          </cell>
          <cell r="BV81">
            <v>0</v>
          </cell>
          <cell r="BW81">
            <v>0</v>
          </cell>
          <cell r="BX81">
            <v>-10364.731599999999</v>
          </cell>
          <cell r="BY81">
            <v>0</v>
          </cell>
          <cell r="BZ81">
            <v>7026.9486000000006</v>
          </cell>
          <cell r="CA81">
            <v>0</v>
          </cell>
          <cell r="CB81">
            <v>0</v>
          </cell>
          <cell r="CC81">
            <v>0</v>
          </cell>
          <cell r="CD81">
            <v>0</v>
          </cell>
          <cell r="CE81">
            <v>10472.405000000002</v>
          </cell>
          <cell r="CF81">
            <v>34020.916695056439</v>
          </cell>
          <cell r="CI81">
            <v>0</v>
          </cell>
          <cell r="CJ81">
            <v>0</v>
          </cell>
          <cell r="CK81">
            <v>5399</v>
          </cell>
          <cell r="CL81">
            <v>2552.8201127741063</v>
          </cell>
          <cell r="CM81">
            <v>41972.736807830544</v>
          </cell>
          <cell r="CQ81">
            <v>3046.9238377843717</v>
          </cell>
          <cell r="CR81">
            <v>1205.83</v>
          </cell>
          <cell r="CS81">
            <v>5658.3872842352512</v>
          </cell>
          <cell r="CT81">
            <v>9911.1411220196242</v>
          </cell>
          <cell r="CU81">
            <v>15892.138390818283</v>
          </cell>
          <cell r="CV81">
            <v>0</v>
          </cell>
          <cell r="CW81">
            <v>15892.138390818283</v>
          </cell>
          <cell r="CX81">
            <v>0</v>
          </cell>
          <cell r="CZ81">
            <v>0</v>
          </cell>
          <cell r="DC81">
            <v>0</v>
          </cell>
          <cell r="DD81">
            <v>110352.95438552485</v>
          </cell>
          <cell r="DE81">
            <v>103231.16980032065</v>
          </cell>
          <cell r="DF81">
            <v>9417.2916722787922</v>
          </cell>
          <cell r="DG81">
            <v>0</v>
          </cell>
          <cell r="DH81">
            <v>0</v>
          </cell>
          <cell r="DI81">
            <v>223001.41585812427</v>
          </cell>
          <cell r="DJ81">
            <v>0</v>
          </cell>
          <cell r="DK81">
            <v>14198</v>
          </cell>
          <cell r="DL81">
            <v>7738.49</v>
          </cell>
          <cell r="DM81">
            <v>70073.495851086889</v>
          </cell>
          <cell r="DN81">
            <v>0</v>
          </cell>
          <cell r="DO81">
            <v>0</v>
          </cell>
          <cell r="DP81">
            <v>0</v>
          </cell>
          <cell r="DQ81">
            <v>92009.98585108688</v>
          </cell>
          <cell r="DR81">
            <v>0</v>
          </cell>
          <cell r="DS81">
            <v>0</v>
          </cell>
          <cell r="DT81">
            <v>0</v>
          </cell>
          <cell r="DU81">
            <v>0</v>
          </cell>
          <cell r="DV81">
            <v>0</v>
          </cell>
          <cell r="DW81">
            <v>0</v>
          </cell>
          <cell r="DX81">
            <v>0</v>
          </cell>
          <cell r="DY81">
            <v>3594.6233866411571</v>
          </cell>
          <cell r="DZ81">
            <v>0</v>
          </cell>
          <cell r="EA81">
            <v>0</v>
          </cell>
          <cell r="EB81">
            <v>3594.6233866411571</v>
          </cell>
          <cell r="EE81">
            <v>0</v>
          </cell>
          <cell r="EH81">
            <v>0</v>
          </cell>
          <cell r="EI81">
            <v>0</v>
          </cell>
          <cell r="EK81">
            <v>0</v>
          </cell>
          <cell r="EL81">
            <v>22261</v>
          </cell>
          <cell r="EM81">
            <v>0</v>
          </cell>
          <cell r="EO81">
            <v>22261</v>
          </cell>
          <cell r="EP81">
            <v>0</v>
          </cell>
          <cell r="EQ81">
            <v>156063.80189381985</v>
          </cell>
          <cell r="ER81">
            <v>1257574.9969636048</v>
          </cell>
          <cell r="ET81">
            <v>309.83157894736843</v>
          </cell>
          <cell r="EU81">
            <v>4058.8987127655928</v>
          </cell>
          <cell r="EV81" t="str">
            <v>No Variation Applied</v>
          </cell>
          <cell r="EW81">
            <v>53300</v>
          </cell>
          <cell r="EX81">
            <v>0</v>
          </cell>
          <cell r="EY81">
            <v>0</v>
          </cell>
          <cell r="EZ81">
            <v>161693.79068846695</v>
          </cell>
        </row>
        <row r="82">
          <cell r="C82" t="str">
            <v>Redwood Primary School</v>
          </cell>
          <cell r="D82">
            <v>2505</v>
          </cell>
          <cell r="F82" t="str">
            <v/>
          </cell>
          <cell r="G82">
            <v>0</v>
          </cell>
          <cell r="H82">
            <v>52260</v>
          </cell>
          <cell r="I82">
            <v>0</v>
          </cell>
          <cell r="J82">
            <v>0</v>
          </cell>
          <cell r="L82">
            <v>182723.49667797852</v>
          </cell>
          <cell r="M82">
            <v>52260</v>
          </cell>
          <cell r="N82">
            <v>55.010526315789477</v>
          </cell>
          <cell r="S82">
            <v>0</v>
          </cell>
          <cell r="T82">
            <v>0</v>
          </cell>
          <cell r="U82">
            <v>75</v>
          </cell>
          <cell r="Y82">
            <v>66</v>
          </cell>
          <cell r="Z82">
            <v>61</v>
          </cell>
          <cell r="AA82">
            <v>54</v>
          </cell>
          <cell r="AB82">
            <v>50</v>
          </cell>
          <cell r="AC82">
            <v>49</v>
          </cell>
          <cell r="AD82">
            <v>51</v>
          </cell>
          <cell r="AK82">
            <v>1053338.1528699431</v>
          </cell>
          <cell r="AL82">
            <v>406</v>
          </cell>
          <cell r="BS82">
            <v>21817.776000000002</v>
          </cell>
          <cell r="BT82">
            <v>0</v>
          </cell>
          <cell r="BU82">
            <v>3829.7159999999999</v>
          </cell>
          <cell r="BV82">
            <v>0</v>
          </cell>
          <cell r="BW82">
            <v>0</v>
          </cell>
          <cell r="BX82">
            <v>12276.824399999983</v>
          </cell>
          <cell r="BY82">
            <v>0</v>
          </cell>
          <cell r="BZ82">
            <v>0</v>
          </cell>
          <cell r="CA82">
            <v>0</v>
          </cell>
          <cell r="CB82">
            <v>0</v>
          </cell>
          <cell r="CC82">
            <v>0</v>
          </cell>
          <cell r="CD82">
            <v>0</v>
          </cell>
          <cell r="CE82">
            <v>37924.316399999982</v>
          </cell>
          <cell r="CF82">
            <v>34020.916695056439</v>
          </cell>
          <cell r="CI82">
            <v>0</v>
          </cell>
          <cell r="CJ82">
            <v>0</v>
          </cell>
          <cell r="CK82">
            <v>8240.58</v>
          </cell>
          <cell r="CL82">
            <v>3008.7495526591583</v>
          </cell>
          <cell r="CM82">
            <v>45270.2462477156</v>
          </cell>
          <cell r="CQ82">
            <v>12949.42631058358</v>
          </cell>
          <cell r="CR82">
            <v>19896.169999999998</v>
          </cell>
          <cell r="CS82">
            <v>14145.968210588129</v>
          </cell>
          <cell r="CT82">
            <v>46991.564521171706</v>
          </cell>
          <cell r="CU82">
            <v>3003.2387510207782</v>
          </cell>
          <cell r="CV82">
            <v>0</v>
          </cell>
          <cell r="CW82">
            <v>3003.2387510207782</v>
          </cell>
          <cell r="CX82">
            <v>0</v>
          </cell>
          <cell r="CZ82">
            <v>0</v>
          </cell>
          <cell r="DC82">
            <v>0</v>
          </cell>
          <cell r="DD82">
            <v>163516.44503898162</v>
          </cell>
          <cell r="DE82">
            <v>202596.85526891123</v>
          </cell>
          <cell r="DF82">
            <v>10273.40909703141</v>
          </cell>
          <cell r="DG82">
            <v>0</v>
          </cell>
          <cell r="DH82">
            <v>0</v>
          </cell>
          <cell r="DI82">
            <v>376386.70940492424</v>
          </cell>
          <cell r="DJ82">
            <v>0</v>
          </cell>
          <cell r="DK82">
            <v>26793</v>
          </cell>
          <cell r="DL82">
            <v>6827.96</v>
          </cell>
          <cell r="DM82">
            <v>70073.495851086889</v>
          </cell>
          <cell r="DN82">
            <v>0</v>
          </cell>
          <cell r="DO82">
            <v>0</v>
          </cell>
          <cell r="DP82">
            <v>0</v>
          </cell>
          <cell r="DQ82">
            <v>103694.45585108688</v>
          </cell>
          <cell r="DR82">
            <v>0</v>
          </cell>
          <cell r="DS82">
            <v>0</v>
          </cell>
          <cell r="DT82">
            <v>0</v>
          </cell>
          <cell r="DU82">
            <v>0</v>
          </cell>
          <cell r="DV82">
            <v>0</v>
          </cell>
          <cell r="DW82">
            <v>0</v>
          </cell>
          <cell r="DX82">
            <v>0</v>
          </cell>
          <cell r="DY82">
            <v>8496.3825502427353</v>
          </cell>
          <cell r="DZ82">
            <v>0</v>
          </cell>
          <cell r="EA82">
            <v>0</v>
          </cell>
          <cell r="EB82">
            <v>8496.3825502427353</v>
          </cell>
          <cell r="EE82">
            <v>0</v>
          </cell>
          <cell r="EH82">
            <v>0</v>
          </cell>
          <cell r="EI82">
            <v>0</v>
          </cell>
          <cell r="EK82">
            <v>0</v>
          </cell>
          <cell r="EL82">
            <v>4317</v>
          </cell>
          <cell r="EM82">
            <v>0</v>
          </cell>
          <cell r="EO82">
            <v>4317</v>
          </cell>
          <cell r="EP82">
            <v>0</v>
          </cell>
          <cell r="EQ82">
            <v>220647.8130779785</v>
          </cell>
          <cell r="ER82">
            <v>1862145.5632740832</v>
          </cell>
          <cell r="ET82">
            <v>461.01052631578949</v>
          </cell>
          <cell r="EU82">
            <v>4039.2690773366949</v>
          </cell>
          <cell r="EV82" t="str">
            <v>No Variation Applied</v>
          </cell>
          <cell r="EW82">
            <v>89400</v>
          </cell>
          <cell r="EX82">
            <v>0</v>
          </cell>
          <cell r="EY82">
            <v>0</v>
          </cell>
          <cell r="EZ82">
            <v>238994.01575034249</v>
          </cell>
        </row>
        <row r="83">
          <cell r="C83" t="str">
            <v>Ash Croft Primary School</v>
          </cell>
          <cell r="D83">
            <v>2509</v>
          </cell>
          <cell r="F83" t="str">
            <v/>
          </cell>
          <cell r="G83">
            <v>0</v>
          </cell>
          <cell r="H83">
            <v>0</v>
          </cell>
          <cell r="I83">
            <v>0</v>
          </cell>
          <cell r="J83">
            <v>0</v>
          </cell>
          <cell r="L83">
            <v>0</v>
          </cell>
          <cell r="M83">
            <v>0</v>
          </cell>
          <cell r="N83">
            <v>0</v>
          </cell>
          <cell r="S83">
            <v>0</v>
          </cell>
          <cell r="T83">
            <v>0</v>
          </cell>
          <cell r="U83">
            <v>32</v>
          </cell>
          <cell r="Y83">
            <v>25</v>
          </cell>
          <cell r="Z83">
            <v>28</v>
          </cell>
          <cell r="AA83">
            <v>23</v>
          </cell>
          <cell r="AB83">
            <v>21</v>
          </cell>
          <cell r="AC83">
            <v>23</v>
          </cell>
          <cell r="AD83">
            <v>21</v>
          </cell>
          <cell r="AK83">
            <v>448983.08522443764</v>
          </cell>
          <cell r="AL83">
            <v>173</v>
          </cell>
          <cell r="BS83">
            <v>0</v>
          </cell>
          <cell r="BT83">
            <v>0</v>
          </cell>
          <cell r="BU83">
            <v>0</v>
          </cell>
          <cell r="BV83">
            <v>0</v>
          </cell>
          <cell r="BW83">
            <v>0</v>
          </cell>
          <cell r="BX83">
            <v>0</v>
          </cell>
          <cell r="BY83">
            <v>0</v>
          </cell>
          <cell r="BZ83">
            <v>0</v>
          </cell>
          <cell r="CA83">
            <v>0</v>
          </cell>
          <cell r="CB83">
            <v>0</v>
          </cell>
          <cell r="CC83">
            <v>0</v>
          </cell>
          <cell r="CD83">
            <v>0</v>
          </cell>
          <cell r="CE83">
            <v>0</v>
          </cell>
          <cell r="CF83">
            <v>22680.611130037629</v>
          </cell>
          <cell r="CI83">
            <v>0</v>
          </cell>
          <cell r="CJ83">
            <v>0</v>
          </cell>
          <cell r="CK83">
            <v>3511.38</v>
          </cell>
          <cell r="CL83">
            <v>1850.6503002929094</v>
          </cell>
          <cell r="CM83">
            <v>28042.641430330539</v>
          </cell>
          <cell r="CQ83">
            <v>5332.1167161226504</v>
          </cell>
          <cell r="CR83">
            <v>5627.2</v>
          </cell>
          <cell r="CS83">
            <v>6062.5578045377697</v>
          </cell>
          <cell r="CT83">
            <v>17021.874520660422</v>
          </cell>
          <cell r="CU83">
            <v>250.26989591839819</v>
          </cell>
          <cell r="CV83">
            <v>0</v>
          </cell>
          <cell r="CW83">
            <v>250.26989591839819</v>
          </cell>
          <cell r="CX83">
            <v>0</v>
          </cell>
          <cell r="CZ83">
            <v>0</v>
          </cell>
          <cell r="DC83">
            <v>0</v>
          </cell>
          <cell r="DD83">
            <v>45303.257499977597</v>
          </cell>
          <cell r="DE83">
            <v>51160.822037603844</v>
          </cell>
          <cell r="DF83">
            <v>1712.2348495052349</v>
          </cell>
          <cell r="DG83">
            <v>0</v>
          </cell>
          <cell r="DH83">
            <v>0</v>
          </cell>
          <cell r="DI83">
            <v>98176.314387086677</v>
          </cell>
          <cell r="DJ83">
            <v>0</v>
          </cell>
          <cell r="DK83">
            <v>12480.5</v>
          </cell>
          <cell r="DL83">
            <v>3445.93</v>
          </cell>
          <cell r="DM83">
            <v>74722.185859261808</v>
          </cell>
          <cell r="DN83">
            <v>0</v>
          </cell>
          <cell r="DO83">
            <v>0</v>
          </cell>
          <cell r="DP83">
            <v>0</v>
          </cell>
          <cell r="DQ83">
            <v>90648.615859261801</v>
          </cell>
          <cell r="DR83">
            <v>0</v>
          </cell>
          <cell r="DS83">
            <v>0</v>
          </cell>
          <cell r="DT83">
            <v>0</v>
          </cell>
          <cell r="DU83">
            <v>0</v>
          </cell>
          <cell r="DV83">
            <v>0</v>
          </cell>
          <cell r="DW83">
            <v>0</v>
          </cell>
          <cell r="DX83">
            <v>0</v>
          </cell>
          <cell r="DY83">
            <v>6208.8949405619987</v>
          </cell>
          <cell r="DZ83">
            <v>0</v>
          </cell>
          <cell r="EA83">
            <v>0</v>
          </cell>
          <cell r="EB83">
            <v>6208.8949405619987</v>
          </cell>
          <cell r="EE83">
            <v>0</v>
          </cell>
          <cell r="EH83">
            <v>0</v>
          </cell>
          <cell r="EI83">
            <v>6580.8010000000004</v>
          </cell>
          <cell r="EK83">
            <v>0</v>
          </cell>
          <cell r="EL83">
            <v>-3204</v>
          </cell>
          <cell r="EM83">
            <v>0</v>
          </cell>
          <cell r="EO83">
            <v>3376.8010000000004</v>
          </cell>
          <cell r="EP83">
            <v>12020.538005692186</v>
          </cell>
          <cell r="EQ83">
            <v>0</v>
          </cell>
          <cell r="ER83">
            <v>704729.03526394966</v>
          </cell>
          <cell r="ET83">
            <v>173</v>
          </cell>
          <cell r="EU83">
            <v>4073.57823851994</v>
          </cell>
          <cell r="EV83" t="str">
            <v>No Variation Applied</v>
          </cell>
          <cell r="EW83">
            <v>27000</v>
          </cell>
          <cell r="EX83">
            <v>0</v>
          </cell>
          <cell r="EY83">
            <v>0</v>
          </cell>
          <cell r="EZ83">
            <v>71690.270563242171</v>
          </cell>
        </row>
        <row r="84">
          <cell r="C84" t="str">
            <v>Brookfield Primary School</v>
          </cell>
          <cell r="D84">
            <v>2512</v>
          </cell>
          <cell r="F84" t="str">
            <v/>
          </cell>
          <cell r="G84">
            <v>0</v>
          </cell>
          <cell r="H84">
            <v>14880</v>
          </cell>
          <cell r="I84">
            <v>0</v>
          </cell>
          <cell r="J84">
            <v>0</v>
          </cell>
          <cell r="L84">
            <v>52026.896872719488</v>
          </cell>
          <cell r="M84">
            <v>14880</v>
          </cell>
          <cell r="N84">
            <v>15.663157894736843</v>
          </cell>
          <cell r="S84">
            <v>0</v>
          </cell>
          <cell r="T84">
            <v>0</v>
          </cell>
          <cell r="U84">
            <v>30</v>
          </cell>
          <cell r="Y84">
            <v>29</v>
          </cell>
          <cell r="Z84">
            <v>30</v>
          </cell>
          <cell r="AA84">
            <v>30</v>
          </cell>
          <cell r="AB84">
            <v>28</v>
          </cell>
          <cell r="AC84">
            <v>28</v>
          </cell>
          <cell r="AD84">
            <v>31</v>
          </cell>
          <cell r="AK84">
            <v>532381.29378746846</v>
          </cell>
          <cell r="AL84">
            <v>206</v>
          </cell>
          <cell r="BS84">
            <v>812.36400000000003</v>
          </cell>
          <cell r="BT84">
            <v>0</v>
          </cell>
          <cell r="BU84">
            <v>464.20800000000003</v>
          </cell>
          <cell r="BV84">
            <v>0</v>
          </cell>
          <cell r="BW84">
            <v>0</v>
          </cell>
          <cell r="BX84">
            <v>-1223.1618000000017</v>
          </cell>
          <cell r="BY84">
            <v>0</v>
          </cell>
          <cell r="BZ84">
            <v>1003.8498</v>
          </cell>
          <cell r="CA84">
            <v>0</v>
          </cell>
          <cell r="CB84">
            <v>0</v>
          </cell>
          <cell r="CC84">
            <v>0</v>
          </cell>
          <cell r="CD84">
            <v>0</v>
          </cell>
          <cell r="CE84">
            <v>1057.2599999999984</v>
          </cell>
          <cell r="CF84">
            <v>11340.305565018814</v>
          </cell>
          <cell r="CI84">
            <v>0</v>
          </cell>
          <cell r="CJ84">
            <v>0</v>
          </cell>
          <cell r="CK84">
            <v>4181.18</v>
          </cell>
          <cell r="CL84">
            <v>2316.1985047324979</v>
          </cell>
          <cell r="CM84">
            <v>17837.684069751311</v>
          </cell>
          <cell r="CQ84">
            <v>761.73095944609292</v>
          </cell>
          <cell r="CR84">
            <v>8038.86</v>
          </cell>
          <cell r="CS84">
            <v>5254.2167639327336</v>
          </cell>
          <cell r="CT84">
            <v>14054.807723378824</v>
          </cell>
          <cell r="CU84">
            <v>3003.2387510207782</v>
          </cell>
          <cell r="CV84">
            <v>9009.7162530623336</v>
          </cell>
          <cell r="CW84">
            <v>12012.955004083113</v>
          </cell>
          <cell r="CX84">
            <v>0</v>
          </cell>
          <cell r="CZ84">
            <v>0</v>
          </cell>
          <cell r="DC84">
            <v>0</v>
          </cell>
          <cell r="DD84">
            <v>27134.763606757413</v>
          </cell>
          <cell r="DE84">
            <v>5457.1543506777434</v>
          </cell>
          <cell r="DF84">
            <v>856.11742475261747</v>
          </cell>
          <cell r="DG84">
            <v>0</v>
          </cell>
          <cell r="DH84">
            <v>0</v>
          </cell>
          <cell r="DI84">
            <v>33448.035382187772</v>
          </cell>
          <cell r="DJ84">
            <v>0</v>
          </cell>
          <cell r="DK84">
            <v>14427</v>
          </cell>
          <cell r="DL84">
            <v>4084.7</v>
          </cell>
          <cell r="DM84">
            <v>70073.495851086889</v>
          </cell>
          <cell r="DN84">
            <v>0</v>
          </cell>
          <cell r="DO84">
            <v>0</v>
          </cell>
          <cell r="DP84">
            <v>0</v>
          </cell>
          <cell r="DQ84">
            <v>88585.195851086886</v>
          </cell>
          <cell r="DR84">
            <v>0</v>
          </cell>
          <cell r="DS84">
            <v>0</v>
          </cell>
          <cell r="DT84">
            <v>0</v>
          </cell>
          <cell r="DU84">
            <v>0</v>
          </cell>
          <cell r="DV84">
            <v>0</v>
          </cell>
          <cell r="DW84">
            <v>0</v>
          </cell>
          <cell r="DX84">
            <v>0</v>
          </cell>
          <cell r="DY84">
            <v>2941.0554981609466</v>
          </cell>
          <cell r="DZ84">
            <v>0</v>
          </cell>
          <cell r="EA84">
            <v>0</v>
          </cell>
          <cell r="EB84">
            <v>2941.0554981609466</v>
          </cell>
          <cell r="EE84">
            <v>0</v>
          </cell>
          <cell r="EH84">
            <v>0</v>
          </cell>
          <cell r="EI84">
            <v>0</v>
          </cell>
          <cell r="EK84">
            <v>0</v>
          </cell>
          <cell r="EL84">
            <v>15270</v>
          </cell>
          <cell r="EM84">
            <v>0</v>
          </cell>
          <cell r="EO84">
            <v>15270</v>
          </cell>
          <cell r="EP84">
            <v>30282.73187580856</v>
          </cell>
          <cell r="EQ84">
            <v>53084.156872719483</v>
          </cell>
          <cell r="ER84">
            <v>799897.91606464551</v>
          </cell>
          <cell r="ET84">
            <v>221.66315789473686</v>
          </cell>
          <cell r="EU84">
            <v>3608.6191483588814</v>
          </cell>
          <cell r="EV84" t="str">
            <v>No Variation Applied</v>
          </cell>
          <cell r="EW84">
            <v>18000</v>
          </cell>
          <cell r="EX84">
            <v>0</v>
          </cell>
          <cell r="EY84">
            <v>0</v>
          </cell>
          <cell r="EZ84">
            <v>61853.986028449857</v>
          </cell>
        </row>
        <row r="85">
          <cell r="C85" t="str">
            <v>Grampian Primary School</v>
          </cell>
          <cell r="D85">
            <v>2515</v>
          </cell>
          <cell r="F85" t="str">
            <v/>
          </cell>
          <cell r="G85">
            <v>0</v>
          </cell>
          <cell r="H85">
            <v>22590</v>
          </cell>
          <cell r="I85">
            <v>0</v>
          </cell>
          <cell r="J85">
            <v>0</v>
          </cell>
          <cell r="L85">
            <v>78984.381744269704</v>
          </cell>
          <cell r="M85">
            <v>22590</v>
          </cell>
          <cell r="N85">
            <v>23.778947368421054</v>
          </cell>
          <cell r="S85">
            <v>0</v>
          </cell>
          <cell r="T85">
            <v>0</v>
          </cell>
          <cell r="U85">
            <v>30</v>
          </cell>
          <cell r="Y85">
            <v>30</v>
          </cell>
          <cell r="Z85">
            <v>30</v>
          </cell>
          <cell r="AA85">
            <v>26</v>
          </cell>
          <cell r="AB85">
            <v>23</v>
          </cell>
          <cell r="AC85">
            <v>18</v>
          </cell>
          <cell r="AD85">
            <v>29</v>
          </cell>
          <cell r="AK85">
            <v>480876.25758002256</v>
          </cell>
          <cell r="AL85">
            <v>186</v>
          </cell>
          <cell r="BS85">
            <v>11257.044</v>
          </cell>
          <cell r="BT85">
            <v>0</v>
          </cell>
          <cell r="BU85">
            <v>851.048</v>
          </cell>
          <cell r="BV85">
            <v>0</v>
          </cell>
          <cell r="BW85">
            <v>0</v>
          </cell>
          <cell r="BX85">
            <v>-7584.9822539198067</v>
          </cell>
          <cell r="BY85">
            <v>0</v>
          </cell>
          <cell r="BZ85">
            <v>1003.8498</v>
          </cell>
          <cell r="CA85">
            <v>0</v>
          </cell>
          <cell r="CB85">
            <v>0</v>
          </cell>
          <cell r="CC85">
            <v>0</v>
          </cell>
          <cell r="CD85">
            <v>0</v>
          </cell>
          <cell r="CE85">
            <v>5526.9595460801938</v>
          </cell>
          <cell r="CF85">
            <v>11340.305565018814</v>
          </cell>
          <cell r="CI85">
            <v>0</v>
          </cell>
          <cell r="CJ85">
            <v>0</v>
          </cell>
          <cell r="CK85">
            <v>3775.24</v>
          </cell>
          <cell r="CL85">
            <v>1623.6474568058372</v>
          </cell>
          <cell r="CM85">
            <v>16739.193021824653</v>
          </cell>
          <cell r="CQ85">
            <v>9140.7715133531146</v>
          </cell>
          <cell r="CR85">
            <v>8842.74</v>
          </cell>
          <cell r="CS85">
            <v>6062.5578045377697</v>
          </cell>
          <cell r="CT85">
            <v>24046.069317890884</v>
          </cell>
          <cell r="CU85">
            <v>28906.172978574989</v>
          </cell>
          <cell r="CV85">
            <v>0</v>
          </cell>
          <cell r="CW85">
            <v>28906.172978574989</v>
          </cell>
          <cell r="CX85">
            <v>0</v>
          </cell>
          <cell r="CZ85">
            <v>0</v>
          </cell>
          <cell r="DC85">
            <v>0</v>
          </cell>
          <cell r="DD85">
            <v>117918.24445632189</v>
          </cell>
          <cell r="DE85">
            <v>113235.95277656318</v>
          </cell>
          <cell r="DF85">
            <v>5136.704548515705</v>
          </cell>
          <cell r="DG85">
            <v>0</v>
          </cell>
          <cell r="DH85">
            <v>0</v>
          </cell>
          <cell r="DI85">
            <v>236290.90178140075</v>
          </cell>
          <cell r="DJ85">
            <v>0</v>
          </cell>
          <cell r="DK85">
            <v>16488</v>
          </cell>
          <cell r="DL85">
            <v>3012.63</v>
          </cell>
          <cell r="DM85">
            <v>70073.495851086889</v>
          </cell>
          <cell r="DN85">
            <v>0</v>
          </cell>
          <cell r="DO85">
            <v>0</v>
          </cell>
          <cell r="DP85">
            <v>0</v>
          </cell>
          <cell r="DQ85">
            <v>89574.125851086894</v>
          </cell>
          <cell r="DR85">
            <v>0</v>
          </cell>
          <cell r="DS85">
            <v>0</v>
          </cell>
          <cell r="DT85">
            <v>0</v>
          </cell>
          <cell r="DU85">
            <v>0</v>
          </cell>
          <cell r="DV85">
            <v>0</v>
          </cell>
          <cell r="DW85">
            <v>0</v>
          </cell>
          <cell r="DX85">
            <v>0</v>
          </cell>
          <cell r="DY85">
            <v>4574.9752193614731</v>
          </cell>
          <cell r="DZ85">
            <v>0</v>
          </cell>
          <cell r="EA85">
            <v>0</v>
          </cell>
          <cell r="EB85">
            <v>4574.9752193614731</v>
          </cell>
          <cell r="EE85">
            <v>0</v>
          </cell>
          <cell r="EH85">
            <v>0</v>
          </cell>
          <cell r="EI85">
            <v>0</v>
          </cell>
          <cell r="EK85">
            <v>0</v>
          </cell>
          <cell r="EL85">
            <v>18709</v>
          </cell>
          <cell r="EM85">
            <v>0</v>
          </cell>
          <cell r="EO85">
            <v>18709</v>
          </cell>
          <cell r="EP85">
            <v>78179.805381990387</v>
          </cell>
          <cell r="EQ85">
            <v>84511.341290349897</v>
          </cell>
          <cell r="ER85">
            <v>1062407.8424225026</v>
          </cell>
          <cell r="ET85">
            <v>209.77894736842106</v>
          </cell>
          <cell r="EU85">
            <v>5064.4159280514696</v>
          </cell>
          <cell r="EV85" t="str">
            <v>No Variation Applied</v>
          </cell>
          <cell r="EW85">
            <v>63600</v>
          </cell>
          <cell r="EX85">
            <v>0</v>
          </cell>
          <cell r="EY85">
            <v>0</v>
          </cell>
          <cell r="EZ85">
            <v>184176.07402465359</v>
          </cell>
        </row>
        <row r="86">
          <cell r="C86" t="str">
            <v>Firs Estate Primary School</v>
          </cell>
          <cell r="D86">
            <v>2518</v>
          </cell>
          <cell r="F86" t="str">
            <v/>
          </cell>
          <cell r="G86">
            <v>0</v>
          </cell>
          <cell r="H86">
            <v>16560</v>
          </cell>
          <cell r="I86">
            <v>0</v>
          </cell>
          <cell r="J86">
            <v>0</v>
          </cell>
          <cell r="L86">
            <v>57900.901358349103</v>
          </cell>
          <cell r="M86">
            <v>16560</v>
          </cell>
          <cell r="N86">
            <v>17.431578947368422</v>
          </cell>
          <cell r="S86">
            <v>0</v>
          </cell>
          <cell r="T86">
            <v>0</v>
          </cell>
          <cell r="U86">
            <v>54</v>
          </cell>
          <cell r="Y86">
            <v>42</v>
          </cell>
          <cell r="Z86">
            <v>44</v>
          </cell>
          <cell r="AA86">
            <v>34</v>
          </cell>
          <cell r="AB86">
            <v>35</v>
          </cell>
          <cell r="AC86">
            <v>21</v>
          </cell>
          <cell r="AD86">
            <v>35</v>
          </cell>
          <cell r="AK86">
            <v>688857.32514151535</v>
          </cell>
          <cell r="AL86">
            <v>265</v>
          </cell>
          <cell r="BS86">
            <v>6266.808</v>
          </cell>
          <cell r="BT86">
            <v>0</v>
          </cell>
          <cell r="BU86">
            <v>1276.5720000000001</v>
          </cell>
          <cell r="BV86">
            <v>0</v>
          </cell>
          <cell r="BW86">
            <v>0</v>
          </cell>
          <cell r="BX86">
            <v>6861.7660000000033</v>
          </cell>
          <cell r="BY86">
            <v>0</v>
          </cell>
          <cell r="BZ86">
            <v>2007.6995999999999</v>
          </cell>
          <cell r="CA86">
            <v>0</v>
          </cell>
          <cell r="CB86">
            <v>0</v>
          </cell>
          <cell r="CC86">
            <v>0</v>
          </cell>
          <cell r="CD86">
            <v>0</v>
          </cell>
          <cell r="CE86">
            <v>16412.845600000004</v>
          </cell>
          <cell r="CF86">
            <v>22680.611130037629</v>
          </cell>
          <cell r="CI86">
            <v>0</v>
          </cell>
          <cell r="CJ86">
            <v>0</v>
          </cell>
          <cell r="CK86">
            <v>5378.7</v>
          </cell>
          <cell r="CL86">
            <v>2185.3833067907949</v>
          </cell>
          <cell r="CM86">
            <v>30244.694436828424</v>
          </cell>
          <cell r="CQ86">
            <v>28945.776458951532</v>
          </cell>
          <cell r="CR86">
            <v>22307.83</v>
          </cell>
          <cell r="CS86">
            <v>12731.371389529315</v>
          </cell>
          <cell r="CT86">
            <v>63984.977848480848</v>
          </cell>
          <cell r="CU86">
            <v>4254.5882306127687</v>
          </cell>
          <cell r="CV86">
            <v>0</v>
          </cell>
          <cell r="CW86">
            <v>4254.5882306127687</v>
          </cell>
          <cell r="CX86">
            <v>0</v>
          </cell>
          <cell r="CZ86">
            <v>0</v>
          </cell>
          <cell r="DC86">
            <v>0</v>
          </cell>
          <cell r="DD86">
            <v>149403.41853264096</v>
          </cell>
          <cell r="DE86">
            <v>117783.58140212797</v>
          </cell>
          <cell r="DF86">
            <v>15410.113645547115</v>
          </cell>
          <cell r="DG86">
            <v>0</v>
          </cell>
          <cell r="DH86">
            <v>0</v>
          </cell>
          <cell r="DI86">
            <v>282597.11358031607</v>
          </cell>
          <cell r="DJ86">
            <v>0</v>
          </cell>
          <cell r="DK86">
            <v>10589.33</v>
          </cell>
          <cell r="DL86">
            <v>6853.44</v>
          </cell>
          <cell r="DM86">
            <v>70073.495851086889</v>
          </cell>
          <cell r="DN86">
            <v>0</v>
          </cell>
          <cell r="DO86">
            <v>0</v>
          </cell>
          <cell r="DP86">
            <v>0</v>
          </cell>
          <cell r="DQ86">
            <v>87516.265851086893</v>
          </cell>
          <cell r="DR86">
            <v>0</v>
          </cell>
          <cell r="DS86">
            <v>0</v>
          </cell>
          <cell r="DT86">
            <v>0</v>
          </cell>
          <cell r="DU86">
            <v>0</v>
          </cell>
          <cell r="DV86">
            <v>0</v>
          </cell>
          <cell r="DW86">
            <v>0</v>
          </cell>
          <cell r="DX86">
            <v>0</v>
          </cell>
          <cell r="DY86">
            <v>13724.925658084418</v>
          </cell>
          <cell r="DZ86">
            <v>0</v>
          </cell>
          <cell r="EA86">
            <v>0</v>
          </cell>
          <cell r="EB86">
            <v>13724.925658084418</v>
          </cell>
          <cell r="EE86">
            <v>0</v>
          </cell>
          <cell r="EH86">
            <v>0</v>
          </cell>
          <cell r="EI86">
            <v>0</v>
          </cell>
          <cell r="EK86">
            <v>0</v>
          </cell>
          <cell r="EL86">
            <v>3879</v>
          </cell>
          <cell r="EM86">
            <v>0</v>
          </cell>
          <cell r="EO86">
            <v>3879</v>
          </cell>
          <cell r="EP86">
            <v>14802.588125592563</v>
          </cell>
          <cell r="EQ86">
            <v>74313.746958349104</v>
          </cell>
          <cell r="ER86">
            <v>1264175.2258308665</v>
          </cell>
          <cell r="ET86">
            <v>282.43157894736839</v>
          </cell>
          <cell r="EU86">
            <v>4476.0406415687949</v>
          </cell>
          <cell r="EV86" t="str">
            <v>No Variation Applied</v>
          </cell>
          <cell r="EW86">
            <v>72600</v>
          </cell>
          <cell r="EX86">
            <v>0</v>
          </cell>
          <cell r="EY86">
            <v>0</v>
          </cell>
          <cell r="EZ86">
            <v>248446.06062992013</v>
          </cell>
        </row>
        <row r="87">
          <cell r="C87" t="str">
            <v>Lawn Primary School</v>
          </cell>
          <cell r="D87">
            <v>2522</v>
          </cell>
          <cell r="F87" t="str">
            <v/>
          </cell>
          <cell r="G87">
            <v>0</v>
          </cell>
          <cell r="H87">
            <v>0</v>
          </cell>
          <cell r="I87">
            <v>0</v>
          </cell>
          <cell r="J87">
            <v>0</v>
          </cell>
          <cell r="L87">
            <v>0</v>
          </cell>
          <cell r="M87">
            <v>0</v>
          </cell>
          <cell r="N87">
            <v>0</v>
          </cell>
          <cell r="S87">
            <v>0</v>
          </cell>
          <cell r="T87">
            <v>0</v>
          </cell>
          <cell r="U87">
            <v>58</v>
          </cell>
          <cell r="Y87">
            <v>58</v>
          </cell>
          <cell r="Z87">
            <v>52</v>
          </cell>
          <cell r="AA87">
            <v>60</v>
          </cell>
          <cell r="AB87">
            <v>61</v>
          </cell>
          <cell r="AC87">
            <v>54</v>
          </cell>
          <cell r="AD87">
            <v>62</v>
          </cell>
          <cell r="AK87">
            <v>1047054.3018236394</v>
          </cell>
          <cell r="AL87">
            <v>405</v>
          </cell>
          <cell r="BS87">
            <v>0</v>
          </cell>
          <cell r="BT87">
            <v>0</v>
          </cell>
          <cell r="BU87">
            <v>0</v>
          </cell>
          <cell r="BV87">
            <v>0</v>
          </cell>
          <cell r="BW87">
            <v>0</v>
          </cell>
          <cell r="BX87">
            <v>0</v>
          </cell>
          <cell r="BY87">
            <v>0</v>
          </cell>
          <cell r="BZ87">
            <v>0</v>
          </cell>
          <cell r="CA87">
            <v>0</v>
          </cell>
          <cell r="CB87">
            <v>0</v>
          </cell>
          <cell r="CC87">
            <v>0</v>
          </cell>
          <cell r="CD87">
            <v>0</v>
          </cell>
          <cell r="CE87">
            <v>0</v>
          </cell>
          <cell r="CF87">
            <v>22680.611130037629</v>
          </cell>
          <cell r="CI87">
            <v>0</v>
          </cell>
          <cell r="CJ87">
            <v>0</v>
          </cell>
          <cell r="CK87">
            <v>8220.2800000000007</v>
          </cell>
          <cell r="CL87">
            <v>0</v>
          </cell>
          <cell r="CM87">
            <v>30900.891130037628</v>
          </cell>
          <cell r="CQ87">
            <v>1523.4619188921858</v>
          </cell>
          <cell r="CR87">
            <v>3215.54</v>
          </cell>
          <cell r="CS87">
            <v>4445.8757233276974</v>
          </cell>
          <cell r="CT87">
            <v>9184.8776422198825</v>
          </cell>
          <cell r="CU87">
            <v>0</v>
          </cell>
          <cell r="CV87">
            <v>0</v>
          </cell>
          <cell r="CW87">
            <v>0</v>
          </cell>
          <cell r="CX87">
            <v>0</v>
          </cell>
          <cell r="CZ87">
            <v>0</v>
          </cell>
          <cell r="DC87">
            <v>0</v>
          </cell>
          <cell r="DD87">
            <v>22577.892979318261</v>
          </cell>
          <cell r="DE87">
            <v>18645.277364815625</v>
          </cell>
          <cell r="DF87">
            <v>2568.3522742578525</v>
          </cell>
          <cell r="DG87">
            <v>0</v>
          </cell>
          <cell r="DH87">
            <v>0</v>
          </cell>
          <cell r="DI87">
            <v>43791.52261839174</v>
          </cell>
          <cell r="DJ87">
            <v>0</v>
          </cell>
          <cell r="DK87">
            <v>16488</v>
          </cell>
          <cell r="DL87">
            <v>6802.68</v>
          </cell>
          <cell r="DM87">
            <v>70073.495851086889</v>
          </cell>
          <cell r="DN87">
            <v>0</v>
          </cell>
          <cell r="DO87">
            <v>0</v>
          </cell>
          <cell r="DP87">
            <v>0</v>
          </cell>
          <cell r="DQ87">
            <v>93364.175851086882</v>
          </cell>
          <cell r="DR87">
            <v>0</v>
          </cell>
          <cell r="DS87">
            <v>0</v>
          </cell>
          <cell r="DT87">
            <v>0</v>
          </cell>
          <cell r="DU87">
            <v>0</v>
          </cell>
          <cell r="DV87">
            <v>0</v>
          </cell>
          <cell r="DW87">
            <v>0</v>
          </cell>
          <cell r="DX87">
            <v>0</v>
          </cell>
          <cell r="DY87">
            <v>5228.5431078416832</v>
          </cell>
          <cell r="DZ87">
            <v>0</v>
          </cell>
          <cell r="EA87">
            <v>0</v>
          </cell>
          <cell r="EB87">
            <v>5228.5431078416832</v>
          </cell>
          <cell r="EE87">
            <v>0</v>
          </cell>
          <cell r="EH87">
            <v>0</v>
          </cell>
          <cell r="EI87">
            <v>0</v>
          </cell>
          <cell r="EK87">
            <v>0</v>
          </cell>
          <cell r="EL87">
            <v>0</v>
          </cell>
          <cell r="EM87">
            <v>0</v>
          </cell>
          <cell r="EO87">
            <v>0</v>
          </cell>
          <cell r="EP87">
            <v>0</v>
          </cell>
          <cell r="EQ87">
            <v>0</v>
          </cell>
          <cell r="ER87">
            <v>1229524.3121732173</v>
          </cell>
          <cell r="ET87">
            <v>405</v>
          </cell>
          <cell r="EU87">
            <v>3035.8624991931292</v>
          </cell>
          <cell r="EV87" t="str">
            <v>No Variation Applied</v>
          </cell>
          <cell r="EW87">
            <v>17900</v>
          </cell>
          <cell r="EX87">
            <v>0</v>
          </cell>
          <cell r="EY87">
            <v>0</v>
          </cell>
          <cell r="EZ87">
            <v>52101.07437145619</v>
          </cell>
        </row>
        <row r="88">
          <cell r="C88" t="str">
            <v>Derwent Community School</v>
          </cell>
          <cell r="D88">
            <v>2619</v>
          </cell>
          <cell r="F88" t="str">
            <v/>
          </cell>
          <cell r="G88">
            <v>0</v>
          </cell>
          <cell r="H88">
            <v>20520</v>
          </cell>
          <cell r="I88">
            <v>0</v>
          </cell>
          <cell r="J88">
            <v>0</v>
          </cell>
          <cell r="L88">
            <v>71746.769074476062</v>
          </cell>
          <cell r="M88">
            <v>20520</v>
          </cell>
          <cell r="N88">
            <v>21.6</v>
          </cell>
          <cell r="S88">
            <v>0</v>
          </cell>
          <cell r="T88">
            <v>0</v>
          </cell>
          <cell r="U88">
            <v>30</v>
          </cell>
          <cell r="Y88">
            <v>25</v>
          </cell>
          <cell r="Z88">
            <v>27</v>
          </cell>
          <cell r="AA88">
            <v>28</v>
          </cell>
          <cell r="AB88">
            <v>27</v>
          </cell>
          <cell r="AC88">
            <v>22</v>
          </cell>
          <cell r="AD88">
            <v>22</v>
          </cell>
          <cell r="AK88">
            <v>468981.53098626423</v>
          </cell>
          <cell r="AL88">
            <v>181</v>
          </cell>
          <cell r="BS88">
            <v>9516.2639999999992</v>
          </cell>
          <cell r="BT88">
            <v>0</v>
          </cell>
          <cell r="BU88">
            <v>116.05200000000001</v>
          </cell>
          <cell r="BV88">
            <v>0</v>
          </cell>
          <cell r="BW88">
            <v>0</v>
          </cell>
          <cell r="BX88">
            <v>-3039.4257999999973</v>
          </cell>
          <cell r="BY88">
            <v>0</v>
          </cell>
          <cell r="BZ88">
            <v>3011.5493999999999</v>
          </cell>
          <cell r="CA88">
            <v>0</v>
          </cell>
          <cell r="CB88">
            <v>0</v>
          </cell>
          <cell r="CC88">
            <v>0</v>
          </cell>
          <cell r="CD88">
            <v>0</v>
          </cell>
          <cell r="CE88">
            <v>9604.4396000000015</v>
          </cell>
          <cell r="CF88">
            <v>11340.305565018814</v>
          </cell>
          <cell r="CI88">
            <v>0</v>
          </cell>
          <cell r="CJ88">
            <v>0</v>
          </cell>
          <cell r="CK88">
            <v>3673.76</v>
          </cell>
          <cell r="CL88">
            <v>1027.2840544245462</v>
          </cell>
          <cell r="CM88">
            <v>16041.349619443361</v>
          </cell>
          <cell r="CQ88">
            <v>6093.8476755687434</v>
          </cell>
          <cell r="CR88">
            <v>3818.46</v>
          </cell>
          <cell r="CS88">
            <v>1212.5115609075538</v>
          </cell>
          <cell r="CT88">
            <v>11124.819236476298</v>
          </cell>
          <cell r="CU88">
            <v>2502.698959183982</v>
          </cell>
          <cell r="CV88">
            <v>0</v>
          </cell>
          <cell r="CW88">
            <v>2502.698959183982</v>
          </cell>
          <cell r="CX88">
            <v>0</v>
          </cell>
          <cell r="CZ88">
            <v>0</v>
          </cell>
          <cell r="DC88">
            <v>0</v>
          </cell>
          <cell r="DD88">
            <v>146881.65517570861</v>
          </cell>
          <cell r="DE88">
            <v>105277.60268182481</v>
          </cell>
          <cell r="DF88">
            <v>7705.0568227735575</v>
          </cell>
          <cell r="DG88">
            <v>0</v>
          </cell>
          <cell r="DH88">
            <v>0</v>
          </cell>
          <cell r="DI88">
            <v>259864.31468030697</v>
          </cell>
          <cell r="DJ88">
            <v>0</v>
          </cell>
          <cell r="DK88">
            <v>26106</v>
          </cell>
          <cell r="DL88">
            <v>4324.1400000000003</v>
          </cell>
          <cell r="DM88">
            <v>70073.495851086889</v>
          </cell>
          <cell r="DN88">
            <v>0</v>
          </cell>
          <cell r="DO88">
            <v>0</v>
          </cell>
          <cell r="DP88">
            <v>0</v>
          </cell>
          <cell r="DQ88">
            <v>100503.63585108689</v>
          </cell>
          <cell r="DR88">
            <v>0</v>
          </cell>
          <cell r="DS88">
            <v>0</v>
          </cell>
          <cell r="DT88">
            <v>0</v>
          </cell>
          <cell r="DU88">
            <v>0</v>
          </cell>
          <cell r="DV88">
            <v>0</v>
          </cell>
          <cell r="DW88">
            <v>0</v>
          </cell>
          <cell r="DX88">
            <v>0</v>
          </cell>
          <cell r="DY88">
            <v>6208.8949405619987</v>
          </cell>
          <cell r="DZ88">
            <v>0</v>
          </cell>
          <cell r="EA88">
            <v>0</v>
          </cell>
          <cell r="EB88">
            <v>6208.8949405619987</v>
          </cell>
          <cell r="EE88">
            <v>0</v>
          </cell>
          <cell r="EH88">
            <v>0</v>
          </cell>
          <cell r="EI88">
            <v>10885.09204</v>
          </cell>
          <cell r="EK88">
            <v>0</v>
          </cell>
          <cell r="EL88">
            <v>5256</v>
          </cell>
          <cell r="EM88">
            <v>0</v>
          </cell>
          <cell r="EO88">
            <v>16141.09204</v>
          </cell>
          <cell r="EP88">
            <v>0</v>
          </cell>
          <cell r="EQ88">
            <v>81351.20867447606</v>
          </cell>
          <cell r="ER88">
            <v>962719.54498779995</v>
          </cell>
          <cell r="ET88">
            <v>202.6</v>
          </cell>
          <cell r="EU88">
            <v>4751.8240127729514</v>
          </cell>
          <cell r="EV88" t="str">
            <v>No Variation Applied</v>
          </cell>
          <cell r="EW88">
            <v>75250</v>
          </cell>
          <cell r="EX88">
            <v>0</v>
          </cell>
          <cell r="EY88">
            <v>0</v>
          </cell>
          <cell r="EZ88">
            <v>183930.0629256425</v>
          </cell>
        </row>
        <row r="89">
          <cell r="C89" t="str">
            <v>Mickleover Primary School</v>
          </cell>
          <cell r="D89">
            <v>2627</v>
          </cell>
          <cell r="F89" t="str">
            <v/>
          </cell>
          <cell r="G89">
            <v>0</v>
          </cell>
          <cell r="H89">
            <v>0</v>
          </cell>
          <cell r="I89">
            <v>0</v>
          </cell>
          <cell r="J89">
            <v>0</v>
          </cell>
          <cell r="L89">
            <v>0</v>
          </cell>
          <cell r="M89">
            <v>0</v>
          </cell>
          <cell r="N89">
            <v>0</v>
          </cell>
          <cell r="S89">
            <v>0</v>
          </cell>
          <cell r="T89">
            <v>0</v>
          </cell>
          <cell r="U89">
            <v>60</v>
          </cell>
          <cell r="Y89">
            <v>55</v>
          </cell>
          <cell r="Z89">
            <v>55</v>
          </cell>
          <cell r="AA89">
            <v>55</v>
          </cell>
          <cell r="AB89">
            <v>57</v>
          </cell>
          <cell r="AC89">
            <v>53</v>
          </cell>
          <cell r="AD89">
            <v>54</v>
          </cell>
          <cell r="AK89">
            <v>1006620.404662634</v>
          </cell>
          <cell r="AL89">
            <v>389</v>
          </cell>
          <cell r="BS89">
            <v>0</v>
          </cell>
          <cell r="BT89">
            <v>0</v>
          </cell>
          <cell r="BU89">
            <v>0</v>
          </cell>
          <cell r="BV89">
            <v>0</v>
          </cell>
          <cell r="BW89">
            <v>0</v>
          </cell>
          <cell r="BX89">
            <v>0</v>
          </cell>
          <cell r="BY89">
            <v>0</v>
          </cell>
          <cell r="BZ89">
            <v>0</v>
          </cell>
          <cell r="CA89">
            <v>0</v>
          </cell>
          <cell r="CB89">
            <v>0</v>
          </cell>
          <cell r="CC89">
            <v>0</v>
          </cell>
          <cell r="CD89">
            <v>0</v>
          </cell>
          <cell r="CE89">
            <v>0</v>
          </cell>
          <cell r="CF89">
            <v>22680.611130037629</v>
          </cell>
          <cell r="CI89">
            <v>0</v>
          </cell>
          <cell r="CJ89">
            <v>0</v>
          </cell>
          <cell r="CK89">
            <v>7895.53</v>
          </cell>
          <cell r="CL89">
            <v>5386.5081505406924</v>
          </cell>
          <cell r="CM89">
            <v>35962.64928057832</v>
          </cell>
          <cell r="CQ89">
            <v>6855.5786350148364</v>
          </cell>
          <cell r="CR89">
            <v>9043.7099999999991</v>
          </cell>
          <cell r="CS89">
            <v>4850.046243630215</v>
          </cell>
          <cell r="CT89">
            <v>20749.334878645052</v>
          </cell>
          <cell r="CU89">
            <v>3003.2387510207782</v>
          </cell>
          <cell r="CV89">
            <v>9009.7162530623336</v>
          </cell>
          <cell r="CW89">
            <v>12012.955004083113</v>
          </cell>
          <cell r="CX89">
            <v>0</v>
          </cell>
          <cell r="CZ89">
            <v>0</v>
          </cell>
          <cell r="DC89">
            <v>0</v>
          </cell>
          <cell r="DD89">
            <v>23801.906772449169</v>
          </cell>
          <cell r="DE89">
            <v>19100.040227372101</v>
          </cell>
          <cell r="DF89">
            <v>2568.3522742578525</v>
          </cell>
          <cell r="DG89">
            <v>0</v>
          </cell>
          <cell r="DH89">
            <v>0</v>
          </cell>
          <cell r="DI89">
            <v>45470.299274079123</v>
          </cell>
          <cell r="DJ89">
            <v>0</v>
          </cell>
          <cell r="DK89">
            <v>19236</v>
          </cell>
          <cell r="DL89">
            <v>5561.39</v>
          </cell>
          <cell r="DM89">
            <v>70073.495851086889</v>
          </cell>
          <cell r="DN89">
            <v>0</v>
          </cell>
          <cell r="DO89">
            <v>0</v>
          </cell>
          <cell r="DP89">
            <v>0</v>
          </cell>
          <cell r="DQ89">
            <v>94870.885851086889</v>
          </cell>
          <cell r="DR89">
            <v>0</v>
          </cell>
          <cell r="DS89">
            <v>0</v>
          </cell>
          <cell r="DT89">
            <v>0</v>
          </cell>
          <cell r="DU89">
            <v>0</v>
          </cell>
          <cell r="DV89">
            <v>0</v>
          </cell>
          <cell r="DW89">
            <v>0</v>
          </cell>
          <cell r="DX89">
            <v>0</v>
          </cell>
          <cell r="DY89">
            <v>6535.6788848021042</v>
          </cell>
          <cell r="DZ89">
            <v>0</v>
          </cell>
          <cell r="EA89">
            <v>0</v>
          </cell>
          <cell r="EB89">
            <v>6535.6788848021042</v>
          </cell>
          <cell r="EE89">
            <v>0</v>
          </cell>
          <cell r="EH89">
            <v>0</v>
          </cell>
          <cell r="EI89">
            <v>0</v>
          </cell>
          <cell r="EK89">
            <v>0</v>
          </cell>
          <cell r="EL89">
            <v>626</v>
          </cell>
          <cell r="EM89">
            <v>0</v>
          </cell>
          <cell r="EO89">
            <v>626</v>
          </cell>
          <cell r="EP89">
            <v>0</v>
          </cell>
          <cell r="EQ89">
            <v>0</v>
          </cell>
          <cell r="ER89">
            <v>1222848.2078359087</v>
          </cell>
          <cell r="ET89">
            <v>389</v>
          </cell>
          <cell r="EU89">
            <v>3143.568657675858</v>
          </cell>
          <cell r="EV89" t="str">
            <v>No Variation Applied</v>
          </cell>
          <cell r="EW89">
            <v>16800</v>
          </cell>
          <cell r="EX89">
            <v>0</v>
          </cell>
          <cell r="EY89">
            <v>0</v>
          </cell>
          <cell r="EZ89">
            <v>77134.363080374664</v>
          </cell>
        </row>
        <row r="90">
          <cell r="C90" t="str">
            <v>Arboretum Primary School</v>
          </cell>
          <cell r="D90">
            <v>2629</v>
          </cell>
          <cell r="F90" t="str">
            <v/>
          </cell>
          <cell r="G90">
            <v>0</v>
          </cell>
          <cell r="H90">
            <v>40500</v>
          </cell>
          <cell r="I90">
            <v>0</v>
          </cell>
          <cell r="J90">
            <v>0</v>
          </cell>
          <cell r="L90">
            <v>141605.46527857118</v>
          </cell>
          <cell r="M90">
            <v>40500</v>
          </cell>
          <cell r="N90">
            <v>42.631578947368418</v>
          </cell>
          <cell r="S90">
            <v>0</v>
          </cell>
          <cell r="T90">
            <v>0</v>
          </cell>
          <cell r="U90">
            <v>45</v>
          </cell>
          <cell r="Y90">
            <v>44</v>
          </cell>
          <cell r="Z90">
            <v>44</v>
          </cell>
          <cell r="AA90">
            <v>44</v>
          </cell>
          <cell r="AB90">
            <v>45</v>
          </cell>
          <cell r="AC90">
            <v>45</v>
          </cell>
          <cell r="AD90">
            <v>42</v>
          </cell>
          <cell r="AK90">
            <v>798631.42749684514</v>
          </cell>
          <cell r="AL90">
            <v>309</v>
          </cell>
          <cell r="BS90">
            <v>26227.752000000004</v>
          </cell>
          <cell r="BT90">
            <v>0</v>
          </cell>
          <cell r="BU90">
            <v>6614.9639999999999</v>
          </cell>
          <cell r="BV90">
            <v>0</v>
          </cell>
          <cell r="BW90">
            <v>0</v>
          </cell>
          <cell r="BX90">
            <v>-3244.5777999999991</v>
          </cell>
          <cell r="BY90">
            <v>0</v>
          </cell>
          <cell r="BZ90">
            <v>3011.5493999999999</v>
          </cell>
          <cell r="CA90">
            <v>0</v>
          </cell>
          <cell r="CB90">
            <v>0</v>
          </cell>
          <cell r="CC90">
            <v>0</v>
          </cell>
          <cell r="CD90">
            <v>0</v>
          </cell>
          <cell r="CE90">
            <v>32609.687600000001</v>
          </cell>
          <cell r="CF90">
            <v>22680.611130037629</v>
          </cell>
          <cell r="CI90">
            <v>0</v>
          </cell>
          <cell r="CJ90">
            <v>0</v>
          </cell>
          <cell r="CK90">
            <v>6271.77</v>
          </cell>
          <cell r="CL90">
            <v>2177.6882951471657</v>
          </cell>
          <cell r="CM90">
            <v>31130.069425184796</v>
          </cell>
          <cell r="CQ90">
            <v>15234.619188921859</v>
          </cell>
          <cell r="CR90">
            <v>50845.77</v>
          </cell>
          <cell r="CS90">
            <v>54967.190761142439</v>
          </cell>
          <cell r="CT90">
            <v>121047.57995006429</v>
          </cell>
          <cell r="CU90">
            <v>0</v>
          </cell>
          <cell r="CV90">
            <v>0</v>
          </cell>
          <cell r="CW90">
            <v>0</v>
          </cell>
          <cell r="CX90">
            <v>146920.57861599582</v>
          </cell>
          <cell r="CZ90">
            <v>146920.57861599582</v>
          </cell>
          <cell r="DC90">
            <v>0</v>
          </cell>
          <cell r="DD90">
            <v>138490.52447340157</v>
          </cell>
          <cell r="DE90">
            <v>200323.04095612885</v>
          </cell>
          <cell r="DF90">
            <v>7705.0568227735575</v>
          </cell>
          <cell r="DG90">
            <v>0</v>
          </cell>
          <cell r="DH90">
            <v>0</v>
          </cell>
          <cell r="DI90">
            <v>346518.62225230399</v>
          </cell>
          <cell r="DJ90">
            <v>0</v>
          </cell>
          <cell r="DK90">
            <v>25877</v>
          </cell>
          <cell r="DL90">
            <v>5534.35</v>
          </cell>
          <cell r="DM90">
            <v>70073.495851086889</v>
          </cell>
          <cell r="DN90">
            <v>0</v>
          </cell>
          <cell r="DO90">
            <v>0</v>
          </cell>
          <cell r="DP90">
            <v>0</v>
          </cell>
          <cell r="DQ90">
            <v>101484.84585108689</v>
          </cell>
          <cell r="DR90">
            <v>0</v>
          </cell>
          <cell r="DS90">
            <v>0</v>
          </cell>
          <cell r="DT90">
            <v>0</v>
          </cell>
          <cell r="DU90">
            <v>0</v>
          </cell>
          <cell r="DV90">
            <v>0</v>
          </cell>
          <cell r="DW90">
            <v>0</v>
          </cell>
          <cell r="DX90">
            <v>0</v>
          </cell>
          <cell r="DY90">
            <v>8169.5986060026298</v>
          </cell>
          <cell r="DZ90">
            <v>0</v>
          </cell>
          <cell r="EA90">
            <v>0</v>
          </cell>
          <cell r="EB90">
            <v>8169.5986060026298</v>
          </cell>
          <cell r="EE90">
            <v>0</v>
          </cell>
          <cell r="EH90">
            <v>0</v>
          </cell>
          <cell r="EI90">
            <v>0</v>
          </cell>
          <cell r="EK90">
            <v>0</v>
          </cell>
          <cell r="EL90">
            <v>0</v>
          </cell>
          <cell r="EM90">
            <v>0</v>
          </cell>
          <cell r="EO90">
            <v>0</v>
          </cell>
          <cell r="EP90">
            <v>37135.745870695217</v>
          </cell>
          <cell r="EQ90">
            <v>174215.15287857119</v>
          </cell>
          <cell r="ER90">
            <v>1765253.6209467498</v>
          </cell>
          <cell r="ET90">
            <v>351.63157894736844</v>
          </cell>
          <cell r="EU90">
            <v>5020.1794339153184</v>
          </cell>
          <cell r="EV90" t="str">
            <v>No Variation Applied</v>
          </cell>
          <cell r="EW90">
            <v>66600</v>
          </cell>
          <cell r="EX90">
            <v>0</v>
          </cell>
          <cell r="EY90">
            <v>0</v>
          </cell>
          <cell r="EZ90">
            <v>389953.32970996998</v>
          </cell>
        </row>
        <row r="91">
          <cell r="C91" t="str">
            <v>Derby St Chad's CofE (VC) Nursery and Infant School</v>
          </cell>
          <cell r="D91">
            <v>3158</v>
          </cell>
          <cell r="F91" t="str">
            <v/>
          </cell>
          <cell r="G91">
            <v>0</v>
          </cell>
          <cell r="H91">
            <v>32670</v>
          </cell>
          <cell r="I91">
            <v>0</v>
          </cell>
          <cell r="J91">
            <v>0</v>
          </cell>
          <cell r="L91">
            <v>114228.40865804742</v>
          </cell>
          <cell r="M91">
            <v>32670</v>
          </cell>
          <cell r="N91">
            <v>34.389473684210529</v>
          </cell>
          <cell r="S91">
            <v>0</v>
          </cell>
          <cell r="T91">
            <v>0</v>
          </cell>
          <cell r="U91">
            <v>40</v>
          </cell>
          <cell r="Y91">
            <v>41</v>
          </cell>
          <cell r="Z91">
            <v>38</v>
          </cell>
          <cell r="AA91">
            <v>0</v>
          </cell>
          <cell r="AB91">
            <v>0</v>
          </cell>
          <cell r="AC91">
            <v>0</v>
          </cell>
          <cell r="AD91">
            <v>0</v>
          </cell>
          <cell r="AK91">
            <v>309847.21345507959</v>
          </cell>
          <cell r="AL91">
            <v>119</v>
          </cell>
          <cell r="BS91">
            <v>21121.464</v>
          </cell>
          <cell r="BT91">
            <v>0</v>
          </cell>
          <cell r="BU91">
            <v>5918.652</v>
          </cell>
          <cell r="BV91">
            <v>0</v>
          </cell>
          <cell r="BW91">
            <v>0</v>
          </cell>
          <cell r="BX91">
            <v>4676.6003999999957</v>
          </cell>
          <cell r="BY91">
            <v>0</v>
          </cell>
          <cell r="BZ91">
            <v>3011.5493999999999</v>
          </cell>
          <cell r="CA91">
            <v>0</v>
          </cell>
          <cell r="CB91">
            <v>0</v>
          </cell>
          <cell r="CC91">
            <v>0</v>
          </cell>
          <cell r="CD91">
            <v>0</v>
          </cell>
          <cell r="CE91">
            <v>34728.265799999994</v>
          </cell>
          <cell r="CF91">
            <v>22680.611130037629</v>
          </cell>
          <cell r="CI91">
            <v>0</v>
          </cell>
          <cell r="CJ91">
            <v>0</v>
          </cell>
          <cell r="CK91">
            <v>2415.34</v>
          </cell>
          <cell r="CL91">
            <v>788.73869347202992</v>
          </cell>
          <cell r="CM91">
            <v>25884.68982350966</v>
          </cell>
          <cell r="CQ91">
            <v>9140.7715133531146</v>
          </cell>
          <cell r="CR91">
            <v>19293.259999999998</v>
          </cell>
          <cell r="CS91">
            <v>16773.076592554495</v>
          </cell>
          <cell r="CT91">
            <v>45207.10810590761</v>
          </cell>
          <cell r="CU91">
            <v>2502.698959183982</v>
          </cell>
          <cell r="CV91">
            <v>0</v>
          </cell>
          <cell r="CW91">
            <v>2502.698959183982</v>
          </cell>
          <cell r="CX91">
            <v>0</v>
          </cell>
          <cell r="CZ91">
            <v>0</v>
          </cell>
          <cell r="DC91">
            <v>0</v>
          </cell>
          <cell r="DD91">
            <v>45185.280266904738</v>
          </cell>
          <cell r="DE91">
            <v>75718.016615653687</v>
          </cell>
          <cell r="DF91">
            <v>856.11742475261747</v>
          </cell>
          <cell r="DG91">
            <v>0</v>
          </cell>
          <cell r="DH91">
            <v>0</v>
          </cell>
          <cell r="DI91">
            <v>121759.41430731105</v>
          </cell>
          <cell r="DJ91">
            <v>0</v>
          </cell>
          <cell r="DK91">
            <v>1359.48</v>
          </cell>
          <cell r="DL91">
            <v>2248.44</v>
          </cell>
          <cell r="DM91">
            <v>74722.185859261808</v>
          </cell>
          <cell r="DN91">
            <v>0</v>
          </cell>
          <cell r="DO91">
            <v>0</v>
          </cell>
          <cell r="DP91">
            <v>0</v>
          </cell>
          <cell r="DQ91">
            <v>78330.105859261806</v>
          </cell>
          <cell r="DR91">
            <v>0</v>
          </cell>
          <cell r="DS91">
            <v>0</v>
          </cell>
          <cell r="DT91">
            <v>0</v>
          </cell>
          <cell r="DU91">
            <v>0</v>
          </cell>
          <cell r="DV91">
            <v>0</v>
          </cell>
          <cell r="DW91">
            <v>0</v>
          </cell>
          <cell r="DX91">
            <v>0</v>
          </cell>
          <cell r="DY91">
            <v>3267.8394424010521</v>
          </cell>
          <cell r="DZ91">
            <v>0</v>
          </cell>
          <cell r="EA91">
            <v>1866.5219672743483</v>
          </cell>
          <cell r="EB91">
            <v>5134.3614096754009</v>
          </cell>
          <cell r="EE91">
            <v>0</v>
          </cell>
          <cell r="EH91">
            <v>0</v>
          </cell>
          <cell r="EI91">
            <v>0</v>
          </cell>
          <cell r="EK91">
            <v>0</v>
          </cell>
          <cell r="EL91">
            <v>1502</v>
          </cell>
          <cell r="EM91">
            <v>0</v>
          </cell>
          <cell r="EO91">
            <v>1502</v>
          </cell>
          <cell r="EP91">
            <v>16415.275421207887</v>
          </cell>
          <cell r="EQ91">
            <v>148956.67445804743</v>
          </cell>
          <cell r="ER91">
            <v>755539.54179918452</v>
          </cell>
          <cell r="ET91">
            <v>153.38947368421054</v>
          </cell>
          <cell r="EU91">
            <v>4925.6283606177958</v>
          </cell>
          <cell r="EV91" t="str">
            <v>No Variation Applied</v>
          </cell>
          <cell r="EW91">
            <v>23400</v>
          </cell>
          <cell r="EX91">
            <v>0</v>
          </cell>
          <cell r="EY91">
            <v>0</v>
          </cell>
          <cell r="EZ91">
            <v>94167.494455598964</v>
          </cell>
        </row>
        <row r="92">
          <cell r="C92" t="str">
            <v>Bishop Lonsdale Church of England Aided Primary School and Nursery</v>
          </cell>
          <cell r="D92">
            <v>3525</v>
          </cell>
          <cell r="F92" t="str">
            <v/>
          </cell>
          <cell r="G92">
            <v>0</v>
          </cell>
          <cell r="H92">
            <v>26214</v>
          </cell>
          <cell r="I92">
            <v>0</v>
          </cell>
          <cell r="J92">
            <v>0</v>
          </cell>
          <cell r="L92">
            <v>91655.448563270736</v>
          </cell>
          <cell r="M92">
            <v>26214</v>
          </cell>
          <cell r="N92">
            <v>27.593684210526316</v>
          </cell>
          <cell r="S92">
            <v>0</v>
          </cell>
          <cell r="T92">
            <v>0</v>
          </cell>
          <cell r="U92">
            <v>30</v>
          </cell>
          <cell r="Y92">
            <v>29</v>
          </cell>
          <cell r="Z92">
            <v>30</v>
          </cell>
          <cell r="AA92">
            <v>29</v>
          </cell>
          <cell r="AB92">
            <v>29</v>
          </cell>
          <cell r="AC92">
            <v>28</v>
          </cell>
          <cell r="AD92">
            <v>27</v>
          </cell>
          <cell r="AK92">
            <v>522104.0812722363</v>
          </cell>
          <cell r="AL92">
            <v>202</v>
          </cell>
          <cell r="BS92">
            <v>5013.4464000000007</v>
          </cell>
          <cell r="BT92">
            <v>0</v>
          </cell>
          <cell r="BU92">
            <v>417.78720000000004</v>
          </cell>
          <cell r="BV92">
            <v>0</v>
          </cell>
          <cell r="BW92">
            <v>0</v>
          </cell>
          <cell r="BX92">
            <v>-2174.6742000000086</v>
          </cell>
          <cell r="BY92">
            <v>0</v>
          </cell>
          <cell r="BZ92">
            <v>1003.8498</v>
          </cell>
          <cell r="CA92">
            <v>0</v>
          </cell>
          <cell r="CB92">
            <v>0</v>
          </cell>
          <cell r="CC92">
            <v>0</v>
          </cell>
          <cell r="CD92">
            <v>0</v>
          </cell>
          <cell r="CE92">
            <v>4260.4091999999919</v>
          </cell>
          <cell r="CF92">
            <v>11340.305565018814</v>
          </cell>
          <cell r="CI92">
            <v>0</v>
          </cell>
          <cell r="CJ92">
            <v>0</v>
          </cell>
          <cell r="CK92">
            <v>4099.99</v>
          </cell>
          <cell r="CL92">
            <v>2535.5063365759402</v>
          </cell>
          <cell r="CM92">
            <v>17975.801901594754</v>
          </cell>
          <cell r="CQ92">
            <v>6855.5786350148364</v>
          </cell>
          <cell r="CR92">
            <v>4823.3100000000004</v>
          </cell>
          <cell r="CS92">
            <v>11114.689308319244</v>
          </cell>
          <cell r="CT92">
            <v>22793.577943334079</v>
          </cell>
          <cell r="CU92">
            <v>14515.653963267096</v>
          </cell>
          <cell r="CV92">
            <v>0</v>
          </cell>
          <cell r="CW92">
            <v>14515.653963267096</v>
          </cell>
          <cell r="CX92">
            <v>0</v>
          </cell>
          <cell r="CZ92">
            <v>0</v>
          </cell>
          <cell r="DC92">
            <v>0</v>
          </cell>
          <cell r="DD92">
            <v>75092.508850874321</v>
          </cell>
          <cell r="DE92">
            <v>63666.800757907011</v>
          </cell>
          <cell r="DF92">
            <v>6848.9393980209397</v>
          </cell>
          <cell r="DG92">
            <v>0</v>
          </cell>
          <cell r="DH92">
            <v>0</v>
          </cell>
          <cell r="DI92">
            <v>145608.24900680227</v>
          </cell>
          <cell r="DJ92">
            <v>0</v>
          </cell>
          <cell r="DK92">
            <v>4946.3999999999996</v>
          </cell>
          <cell r="DL92">
            <v>1797.04</v>
          </cell>
          <cell r="DM92">
            <v>70073.495851086889</v>
          </cell>
          <cell r="DN92">
            <v>0</v>
          </cell>
          <cell r="DO92">
            <v>0</v>
          </cell>
          <cell r="DP92">
            <v>0</v>
          </cell>
          <cell r="DQ92">
            <v>76816.935851086891</v>
          </cell>
          <cell r="DR92">
            <v>0</v>
          </cell>
          <cell r="DS92">
            <v>0</v>
          </cell>
          <cell r="DT92">
            <v>0</v>
          </cell>
          <cell r="DU92">
            <v>0</v>
          </cell>
          <cell r="DV92">
            <v>0</v>
          </cell>
          <cell r="DW92">
            <v>0</v>
          </cell>
          <cell r="DX92">
            <v>0</v>
          </cell>
          <cell r="DY92">
            <v>5228.5431078416832</v>
          </cell>
          <cell r="DZ92">
            <v>697.62975539376976</v>
          </cell>
          <cell r="EA92">
            <v>0</v>
          </cell>
          <cell r="EB92">
            <v>5926.1728632354534</v>
          </cell>
          <cell r="EE92">
            <v>0</v>
          </cell>
          <cell r="EH92">
            <v>0</v>
          </cell>
          <cell r="EI92">
            <v>0</v>
          </cell>
          <cell r="EK92">
            <v>0</v>
          </cell>
          <cell r="EL92">
            <v>8259</v>
          </cell>
          <cell r="EM92">
            <v>0</v>
          </cell>
          <cell r="EO92">
            <v>8259</v>
          </cell>
          <cell r="EP92">
            <v>13347.972446721629</v>
          </cell>
          <cell r="EQ92">
            <v>95915.857763270731</v>
          </cell>
          <cell r="ER92">
            <v>923263.30301154929</v>
          </cell>
          <cell r="ET92">
            <v>229.59368421052631</v>
          </cell>
          <cell r="EU92">
            <v>4021.2922502038928</v>
          </cell>
          <cell r="EV92" t="str">
            <v>No Variation Applied</v>
          </cell>
          <cell r="EW92">
            <v>37800</v>
          </cell>
          <cell r="EX92">
            <v>0</v>
          </cell>
          <cell r="EY92">
            <v>0</v>
          </cell>
          <cell r="EZ92">
            <v>123258.8410449239</v>
          </cell>
        </row>
        <row r="93">
          <cell r="C93" t="str">
            <v>St James' Church of England Aided Infant School</v>
          </cell>
          <cell r="D93">
            <v>3526</v>
          </cell>
          <cell r="F93" t="str">
            <v/>
          </cell>
          <cell r="G93">
            <v>0</v>
          </cell>
          <cell r="H93">
            <v>20430</v>
          </cell>
          <cell r="I93">
            <v>0</v>
          </cell>
          <cell r="J93">
            <v>0</v>
          </cell>
          <cell r="L93">
            <v>71432.0902627459</v>
          </cell>
          <cell r="M93">
            <v>20430</v>
          </cell>
          <cell r="N93">
            <v>21.505263157894738</v>
          </cell>
          <cell r="S93">
            <v>0</v>
          </cell>
          <cell r="T93">
            <v>0</v>
          </cell>
          <cell r="U93">
            <v>28</v>
          </cell>
          <cell r="Y93">
            <v>30</v>
          </cell>
          <cell r="Z93">
            <v>30</v>
          </cell>
          <cell r="AA93">
            <v>0</v>
          </cell>
          <cell r="AB93">
            <v>0</v>
          </cell>
          <cell r="AC93">
            <v>0</v>
          </cell>
          <cell r="AD93">
            <v>0</v>
          </cell>
          <cell r="AK93">
            <v>228409.59805691283</v>
          </cell>
          <cell r="AL93">
            <v>88</v>
          </cell>
          <cell r="BS93">
            <v>11489.148000000001</v>
          </cell>
          <cell r="BT93">
            <v>0</v>
          </cell>
          <cell r="BU93">
            <v>2204.9880000000003</v>
          </cell>
          <cell r="BV93">
            <v>0</v>
          </cell>
          <cell r="BW93">
            <v>0</v>
          </cell>
          <cell r="BX93">
            <v>-16409.817800000004</v>
          </cell>
          <cell r="BY93">
            <v>0</v>
          </cell>
          <cell r="BZ93">
            <v>2007.6995999999999</v>
          </cell>
          <cell r="CA93">
            <v>0</v>
          </cell>
          <cell r="CB93">
            <v>0</v>
          </cell>
          <cell r="CC93">
            <v>0</v>
          </cell>
          <cell r="CD93">
            <v>0</v>
          </cell>
          <cell r="CE93">
            <v>-707.98220000000219</v>
          </cell>
          <cell r="CF93">
            <v>11340.305565018814</v>
          </cell>
          <cell r="CI93">
            <v>0</v>
          </cell>
          <cell r="CJ93">
            <v>1522.79</v>
          </cell>
          <cell r="CK93">
            <v>1786.14</v>
          </cell>
          <cell r="CL93">
            <v>977.26647874095408</v>
          </cell>
          <cell r="CM93">
            <v>15626.502043759769</v>
          </cell>
          <cell r="CQ93">
            <v>5332.1167161226504</v>
          </cell>
          <cell r="CR93">
            <v>9445.66</v>
          </cell>
          <cell r="CS93">
            <v>10508.433527865467</v>
          </cell>
          <cell r="CT93">
            <v>25286.21024398812</v>
          </cell>
          <cell r="CU93">
            <v>0</v>
          </cell>
          <cell r="CV93">
            <v>0</v>
          </cell>
          <cell r="CW93">
            <v>0</v>
          </cell>
          <cell r="CX93">
            <v>0</v>
          </cell>
          <cell r="CZ93">
            <v>0</v>
          </cell>
          <cell r="DC93">
            <v>0</v>
          </cell>
          <cell r="DD93">
            <v>37148.081263816268</v>
          </cell>
          <cell r="DE93">
            <v>58664.409269785741</v>
          </cell>
          <cell r="DF93">
            <v>1712.2348495052349</v>
          </cell>
          <cell r="DG93">
            <v>0</v>
          </cell>
          <cell r="DH93">
            <v>0</v>
          </cell>
          <cell r="DI93">
            <v>97524.725383107245</v>
          </cell>
          <cell r="DJ93">
            <v>2289.2399999999998</v>
          </cell>
          <cell r="DK93">
            <v>956.73</v>
          </cell>
          <cell r="DL93">
            <v>1551.57</v>
          </cell>
          <cell r="DM93">
            <v>74722.185859261808</v>
          </cell>
          <cell r="DN93">
            <v>0</v>
          </cell>
          <cell r="DO93">
            <v>0</v>
          </cell>
          <cell r="DP93">
            <v>0</v>
          </cell>
          <cell r="DQ93">
            <v>79519.725859261802</v>
          </cell>
          <cell r="DR93">
            <v>0</v>
          </cell>
          <cell r="DS93">
            <v>0</v>
          </cell>
          <cell r="DT93">
            <v>0</v>
          </cell>
          <cell r="DU93">
            <v>0</v>
          </cell>
          <cell r="DV93">
            <v>0</v>
          </cell>
          <cell r="DW93">
            <v>0</v>
          </cell>
          <cell r="DX93">
            <v>0</v>
          </cell>
          <cell r="DY93">
            <v>2614.2715539208416</v>
          </cell>
          <cell r="DZ93">
            <v>303.91791324085017</v>
          </cell>
          <cell r="EA93">
            <v>14257.493434737313</v>
          </cell>
          <cell r="EB93">
            <v>17175.682901899003</v>
          </cell>
          <cell r="EE93">
            <v>0</v>
          </cell>
          <cell r="EH93">
            <v>0</v>
          </cell>
          <cell r="EI93">
            <v>0</v>
          </cell>
          <cell r="EK93">
            <v>0</v>
          </cell>
          <cell r="EL93">
            <v>0</v>
          </cell>
          <cell r="EM93">
            <v>0</v>
          </cell>
          <cell r="EO93">
            <v>0</v>
          </cell>
          <cell r="EP93">
            <v>0</v>
          </cell>
          <cell r="EQ93">
            <v>70724.108062745901</v>
          </cell>
          <cell r="ER93">
            <v>534266.55255167466</v>
          </cell>
          <cell r="ET93">
            <v>109.50526315789475</v>
          </cell>
          <cell r="EU93">
            <v>4878.912091935892</v>
          </cell>
          <cell r="EV93" t="str">
            <v>No Variation Applied</v>
          </cell>
          <cell r="EW93">
            <v>16800</v>
          </cell>
          <cell r="EX93">
            <v>0</v>
          </cell>
          <cell r="EY93">
            <v>0</v>
          </cell>
          <cell r="EZ93">
            <v>64156.116180947378</v>
          </cell>
        </row>
        <row r="94">
          <cell r="C94" t="str">
            <v>St Mary's Catholic Primary School and Nursery</v>
          </cell>
          <cell r="D94">
            <v>3528</v>
          </cell>
          <cell r="F94" t="str">
            <v/>
          </cell>
          <cell r="G94">
            <v>0</v>
          </cell>
          <cell r="H94">
            <v>23892</v>
          </cell>
          <cell r="I94">
            <v>0</v>
          </cell>
          <cell r="J94">
            <v>0</v>
          </cell>
          <cell r="L94">
            <v>83536.735220632661</v>
          </cell>
          <cell r="M94">
            <v>23892</v>
          </cell>
          <cell r="N94">
            <v>25.149473684210527</v>
          </cell>
          <cell r="S94">
            <v>0</v>
          </cell>
          <cell r="T94">
            <v>0</v>
          </cell>
          <cell r="U94">
            <v>42</v>
          </cell>
          <cell r="Y94">
            <v>45</v>
          </cell>
          <cell r="Z94">
            <v>47</v>
          </cell>
          <cell r="AA94">
            <v>50</v>
          </cell>
          <cell r="AB94">
            <v>46</v>
          </cell>
          <cell r="AC94">
            <v>43</v>
          </cell>
          <cell r="AD94">
            <v>51</v>
          </cell>
          <cell r="AK94">
            <v>835682.65055394033</v>
          </cell>
          <cell r="AL94">
            <v>324</v>
          </cell>
          <cell r="BS94">
            <v>4293.924</v>
          </cell>
          <cell r="BT94">
            <v>0</v>
          </cell>
          <cell r="BU94">
            <v>1253.3616000000002</v>
          </cell>
          <cell r="BV94">
            <v>0</v>
          </cell>
          <cell r="BW94">
            <v>0</v>
          </cell>
          <cell r="BX94">
            <v>12564.387999999999</v>
          </cell>
          <cell r="BY94">
            <v>0</v>
          </cell>
          <cell r="BZ94">
            <v>0</v>
          </cell>
          <cell r="CA94">
            <v>0</v>
          </cell>
          <cell r="CB94">
            <v>0</v>
          </cell>
          <cell r="CC94">
            <v>0</v>
          </cell>
          <cell r="CD94">
            <v>0</v>
          </cell>
          <cell r="CE94">
            <v>18111.673599999998</v>
          </cell>
          <cell r="CF94">
            <v>22680.611130037629</v>
          </cell>
          <cell r="CI94">
            <v>0</v>
          </cell>
          <cell r="CJ94">
            <v>0</v>
          </cell>
          <cell r="CK94">
            <v>6576.23</v>
          </cell>
          <cell r="CL94">
            <v>4844.0098296648084</v>
          </cell>
          <cell r="CM94">
            <v>34100.850959702439</v>
          </cell>
          <cell r="CQ94">
            <v>6093.8476755687434</v>
          </cell>
          <cell r="CR94">
            <v>14469.94</v>
          </cell>
          <cell r="CS94">
            <v>6870.8988451428049</v>
          </cell>
          <cell r="CT94">
            <v>27434.686520711548</v>
          </cell>
          <cell r="CU94">
            <v>2502.698959183982</v>
          </cell>
          <cell r="CV94">
            <v>0</v>
          </cell>
          <cell r="CW94">
            <v>2502.698959183982</v>
          </cell>
          <cell r="CX94">
            <v>0</v>
          </cell>
          <cell r="CZ94">
            <v>0</v>
          </cell>
          <cell r="DC94">
            <v>0</v>
          </cell>
          <cell r="DD94">
            <v>62262.484754200981</v>
          </cell>
          <cell r="DE94">
            <v>88451.376767235095</v>
          </cell>
          <cell r="DF94">
            <v>7705.0568227735575</v>
          </cell>
          <cell r="DG94">
            <v>0</v>
          </cell>
          <cell r="DH94">
            <v>0</v>
          </cell>
          <cell r="DI94">
            <v>158418.91834420964</v>
          </cell>
          <cell r="DJ94">
            <v>0</v>
          </cell>
          <cell r="DK94">
            <v>7557</v>
          </cell>
          <cell r="DL94">
            <v>3466.71</v>
          </cell>
          <cell r="DM94">
            <v>70073.495851086889</v>
          </cell>
          <cell r="DN94">
            <v>0</v>
          </cell>
          <cell r="DO94">
            <v>0</v>
          </cell>
          <cell r="DP94">
            <v>0</v>
          </cell>
          <cell r="DQ94">
            <v>81097.205851086881</v>
          </cell>
          <cell r="DR94">
            <v>0</v>
          </cell>
          <cell r="DS94">
            <v>0</v>
          </cell>
          <cell r="DT94">
            <v>0</v>
          </cell>
          <cell r="DU94">
            <v>0</v>
          </cell>
          <cell r="DV94">
            <v>0</v>
          </cell>
          <cell r="DW94">
            <v>0</v>
          </cell>
          <cell r="DX94">
            <v>0</v>
          </cell>
          <cell r="DY94">
            <v>6208.8949405619987</v>
          </cell>
          <cell r="DZ94">
            <v>1118.9704987504028</v>
          </cell>
          <cell r="EA94">
            <v>0</v>
          </cell>
          <cell r="EB94">
            <v>7327.8654393124016</v>
          </cell>
          <cell r="EE94">
            <v>0</v>
          </cell>
          <cell r="EH94">
            <v>0</v>
          </cell>
          <cell r="EI94">
            <v>0</v>
          </cell>
          <cell r="EK94">
            <v>0</v>
          </cell>
          <cell r="EL94">
            <v>4505</v>
          </cell>
          <cell r="EM94">
            <v>0</v>
          </cell>
          <cell r="EO94">
            <v>4505</v>
          </cell>
          <cell r="EP94">
            <v>0</v>
          </cell>
          <cell r="EQ94">
            <v>101648.40882063266</v>
          </cell>
          <cell r="ER94">
            <v>1252718.2854487796</v>
          </cell>
          <cell r="ET94">
            <v>349.14947368421053</v>
          </cell>
          <cell r="EU94">
            <v>3587.9140020752402</v>
          </cell>
          <cell r="EV94" t="str">
            <v>No Variation Applied</v>
          </cell>
          <cell r="EW94">
            <v>40450</v>
          </cell>
          <cell r="EX94">
            <v>0</v>
          </cell>
          <cell r="EY94">
            <v>0</v>
          </cell>
          <cell r="EZ94">
            <v>114086.11202520624</v>
          </cell>
        </row>
        <row r="95">
          <cell r="C95" t="str">
            <v>Walter Evans Church of England Aided Primary School</v>
          </cell>
          <cell r="D95">
            <v>3530</v>
          </cell>
          <cell r="F95" t="str">
            <v/>
          </cell>
          <cell r="G95">
            <v>0</v>
          </cell>
          <cell r="H95">
            <v>26760</v>
          </cell>
          <cell r="I95">
            <v>0</v>
          </cell>
          <cell r="J95">
            <v>0</v>
          </cell>
          <cell r="L95">
            <v>93564.500021100364</v>
          </cell>
          <cell r="M95">
            <v>26760</v>
          </cell>
          <cell r="N95">
            <v>28.168421052631579</v>
          </cell>
          <cell r="S95">
            <v>0</v>
          </cell>
          <cell r="T95">
            <v>0</v>
          </cell>
          <cell r="U95">
            <v>44</v>
          </cell>
          <cell r="Y95">
            <v>44</v>
          </cell>
          <cell r="Z95">
            <v>38</v>
          </cell>
          <cell r="AA95">
            <v>49</v>
          </cell>
          <cell r="AB95">
            <v>44</v>
          </cell>
          <cell r="AC95">
            <v>41</v>
          </cell>
          <cell r="AD95">
            <v>32</v>
          </cell>
          <cell r="AK95">
            <v>755329.63964485866</v>
          </cell>
          <cell r="AL95">
            <v>292</v>
          </cell>
          <cell r="BS95">
            <v>580.26</v>
          </cell>
          <cell r="BT95">
            <v>0</v>
          </cell>
          <cell r="BU95">
            <v>348.15600000000001</v>
          </cell>
          <cell r="BV95">
            <v>0</v>
          </cell>
          <cell r="BW95">
            <v>0</v>
          </cell>
          <cell r="BX95">
            <v>-6110.1040000000066</v>
          </cell>
          <cell r="BY95">
            <v>0</v>
          </cell>
          <cell r="BZ95">
            <v>2007.6995999999999</v>
          </cell>
          <cell r="CA95">
            <v>0</v>
          </cell>
          <cell r="CB95">
            <v>0</v>
          </cell>
          <cell r="CC95">
            <v>0</v>
          </cell>
          <cell r="CD95">
            <v>0</v>
          </cell>
          <cell r="CE95">
            <v>-3173.9884000000065</v>
          </cell>
          <cell r="CF95">
            <v>22680.611130037629</v>
          </cell>
          <cell r="CI95">
            <v>0</v>
          </cell>
          <cell r="CJ95">
            <v>0</v>
          </cell>
          <cell r="CK95">
            <v>5926.72</v>
          </cell>
          <cell r="CL95">
            <v>4928.6549577447331</v>
          </cell>
          <cell r="CM95">
            <v>33535.986087782367</v>
          </cell>
          <cell r="CQ95">
            <v>0</v>
          </cell>
          <cell r="CR95">
            <v>401.94</v>
          </cell>
          <cell r="CS95">
            <v>404.17052030251796</v>
          </cell>
          <cell r="CT95">
            <v>806.1105203025179</v>
          </cell>
          <cell r="CU95">
            <v>2502.698959183982</v>
          </cell>
          <cell r="CV95">
            <v>0</v>
          </cell>
          <cell r="CW95">
            <v>2502.698959183982</v>
          </cell>
          <cell r="CX95">
            <v>0</v>
          </cell>
          <cell r="CZ95">
            <v>0</v>
          </cell>
          <cell r="DC95">
            <v>0</v>
          </cell>
          <cell r="DD95">
            <v>10381.996510411533</v>
          </cell>
          <cell r="DE95">
            <v>5229.7729193995046</v>
          </cell>
          <cell r="DF95">
            <v>1712.2348495052349</v>
          </cell>
          <cell r="DG95">
            <v>0</v>
          </cell>
          <cell r="DH95">
            <v>0</v>
          </cell>
          <cell r="DI95">
            <v>17324.004279316272</v>
          </cell>
          <cell r="DJ95">
            <v>0</v>
          </cell>
          <cell r="DK95">
            <v>2496.1</v>
          </cell>
          <cell r="DL95">
            <v>4036.34</v>
          </cell>
          <cell r="DM95">
            <v>70073.495851086889</v>
          </cell>
          <cell r="DN95">
            <v>0</v>
          </cell>
          <cell r="DO95">
            <v>0</v>
          </cell>
          <cell r="DP95">
            <v>0</v>
          </cell>
          <cell r="DQ95">
            <v>76605.935851086891</v>
          </cell>
          <cell r="DR95">
            <v>0</v>
          </cell>
          <cell r="DS95">
            <v>0</v>
          </cell>
          <cell r="DT95">
            <v>0</v>
          </cell>
          <cell r="DU95">
            <v>0</v>
          </cell>
          <cell r="DV95">
            <v>0</v>
          </cell>
          <cell r="DW95">
            <v>0</v>
          </cell>
          <cell r="DX95">
            <v>0</v>
          </cell>
          <cell r="DY95">
            <v>4901.7591636015777</v>
          </cell>
          <cell r="DZ95">
            <v>1008.4548939355483</v>
          </cell>
          <cell r="EA95">
            <v>0</v>
          </cell>
          <cell r="EB95">
            <v>5910.2140575371259</v>
          </cell>
          <cell r="EE95">
            <v>0</v>
          </cell>
          <cell r="EH95">
            <v>0</v>
          </cell>
          <cell r="EI95">
            <v>0</v>
          </cell>
          <cell r="EK95">
            <v>0</v>
          </cell>
          <cell r="EL95">
            <v>0</v>
          </cell>
          <cell r="EM95">
            <v>0</v>
          </cell>
          <cell r="EO95">
            <v>0</v>
          </cell>
          <cell r="EP95">
            <v>0</v>
          </cell>
          <cell r="EQ95">
            <v>90390.511621100362</v>
          </cell>
          <cell r="ER95">
            <v>982405.10102116817</v>
          </cell>
          <cell r="ET95">
            <v>320.16842105263157</v>
          </cell>
          <cell r="EU95">
            <v>3068.4009928002033</v>
          </cell>
          <cell r="EV95" t="str">
            <v>No Variation Applied</v>
          </cell>
          <cell r="EW95">
            <v>7950</v>
          </cell>
          <cell r="EX95">
            <v>0</v>
          </cell>
          <cell r="EY95">
            <v>0</v>
          </cell>
          <cell r="EZ95">
            <v>34504.107192862066</v>
          </cell>
        </row>
        <row r="96">
          <cell r="C96" t="str">
            <v>St George's Catholic Primary School</v>
          </cell>
          <cell r="D96">
            <v>3531</v>
          </cell>
          <cell r="F96" t="str">
            <v/>
          </cell>
          <cell r="G96">
            <v>0</v>
          </cell>
          <cell r="H96">
            <v>0</v>
          </cell>
          <cell r="I96">
            <v>0</v>
          </cell>
          <cell r="J96">
            <v>0</v>
          </cell>
          <cell r="L96">
            <v>0</v>
          </cell>
          <cell r="M96">
            <v>0</v>
          </cell>
          <cell r="N96">
            <v>0</v>
          </cell>
          <cell r="S96">
            <v>0</v>
          </cell>
          <cell r="T96">
            <v>0</v>
          </cell>
          <cell r="U96">
            <v>51</v>
          </cell>
          <cell r="Y96">
            <v>51</v>
          </cell>
          <cell r="Z96">
            <v>51</v>
          </cell>
          <cell r="AA96">
            <v>52</v>
          </cell>
          <cell r="AB96">
            <v>52</v>
          </cell>
          <cell r="AC96">
            <v>43</v>
          </cell>
          <cell r="AD96">
            <v>50</v>
          </cell>
          <cell r="AK96">
            <v>904332.08363974979</v>
          </cell>
          <cell r="AL96">
            <v>350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22680.611130037629</v>
          </cell>
          <cell r="CI96">
            <v>0</v>
          </cell>
          <cell r="CJ96">
            <v>0</v>
          </cell>
          <cell r="CK96">
            <v>7103.95</v>
          </cell>
          <cell r="CL96">
            <v>4490.0392940578486</v>
          </cell>
          <cell r="CM96">
            <v>34274.600424095479</v>
          </cell>
          <cell r="CQ96">
            <v>5332.1167161226504</v>
          </cell>
          <cell r="CR96">
            <v>7234.97</v>
          </cell>
          <cell r="CS96">
            <v>15964.735551949459</v>
          </cell>
          <cell r="CT96">
            <v>28531.822268072108</v>
          </cell>
          <cell r="CU96">
            <v>3003.2387510207782</v>
          </cell>
          <cell r="CV96">
            <v>0</v>
          </cell>
          <cell r="CW96">
            <v>3003.2387510207782</v>
          </cell>
          <cell r="CX96">
            <v>0</v>
          </cell>
          <cell r="CZ96">
            <v>0</v>
          </cell>
          <cell r="DC96">
            <v>0</v>
          </cell>
          <cell r="DD96">
            <v>116812.20789626383</v>
          </cell>
          <cell r="DE96">
            <v>114600.24136423261</v>
          </cell>
          <cell r="DF96">
            <v>8561.1742475261744</v>
          </cell>
          <cell r="DG96">
            <v>0</v>
          </cell>
          <cell r="DH96">
            <v>0</v>
          </cell>
          <cell r="DI96">
            <v>239973.62350802263</v>
          </cell>
          <cell r="DJ96">
            <v>0</v>
          </cell>
          <cell r="DK96">
            <v>2885.4</v>
          </cell>
          <cell r="DL96">
            <v>8064.18</v>
          </cell>
          <cell r="DM96">
            <v>70073.495851086889</v>
          </cell>
          <cell r="DN96">
            <v>0</v>
          </cell>
          <cell r="DO96">
            <v>0</v>
          </cell>
          <cell r="DP96">
            <v>0</v>
          </cell>
          <cell r="DQ96">
            <v>81023.075851086891</v>
          </cell>
          <cell r="DR96">
            <v>0</v>
          </cell>
          <cell r="DS96">
            <v>0</v>
          </cell>
          <cell r="DT96">
            <v>0</v>
          </cell>
          <cell r="DU96">
            <v>0</v>
          </cell>
          <cell r="DV96">
            <v>0</v>
          </cell>
          <cell r="DW96">
            <v>0</v>
          </cell>
          <cell r="DX96">
            <v>0</v>
          </cell>
          <cell r="DY96">
            <v>4248.1912751213677</v>
          </cell>
          <cell r="DZ96">
            <v>1208.7644276624724</v>
          </cell>
          <cell r="EA96">
            <v>0</v>
          </cell>
          <cell r="EB96">
            <v>5456.95570278384</v>
          </cell>
          <cell r="EE96">
            <v>0</v>
          </cell>
          <cell r="EH96">
            <v>0</v>
          </cell>
          <cell r="EI96">
            <v>0</v>
          </cell>
          <cell r="EK96">
            <v>0</v>
          </cell>
          <cell r="EL96">
            <v>0</v>
          </cell>
          <cell r="EM96">
            <v>0</v>
          </cell>
          <cell r="EO96">
            <v>0</v>
          </cell>
          <cell r="EP96">
            <v>0</v>
          </cell>
          <cell r="EQ96">
            <v>0</v>
          </cell>
          <cell r="ER96">
            <v>1296595.4001448315</v>
          </cell>
          <cell r="ET96">
            <v>350</v>
          </cell>
          <cell r="EU96">
            <v>3704.55828612809</v>
          </cell>
          <cell r="EV96" t="str">
            <v>No Variation Applied</v>
          </cell>
          <cell r="EW96">
            <v>63600</v>
          </cell>
          <cell r="EX96">
            <v>0</v>
          </cell>
          <cell r="EY96">
            <v>0</v>
          </cell>
          <cell r="EZ96">
            <v>159872.26785371202</v>
          </cell>
        </row>
        <row r="97">
          <cell r="C97" t="str">
            <v>St Werburgh's Church of England VA Primary School</v>
          </cell>
          <cell r="D97">
            <v>3532</v>
          </cell>
          <cell r="F97" t="str">
            <v/>
          </cell>
          <cell r="G97">
            <v>0</v>
          </cell>
          <cell r="H97">
            <v>0</v>
          </cell>
          <cell r="I97">
            <v>0</v>
          </cell>
          <cell r="J97">
            <v>0</v>
          </cell>
          <cell r="L97">
            <v>0</v>
          </cell>
          <cell r="M97">
            <v>0</v>
          </cell>
          <cell r="N97">
            <v>0</v>
          </cell>
          <cell r="S97">
            <v>0</v>
          </cell>
          <cell r="T97">
            <v>0</v>
          </cell>
          <cell r="U97">
            <v>45</v>
          </cell>
          <cell r="Y97">
            <v>45</v>
          </cell>
          <cell r="Z97">
            <v>44</v>
          </cell>
          <cell r="AA97">
            <v>48</v>
          </cell>
          <cell r="AB97">
            <v>38</v>
          </cell>
          <cell r="AC97">
            <v>45</v>
          </cell>
          <cell r="AD97">
            <v>40</v>
          </cell>
          <cell r="AK97">
            <v>788235.24135032785</v>
          </cell>
          <cell r="AL97">
            <v>305</v>
          </cell>
          <cell r="BS97">
            <v>0</v>
          </cell>
          <cell r="BT97">
            <v>0</v>
          </cell>
          <cell r="BU97">
            <v>0</v>
          </cell>
          <cell r="BV97">
            <v>0</v>
          </cell>
          <cell r="BW97">
            <v>0</v>
          </cell>
          <cell r="BX97">
            <v>0</v>
          </cell>
          <cell r="BY97">
            <v>0</v>
          </cell>
          <cell r="BZ97">
            <v>0</v>
          </cell>
          <cell r="CA97">
            <v>0</v>
          </cell>
          <cell r="CB97">
            <v>0</v>
          </cell>
          <cell r="CC97">
            <v>0</v>
          </cell>
          <cell r="CD97">
            <v>0</v>
          </cell>
          <cell r="CE97">
            <v>0</v>
          </cell>
          <cell r="CF97">
            <v>22680.611130037629</v>
          </cell>
          <cell r="CI97">
            <v>0</v>
          </cell>
          <cell r="CJ97">
            <v>0</v>
          </cell>
          <cell r="CK97">
            <v>6190.58</v>
          </cell>
          <cell r="CL97">
            <v>5525.0183601260242</v>
          </cell>
          <cell r="CM97">
            <v>34396.209490163652</v>
          </cell>
          <cell r="CQ97">
            <v>1523.4619188921858</v>
          </cell>
          <cell r="CR97">
            <v>0</v>
          </cell>
          <cell r="CS97">
            <v>1010.4263007562949</v>
          </cell>
          <cell r="CT97">
            <v>2533.888219648481</v>
          </cell>
          <cell r="CU97">
            <v>11762.685108164713</v>
          </cell>
          <cell r="CV97">
            <v>0</v>
          </cell>
          <cell r="CW97">
            <v>11762.685108164713</v>
          </cell>
          <cell r="CX97">
            <v>0</v>
          </cell>
          <cell r="CZ97">
            <v>0</v>
          </cell>
          <cell r="DC97">
            <v>0</v>
          </cell>
          <cell r="DD97">
            <v>26589.118903795446</v>
          </cell>
          <cell r="DE97">
            <v>12733.360151581403</v>
          </cell>
          <cell r="DF97">
            <v>1712.2348495052349</v>
          </cell>
          <cell r="DG97">
            <v>0</v>
          </cell>
          <cell r="DH97">
            <v>0</v>
          </cell>
          <cell r="DI97">
            <v>41034.713904882083</v>
          </cell>
          <cell r="DJ97">
            <v>0</v>
          </cell>
          <cell r="DK97">
            <v>3915.9</v>
          </cell>
          <cell r="DL97">
            <v>4160.9399999999996</v>
          </cell>
          <cell r="DM97">
            <v>70073.495851086889</v>
          </cell>
          <cell r="DN97">
            <v>0</v>
          </cell>
          <cell r="DO97">
            <v>0</v>
          </cell>
          <cell r="DP97">
            <v>0</v>
          </cell>
          <cell r="DQ97">
            <v>78150.335851086886</v>
          </cell>
          <cell r="DR97">
            <v>0</v>
          </cell>
          <cell r="DS97">
            <v>0</v>
          </cell>
          <cell r="DT97">
            <v>0</v>
          </cell>
          <cell r="DU97">
            <v>0</v>
          </cell>
          <cell r="DV97">
            <v>0</v>
          </cell>
          <cell r="DW97">
            <v>0</v>
          </cell>
          <cell r="DX97">
            <v>0</v>
          </cell>
          <cell r="DY97">
            <v>3267.8394424010521</v>
          </cell>
          <cell r="DZ97">
            <v>1053.3518583915829</v>
          </cell>
          <cell r="EA97">
            <v>0</v>
          </cell>
          <cell r="EB97">
            <v>4321.191300792635</v>
          </cell>
          <cell r="EE97">
            <v>0</v>
          </cell>
          <cell r="EH97">
            <v>0</v>
          </cell>
          <cell r="EI97">
            <v>5352.8414999999995</v>
          </cell>
          <cell r="EK97">
            <v>0</v>
          </cell>
          <cell r="EL97">
            <v>13640</v>
          </cell>
          <cell r="EM97">
            <v>0</v>
          </cell>
          <cell r="EO97">
            <v>18992.841499999999</v>
          </cell>
          <cell r="EP97">
            <v>15226.878276318195</v>
          </cell>
          <cell r="EQ97">
            <v>0</v>
          </cell>
          <cell r="ER97">
            <v>994653.9850013844</v>
          </cell>
          <cell r="ET97">
            <v>305</v>
          </cell>
          <cell r="EU97">
            <v>3261.1606065619162</v>
          </cell>
          <cell r="EV97" t="str">
            <v>No Variation Applied</v>
          </cell>
          <cell r="EW97">
            <v>18600</v>
          </cell>
          <cell r="EX97">
            <v>0</v>
          </cell>
          <cell r="EY97">
            <v>0</v>
          </cell>
          <cell r="EZ97">
            <v>57648.233180288495</v>
          </cell>
        </row>
        <row r="98">
          <cell r="C98" t="str">
            <v>St John Fisher Catholic Primary School, Alvaston, Derby</v>
          </cell>
          <cell r="D98">
            <v>3533</v>
          </cell>
          <cell r="F98" t="str">
            <v/>
          </cell>
          <cell r="G98">
            <v>0</v>
          </cell>
          <cell r="H98">
            <v>0</v>
          </cell>
          <cell r="I98">
            <v>0</v>
          </cell>
          <cell r="J98">
            <v>0</v>
          </cell>
          <cell r="L98">
            <v>0</v>
          </cell>
          <cell r="M98">
            <v>0</v>
          </cell>
          <cell r="N98">
            <v>0</v>
          </cell>
          <cell r="S98">
            <v>0</v>
          </cell>
          <cell r="T98">
            <v>0</v>
          </cell>
          <cell r="U98">
            <v>30</v>
          </cell>
          <cell r="Y98">
            <v>30</v>
          </cell>
          <cell r="Z98">
            <v>30</v>
          </cell>
          <cell r="AA98">
            <v>35</v>
          </cell>
          <cell r="AB98">
            <v>29</v>
          </cell>
          <cell r="AC98">
            <v>33</v>
          </cell>
          <cell r="AD98">
            <v>26</v>
          </cell>
          <cell r="AK98">
            <v>550247.44205783936</v>
          </cell>
          <cell r="AL98">
            <v>213</v>
          </cell>
          <cell r="BS98">
            <v>0</v>
          </cell>
          <cell r="BT98">
            <v>0</v>
          </cell>
          <cell r="BU98">
            <v>0</v>
          </cell>
          <cell r="BV98">
            <v>0</v>
          </cell>
          <cell r="BW98">
            <v>0</v>
          </cell>
          <cell r="BX98">
            <v>0</v>
          </cell>
          <cell r="BY98">
            <v>0</v>
          </cell>
          <cell r="BZ98">
            <v>0</v>
          </cell>
          <cell r="CA98">
            <v>0</v>
          </cell>
          <cell r="CB98">
            <v>0</v>
          </cell>
          <cell r="CC98">
            <v>0</v>
          </cell>
          <cell r="CD98">
            <v>0</v>
          </cell>
          <cell r="CE98">
            <v>0</v>
          </cell>
          <cell r="CF98">
            <v>11340.305565018814</v>
          </cell>
          <cell r="CI98">
            <v>0</v>
          </cell>
          <cell r="CJ98">
            <v>0</v>
          </cell>
          <cell r="CK98">
            <v>4323.26</v>
          </cell>
          <cell r="CL98">
            <v>2054.5681088490924</v>
          </cell>
          <cell r="CM98">
            <v>17718.133673867906</v>
          </cell>
          <cell r="CQ98">
            <v>9902.5024727992077</v>
          </cell>
          <cell r="CR98">
            <v>5024.29</v>
          </cell>
          <cell r="CS98">
            <v>12327.200869226797</v>
          </cell>
          <cell r="CT98">
            <v>27253.993342026006</v>
          </cell>
          <cell r="CU98">
            <v>10511.335628572724</v>
          </cell>
          <cell r="CV98">
            <v>0</v>
          </cell>
          <cell r="CW98">
            <v>10511.335628572724</v>
          </cell>
          <cell r="CX98">
            <v>0</v>
          </cell>
          <cell r="CZ98">
            <v>0</v>
          </cell>
          <cell r="DC98">
            <v>0</v>
          </cell>
          <cell r="DD98">
            <v>85282.792357542465</v>
          </cell>
          <cell r="DE98">
            <v>85950.18102317446</v>
          </cell>
          <cell r="DF98">
            <v>856.11742475261747</v>
          </cell>
          <cell r="DG98">
            <v>0</v>
          </cell>
          <cell r="DH98">
            <v>0</v>
          </cell>
          <cell r="DI98">
            <v>172089.09080546955</v>
          </cell>
          <cell r="DJ98">
            <v>0</v>
          </cell>
          <cell r="DK98">
            <v>2358.6999999999998</v>
          </cell>
          <cell r="DL98">
            <v>3567.1</v>
          </cell>
          <cell r="DM98">
            <v>70073.495851086889</v>
          </cell>
          <cell r="DN98">
            <v>0</v>
          </cell>
          <cell r="DO98">
            <v>0</v>
          </cell>
          <cell r="DP98">
            <v>0</v>
          </cell>
          <cell r="DQ98">
            <v>75999.295851086892</v>
          </cell>
          <cell r="DR98">
            <v>0</v>
          </cell>
          <cell r="DS98">
            <v>0</v>
          </cell>
          <cell r="DT98">
            <v>0</v>
          </cell>
          <cell r="DU98">
            <v>0</v>
          </cell>
          <cell r="DV98">
            <v>0</v>
          </cell>
          <cell r="DW98">
            <v>0</v>
          </cell>
          <cell r="DX98">
            <v>0</v>
          </cell>
          <cell r="DY98">
            <v>7189.2467732823143</v>
          </cell>
          <cell r="DZ98">
            <v>735.61949454887599</v>
          </cell>
          <cell r="EA98">
            <v>0</v>
          </cell>
          <cell r="EB98">
            <v>7924.8662678311903</v>
          </cell>
          <cell r="EE98">
            <v>0</v>
          </cell>
          <cell r="EH98">
            <v>0</v>
          </cell>
          <cell r="EI98">
            <v>0</v>
          </cell>
          <cell r="EK98">
            <v>0</v>
          </cell>
          <cell r="EL98">
            <v>0</v>
          </cell>
          <cell r="EM98">
            <v>0</v>
          </cell>
          <cell r="EO98">
            <v>0</v>
          </cell>
          <cell r="EP98">
            <v>4509.35810113966</v>
          </cell>
          <cell r="EQ98">
            <v>0</v>
          </cell>
          <cell r="ER98">
            <v>866253.51572783326</v>
          </cell>
          <cell r="ET98">
            <v>213</v>
          </cell>
          <cell r="EU98">
            <v>4066.9179142151797</v>
          </cell>
          <cell r="EV98" t="str">
            <v>No Variation Applied</v>
          </cell>
          <cell r="EW98">
            <v>43800</v>
          </cell>
          <cell r="EX98">
            <v>0</v>
          </cell>
          <cell r="EY98">
            <v>0</v>
          </cell>
          <cell r="EZ98">
            <v>127700.33777155215</v>
          </cell>
        </row>
        <row r="99">
          <cell r="C99" t="str">
            <v>St Peter's Church of England Aided Junior School</v>
          </cell>
          <cell r="D99">
            <v>3534</v>
          </cell>
          <cell r="F99" t="str">
            <v/>
          </cell>
          <cell r="G99">
            <v>0</v>
          </cell>
          <cell r="H99">
            <v>0</v>
          </cell>
          <cell r="I99">
            <v>0</v>
          </cell>
          <cell r="J99">
            <v>0</v>
          </cell>
          <cell r="L99">
            <v>0</v>
          </cell>
          <cell r="M99">
            <v>0</v>
          </cell>
          <cell r="N99">
            <v>0</v>
          </cell>
          <cell r="S99">
            <v>0</v>
          </cell>
          <cell r="T99">
            <v>0</v>
          </cell>
          <cell r="U99">
            <v>0</v>
          </cell>
          <cell r="Y99">
            <v>0</v>
          </cell>
          <cell r="Z99">
            <v>0</v>
          </cell>
          <cell r="AA99">
            <v>57</v>
          </cell>
          <cell r="AB99">
            <v>59</v>
          </cell>
          <cell r="AC99">
            <v>56</v>
          </cell>
          <cell r="AD99">
            <v>64</v>
          </cell>
          <cell r="AK99">
            <v>606355.53839869483</v>
          </cell>
          <cell r="AL99">
            <v>236</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I99">
            <v>0</v>
          </cell>
          <cell r="CJ99">
            <v>0</v>
          </cell>
          <cell r="CK99">
            <v>4790.09</v>
          </cell>
          <cell r="CL99">
            <v>3901.3709033201872</v>
          </cell>
          <cell r="CM99">
            <v>8691.4609033201868</v>
          </cell>
          <cell r="CQ99">
            <v>4570.3857566765573</v>
          </cell>
          <cell r="CR99">
            <v>10651.49</v>
          </cell>
          <cell r="CS99">
            <v>13135.541909831834</v>
          </cell>
          <cell r="CT99">
            <v>28357.417666508391</v>
          </cell>
          <cell r="CU99">
            <v>10511.335628572724</v>
          </cell>
          <cell r="CV99">
            <v>0</v>
          </cell>
          <cell r="CW99">
            <v>10511.335628572724</v>
          </cell>
          <cell r="CX99">
            <v>0</v>
          </cell>
          <cell r="CZ99">
            <v>0</v>
          </cell>
          <cell r="DC99">
            <v>0</v>
          </cell>
          <cell r="DD99">
            <v>23624.94092283988</v>
          </cell>
          <cell r="DE99">
            <v>21601.235971432736</v>
          </cell>
          <cell r="DF99">
            <v>5136.704548515705</v>
          </cell>
          <cell r="DG99">
            <v>0</v>
          </cell>
          <cell r="DH99">
            <v>0</v>
          </cell>
          <cell r="DI99">
            <v>50362.881442788326</v>
          </cell>
          <cell r="DJ99">
            <v>0</v>
          </cell>
          <cell r="DK99">
            <v>2541.9</v>
          </cell>
          <cell r="DL99">
            <v>3426.63</v>
          </cell>
          <cell r="DM99">
            <v>70073.495851086889</v>
          </cell>
          <cell r="DN99">
            <v>0</v>
          </cell>
          <cell r="DO99">
            <v>0</v>
          </cell>
          <cell r="DP99">
            <v>0</v>
          </cell>
          <cell r="DQ99">
            <v>76042.025851086888</v>
          </cell>
          <cell r="DR99">
            <v>0</v>
          </cell>
          <cell r="DS99">
            <v>0</v>
          </cell>
          <cell r="DT99">
            <v>0</v>
          </cell>
          <cell r="DU99">
            <v>0</v>
          </cell>
          <cell r="DV99">
            <v>0</v>
          </cell>
          <cell r="DW99">
            <v>0</v>
          </cell>
          <cell r="DX99">
            <v>0</v>
          </cell>
          <cell r="DY99">
            <v>3267.8394424010521</v>
          </cell>
          <cell r="DZ99">
            <v>815.05258550955273</v>
          </cell>
          <cell r="EA99">
            <v>0</v>
          </cell>
          <cell r="EB99">
            <v>4082.8920279106051</v>
          </cell>
          <cell r="EE99">
            <v>0</v>
          </cell>
          <cell r="EH99">
            <v>0</v>
          </cell>
          <cell r="EI99">
            <v>0</v>
          </cell>
          <cell r="EK99">
            <v>0</v>
          </cell>
          <cell r="EL99">
            <v>5005</v>
          </cell>
          <cell r="EM99">
            <v>0</v>
          </cell>
          <cell r="EO99">
            <v>5005</v>
          </cell>
          <cell r="EP99">
            <v>0</v>
          </cell>
          <cell r="EQ99">
            <v>0</v>
          </cell>
          <cell r="ER99">
            <v>789408.55191888195</v>
          </cell>
          <cell r="ET99">
            <v>236</v>
          </cell>
          <cell r="EU99">
            <v>3344.9514911817032</v>
          </cell>
          <cell r="EV99" t="str">
            <v>No Variation Applied</v>
          </cell>
          <cell r="EW99">
            <v>25350</v>
          </cell>
          <cell r="EX99">
            <v>0</v>
          </cell>
          <cell r="EY99">
            <v>0</v>
          </cell>
          <cell r="EZ99">
            <v>67661.459374340498</v>
          </cell>
        </row>
        <row r="100">
          <cell r="C100" t="str">
            <v>St James' Church of England Aided Junior School</v>
          </cell>
          <cell r="D100">
            <v>3535</v>
          </cell>
          <cell r="F100" t="str">
            <v/>
          </cell>
          <cell r="G100">
            <v>0</v>
          </cell>
          <cell r="H100">
            <v>0</v>
          </cell>
          <cell r="I100">
            <v>0</v>
          </cell>
          <cell r="J100">
            <v>0</v>
          </cell>
          <cell r="L100">
            <v>0</v>
          </cell>
          <cell r="M100">
            <v>0</v>
          </cell>
          <cell r="N100">
            <v>0</v>
          </cell>
          <cell r="S100">
            <v>0</v>
          </cell>
          <cell r="T100">
            <v>0</v>
          </cell>
          <cell r="U100">
            <v>0</v>
          </cell>
          <cell r="Y100">
            <v>0</v>
          </cell>
          <cell r="Z100">
            <v>0</v>
          </cell>
          <cell r="AA100">
            <v>75</v>
          </cell>
          <cell r="AB100">
            <v>65</v>
          </cell>
          <cell r="AC100">
            <v>51</v>
          </cell>
          <cell r="AD100">
            <v>72</v>
          </cell>
          <cell r="AK100">
            <v>675726.72287651151</v>
          </cell>
          <cell r="AL100">
            <v>263</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I100">
            <v>0</v>
          </cell>
          <cell r="CJ100">
            <v>4551.07</v>
          </cell>
          <cell r="CK100">
            <v>5338.11</v>
          </cell>
          <cell r="CL100">
            <v>4089.8986885891113</v>
          </cell>
          <cell r="CM100">
            <v>13979.078688589112</v>
          </cell>
          <cell r="CQ100">
            <v>25137.121661721067</v>
          </cell>
          <cell r="CR100">
            <v>44213.71</v>
          </cell>
          <cell r="CS100">
            <v>39406.625729495499</v>
          </cell>
          <cell r="CT100">
            <v>108757.45739121657</v>
          </cell>
          <cell r="CU100">
            <v>12138.08995204231</v>
          </cell>
          <cell r="CV100">
            <v>0</v>
          </cell>
          <cell r="CW100">
            <v>12138.08995204231</v>
          </cell>
          <cell r="CX100">
            <v>0</v>
          </cell>
          <cell r="CZ100">
            <v>0</v>
          </cell>
          <cell r="DC100">
            <v>0</v>
          </cell>
          <cell r="DD100">
            <v>107904.92679926305</v>
          </cell>
          <cell r="DE100">
            <v>173264.65063401836</v>
          </cell>
          <cell r="DF100">
            <v>8561.1742475261744</v>
          </cell>
          <cell r="DG100">
            <v>0</v>
          </cell>
          <cell r="DH100">
            <v>0</v>
          </cell>
          <cell r="DI100">
            <v>289730.75168080756</v>
          </cell>
          <cell r="DJ100">
            <v>5450.68</v>
          </cell>
          <cell r="DK100">
            <v>2267.1</v>
          </cell>
          <cell r="DL100">
            <v>6310.63</v>
          </cell>
          <cell r="DM100">
            <v>70073.495851086889</v>
          </cell>
          <cell r="DN100">
            <v>0</v>
          </cell>
          <cell r="DO100">
            <v>0</v>
          </cell>
          <cell r="DP100">
            <v>0</v>
          </cell>
          <cell r="DQ100">
            <v>84101.905851086893</v>
          </cell>
          <cell r="DR100">
            <v>0</v>
          </cell>
          <cell r="DS100">
            <v>0</v>
          </cell>
          <cell r="DT100">
            <v>0</v>
          </cell>
          <cell r="DU100">
            <v>0</v>
          </cell>
          <cell r="DV100">
            <v>0</v>
          </cell>
          <cell r="DW100">
            <v>0</v>
          </cell>
          <cell r="DX100">
            <v>0</v>
          </cell>
          <cell r="DY100">
            <v>9803.5183272031554</v>
          </cell>
          <cell r="DZ100">
            <v>908.3001270720863</v>
          </cell>
          <cell r="EA100">
            <v>0</v>
          </cell>
          <cell r="EB100">
            <v>10711.818454275242</v>
          </cell>
          <cell r="EE100">
            <v>0</v>
          </cell>
          <cell r="EH100">
            <v>0</v>
          </cell>
          <cell r="EI100">
            <v>0</v>
          </cell>
          <cell r="EK100">
            <v>0</v>
          </cell>
          <cell r="EL100">
            <v>501</v>
          </cell>
          <cell r="EM100">
            <v>0</v>
          </cell>
          <cell r="EO100">
            <v>501</v>
          </cell>
          <cell r="EP100">
            <v>7609.1426011084113</v>
          </cell>
          <cell r="EQ100">
            <v>0</v>
          </cell>
          <cell r="ER100">
            <v>1203255.9674956375</v>
          </cell>
          <cell r="ET100">
            <v>263</v>
          </cell>
          <cell r="EU100">
            <v>4575.1177471317014</v>
          </cell>
          <cell r="EV100" t="str">
            <v>No Variation Applied</v>
          </cell>
          <cell r="EW100">
            <v>61200</v>
          </cell>
          <cell r="EX100">
            <v>0</v>
          </cell>
          <cell r="EY100">
            <v>0</v>
          </cell>
          <cell r="EZ100">
            <v>218789.78966916676</v>
          </cell>
        </row>
        <row r="101">
          <cell r="C101" t="str">
            <v>St Joseph's Catholic Primary School, Derby</v>
          </cell>
          <cell r="D101">
            <v>3542</v>
          </cell>
          <cell r="F101" t="str">
            <v/>
          </cell>
          <cell r="G101">
            <v>0</v>
          </cell>
          <cell r="H101">
            <v>0</v>
          </cell>
          <cell r="I101">
            <v>0</v>
          </cell>
          <cell r="J101">
            <v>0</v>
          </cell>
          <cell r="L101">
            <v>0</v>
          </cell>
          <cell r="M101">
            <v>0</v>
          </cell>
          <cell r="N101">
            <v>0</v>
          </cell>
          <cell r="S101">
            <v>0</v>
          </cell>
          <cell r="T101">
            <v>0</v>
          </cell>
          <cell r="U101">
            <v>51</v>
          </cell>
          <cell r="Y101">
            <v>50</v>
          </cell>
          <cell r="Z101">
            <v>50</v>
          </cell>
          <cell r="AA101">
            <v>51</v>
          </cell>
          <cell r="AB101">
            <v>51</v>
          </cell>
          <cell r="AC101">
            <v>47</v>
          </cell>
          <cell r="AD101">
            <v>49</v>
          </cell>
          <cell r="AK101">
            <v>902000.72777351213</v>
          </cell>
          <cell r="AL101">
            <v>349</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22680.611130037629</v>
          </cell>
          <cell r="CI101">
            <v>0</v>
          </cell>
          <cell r="CJ101">
            <v>6039.25</v>
          </cell>
          <cell r="CK101">
            <v>7083.65</v>
          </cell>
          <cell r="CL101">
            <v>3908.1040385083629</v>
          </cell>
          <cell r="CM101">
            <v>39711.615168545992</v>
          </cell>
          <cell r="CQ101">
            <v>6093.8476755687434</v>
          </cell>
          <cell r="CR101">
            <v>24719.48</v>
          </cell>
          <cell r="CS101">
            <v>11720.94508877302</v>
          </cell>
          <cell r="CT101">
            <v>42534.27276434176</v>
          </cell>
          <cell r="CU101">
            <v>0</v>
          </cell>
          <cell r="CV101">
            <v>0</v>
          </cell>
          <cell r="CW101">
            <v>0</v>
          </cell>
          <cell r="CX101">
            <v>0</v>
          </cell>
          <cell r="CZ101">
            <v>0</v>
          </cell>
          <cell r="DC101">
            <v>0</v>
          </cell>
          <cell r="DD101">
            <v>60006.170171682563</v>
          </cell>
          <cell r="DE101">
            <v>128925.27153476169</v>
          </cell>
          <cell r="DF101">
            <v>5992.8219732683219</v>
          </cell>
          <cell r="DG101">
            <v>0</v>
          </cell>
          <cell r="DH101">
            <v>0</v>
          </cell>
          <cell r="DI101">
            <v>194924.26367971257</v>
          </cell>
          <cell r="DJ101">
            <v>6950.4</v>
          </cell>
          <cell r="DK101">
            <v>4213.6000000000004</v>
          </cell>
          <cell r="DL101">
            <v>2580.71</v>
          </cell>
          <cell r="DM101">
            <v>70073.495851086889</v>
          </cell>
          <cell r="DN101">
            <v>0</v>
          </cell>
          <cell r="DO101">
            <v>0</v>
          </cell>
          <cell r="DP101">
            <v>0</v>
          </cell>
          <cell r="DQ101">
            <v>83818.205851086881</v>
          </cell>
          <cell r="DR101">
            <v>0</v>
          </cell>
          <cell r="DS101">
            <v>0</v>
          </cell>
          <cell r="DT101">
            <v>0</v>
          </cell>
          <cell r="DU101">
            <v>0</v>
          </cell>
          <cell r="DV101">
            <v>0</v>
          </cell>
          <cell r="DW101">
            <v>0</v>
          </cell>
          <cell r="DX101">
            <v>0</v>
          </cell>
          <cell r="DY101">
            <v>3594.6233866411571</v>
          </cell>
          <cell r="DZ101">
            <v>1205.3108150120081</v>
          </cell>
          <cell r="EA101">
            <v>0</v>
          </cell>
          <cell r="EB101">
            <v>4799.9342016531655</v>
          </cell>
          <cell r="EE101">
            <v>0</v>
          </cell>
          <cell r="EH101">
            <v>0</v>
          </cell>
          <cell r="EI101">
            <v>0</v>
          </cell>
          <cell r="EK101">
            <v>0</v>
          </cell>
          <cell r="EL101">
            <v>0</v>
          </cell>
          <cell r="EM101">
            <v>0</v>
          </cell>
          <cell r="EO101">
            <v>0</v>
          </cell>
          <cell r="EP101">
            <v>0</v>
          </cell>
          <cell r="EQ101">
            <v>0</v>
          </cell>
          <cell r="ER101">
            <v>1267789.0194388526</v>
          </cell>
          <cell r="ET101">
            <v>349</v>
          </cell>
          <cell r="EU101">
            <v>3632.6332935210676</v>
          </cell>
          <cell r="EV101" t="str">
            <v>No Variation Applied</v>
          </cell>
          <cell r="EW101">
            <v>36850</v>
          </cell>
          <cell r="EX101">
            <v>0</v>
          </cell>
          <cell r="EY101">
            <v>0</v>
          </cell>
          <cell r="EZ101">
            <v>115045.36826348184</v>
          </cell>
        </row>
        <row r="102">
          <cell r="C102" t="str">
            <v>St Alban's Catholic Primary School, Chaddesden, Derby</v>
          </cell>
          <cell r="D102">
            <v>3543</v>
          </cell>
          <cell r="F102" t="str">
            <v/>
          </cell>
          <cell r="G102">
            <v>0</v>
          </cell>
          <cell r="H102">
            <v>25110</v>
          </cell>
          <cell r="I102">
            <v>0</v>
          </cell>
          <cell r="J102">
            <v>0</v>
          </cell>
          <cell r="L102">
            <v>87795.388472714127</v>
          </cell>
          <cell r="M102">
            <v>25110</v>
          </cell>
          <cell r="N102">
            <v>26.431578947368422</v>
          </cell>
          <cell r="S102">
            <v>0</v>
          </cell>
          <cell r="T102">
            <v>0</v>
          </cell>
          <cell r="U102">
            <v>45</v>
          </cell>
          <cell r="Y102">
            <v>46</v>
          </cell>
          <cell r="Z102">
            <v>41</v>
          </cell>
          <cell r="AA102">
            <v>35</v>
          </cell>
          <cell r="AB102">
            <v>37</v>
          </cell>
          <cell r="AC102">
            <v>39</v>
          </cell>
          <cell r="AD102">
            <v>34</v>
          </cell>
          <cell r="AK102">
            <v>716532.70100627351</v>
          </cell>
          <cell r="AL102">
            <v>277</v>
          </cell>
          <cell r="BS102">
            <v>3655.6380000000004</v>
          </cell>
          <cell r="BT102">
            <v>0</v>
          </cell>
          <cell r="BU102">
            <v>116.05200000000001</v>
          </cell>
          <cell r="BV102">
            <v>0</v>
          </cell>
          <cell r="BW102">
            <v>0</v>
          </cell>
          <cell r="BX102">
            <v>1066.6128000000026</v>
          </cell>
          <cell r="BY102">
            <v>0</v>
          </cell>
          <cell r="BZ102">
            <v>1003.8498</v>
          </cell>
          <cell r="CA102">
            <v>0</v>
          </cell>
          <cell r="CB102">
            <v>0</v>
          </cell>
          <cell r="CC102">
            <v>0</v>
          </cell>
          <cell r="CD102">
            <v>0</v>
          </cell>
          <cell r="CE102">
            <v>5842.1526000000031</v>
          </cell>
          <cell r="CF102">
            <v>22680.611130037629</v>
          </cell>
          <cell r="CI102">
            <v>0</v>
          </cell>
          <cell r="CJ102">
            <v>0</v>
          </cell>
          <cell r="CK102">
            <v>5622.27</v>
          </cell>
          <cell r="CL102">
            <v>4805.5347714466607</v>
          </cell>
          <cell r="CM102">
            <v>33108.415901484288</v>
          </cell>
          <cell r="CQ102">
            <v>1523.4619188921858</v>
          </cell>
          <cell r="CR102">
            <v>5024.29</v>
          </cell>
          <cell r="CS102">
            <v>4647.9609834789562</v>
          </cell>
          <cell r="CT102">
            <v>11195.712902371142</v>
          </cell>
          <cell r="CU102">
            <v>10511.335628572724</v>
          </cell>
          <cell r="CV102">
            <v>0</v>
          </cell>
          <cell r="CW102">
            <v>10511.335628572724</v>
          </cell>
          <cell r="CX102">
            <v>0</v>
          </cell>
          <cell r="CZ102">
            <v>0</v>
          </cell>
          <cell r="DC102">
            <v>0</v>
          </cell>
          <cell r="DD102">
            <v>44890.337184222597</v>
          </cell>
          <cell r="DE102">
            <v>48887.007724821451</v>
          </cell>
          <cell r="DF102">
            <v>5136.704548515705</v>
          </cell>
          <cell r="DG102">
            <v>0</v>
          </cell>
          <cell r="DH102">
            <v>0</v>
          </cell>
          <cell r="DI102">
            <v>98914.04945755974</v>
          </cell>
          <cell r="DJ102">
            <v>0</v>
          </cell>
          <cell r="DK102">
            <v>2885.4</v>
          </cell>
          <cell r="DL102">
            <v>5797.41</v>
          </cell>
          <cell r="DM102">
            <v>70073.495851086889</v>
          </cell>
          <cell r="DN102">
            <v>0</v>
          </cell>
          <cell r="DO102">
            <v>0</v>
          </cell>
          <cell r="DP102">
            <v>0</v>
          </cell>
          <cell r="DQ102">
            <v>78756.305851086887</v>
          </cell>
          <cell r="DR102">
            <v>0</v>
          </cell>
          <cell r="DS102">
            <v>0</v>
          </cell>
          <cell r="DT102">
            <v>0</v>
          </cell>
          <cell r="DU102">
            <v>0</v>
          </cell>
          <cell r="DV102">
            <v>0</v>
          </cell>
          <cell r="DW102">
            <v>0</v>
          </cell>
          <cell r="DX102">
            <v>0</v>
          </cell>
          <cell r="DY102">
            <v>2941.0554981609466</v>
          </cell>
          <cell r="DZ102">
            <v>956.65070417858522</v>
          </cell>
          <cell r="EA102">
            <v>0</v>
          </cell>
          <cell r="EB102">
            <v>3897.706202339532</v>
          </cell>
          <cell r="EE102">
            <v>0</v>
          </cell>
          <cell r="EH102">
            <v>0</v>
          </cell>
          <cell r="EI102">
            <v>0</v>
          </cell>
          <cell r="EK102">
            <v>0</v>
          </cell>
          <cell r="EL102">
            <v>0</v>
          </cell>
          <cell r="EM102">
            <v>0</v>
          </cell>
          <cell r="EO102">
            <v>0</v>
          </cell>
          <cell r="EP102">
            <v>12596.6774811754</v>
          </cell>
          <cell r="EQ102">
            <v>93637.541072714128</v>
          </cell>
          <cell r="ER102">
            <v>1059150.4455035774</v>
          </cell>
          <cell r="ET102">
            <v>303.43157894736839</v>
          </cell>
          <cell r="EU102">
            <v>3490.5742150433589</v>
          </cell>
          <cell r="EV102" t="str">
            <v>No Variation Applied</v>
          </cell>
          <cell r="EW102">
            <v>33000</v>
          </cell>
          <cell r="EX102">
            <v>0</v>
          </cell>
          <cell r="EY102">
            <v>0</v>
          </cell>
          <cell r="EZ102">
            <v>82765.550018481459</v>
          </cell>
        </row>
        <row r="103">
          <cell r="C103" t="str">
            <v>Hardwick Primary School</v>
          </cell>
          <cell r="D103">
            <v>3544</v>
          </cell>
          <cell r="F103" t="str">
            <v/>
          </cell>
          <cell r="G103">
            <v>0</v>
          </cell>
          <cell r="H103">
            <v>31920</v>
          </cell>
          <cell r="I103">
            <v>0</v>
          </cell>
          <cell r="J103">
            <v>0</v>
          </cell>
          <cell r="L103">
            <v>111606.08522696276</v>
          </cell>
          <cell r="M103">
            <v>31920</v>
          </cell>
          <cell r="N103">
            <v>33.6</v>
          </cell>
          <cell r="S103">
            <v>0</v>
          </cell>
          <cell r="T103">
            <v>0</v>
          </cell>
          <cell r="U103">
            <v>60</v>
          </cell>
          <cell r="Y103">
            <v>60</v>
          </cell>
          <cell r="Z103">
            <v>60</v>
          </cell>
          <cell r="AA103">
            <v>87</v>
          </cell>
          <cell r="AB103">
            <v>90</v>
          </cell>
          <cell r="AC103">
            <v>89</v>
          </cell>
          <cell r="AD103">
            <v>86</v>
          </cell>
          <cell r="AK103">
            <v>1372841.0157693299</v>
          </cell>
          <cell r="AL103">
            <v>532</v>
          </cell>
          <cell r="BS103">
            <v>20657.255999999998</v>
          </cell>
          <cell r="BT103">
            <v>0</v>
          </cell>
          <cell r="BU103">
            <v>5570.4960000000001</v>
          </cell>
          <cell r="BV103">
            <v>0</v>
          </cell>
          <cell r="BW103">
            <v>0</v>
          </cell>
          <cell r="BX103">
            <v>-15115.216699908138</v>
          </cell>
          <cell r="BY103">
            <v>0</v>
          </cell>
          <cell r="BZ103">
            <v>1003.8498</v>
          </cell>
          <cell r="CA103">
            <v>0</v>
          </cell>
          <cell r="CB103">
            <v>0</v>
          </cell>
          <cell r="CC103">
            <v>0</v>
          </cell>
          <cell r="CD103">
            <v>0</v>
          </cell>
          <cell r="CE103">
            <v>12116.385100091858</v>
          </cell>
          <cell r="CF103">
            <v>22680.611130037629</v>
          </cell>
          <cell r="CI103">
            <v>0</v>
          </cell>
          <cell r="CJ103">
            <v>0</v>
          </cell>
          <cell r="CK103">
            <v>10798</v>
          </cell>
          <cell r="CL103">
            <v>5553.874653789635</v>
          </cell>
          <cell r="CM103">
            <v>39032.485783827266</v>
          </cell>
          <cell r="CQ103">
            <v>37324.817012858555</v>
          </cell>
          <cell r="CR103">
            <v>96667.25</v>
          </cell>
          <cell r="CS103">
            <v>89119.599726705215</v>
          </cell>
          <cell r="CT103">
            <v>223111.66673956375</v>
          </cell>
          <cell r="CU103">
            <v>11011.875420409518</v>
          </cell>
          <cell r="CV103">
            <v>0</v>
          </cell>
          <cell r="CW103">
            <v>11011.875420409518</v>
          </cell>
          <cell r="CX103">
            <v>0</v>
          </cell>
          <cell r="CZ103">
            <v>0</v>
          </cell>
          <cell r="DC103">
            <v>0</v>
          </cell>
          <cell r="DD103">
            <v>199514.24828033752</v>
          </cell>
          <cell r="DE103">
            <v>349940.02273721033</v>
          </cell>
          <cell r="DF103">
            <v>10273.40909703141</v>
          </cell>
          <cell r="DG103">
            <v>0</v>
          </cell>
          <cell r="DH103">
            <v>0</v>
          </cell>
          <cell r="DI103">
            <v>559727.68011457927</v>
          </cell>
          <cell r="DJ103">
            <v>0</v>
          </cell>
          <cell r="DK103">
            <v>67784</v>
          </cell>
          <cell r="DL103">
            <v>4029.51</v>
          </cell>
          <cell r="DM103">
            <v>70073.495851086889</v>
          </cell>
          <cell r="DN103">
            <v>0</v>
          </cell>
          <cell r="DO103">
            <v>0</v>
          </cell>
          <cell r="DP103">
            <v>0</v>
          </cell>
          <cell r="DQ103">
            <v>141887.00585108687</v>
          </cell>
          <cell r="DR103">
            <v>119337.89101997581</v>
          </cell>
          <cell r="DS103">
            <v>0</v>
          </cell>
          <cell r="DT103">
            <v>20229.898887368596</v>
          </cell>
          <cell r="DU103">
            <v>0</v>
          </cell>
          <cell r="DV103">
            <v>0</v>
          </cell>
          <cell r="DW103">
            <v>0</v>
          </cell>
          <cell r="DX103">
            <v>139567.78990734441</v>
          </cell>
          <cell r="DY103">
            <v>14705.277490804734</v>
          </cell>
          <cell r="DZ103">
            <v>0</v>
          </cell>
          <cell r="EA103">
            <v>0</v>
          </cell>
          <cell r="EB103">
            <v>14705.277490804734</v>
          </cell>
          <cell r="EE103">
            <v>0</v>
          </cell>
          <cell r="EH103">
            <v>0</v>
          </cell>
          <cell r="EI103">
            <v>0</v>
          </cell>
          <cell r="EK103">
            <v>0</v>
          </cell>
          <cell r="EL103">
            <v>10137</v>
          </cell>
          <cell r="EM103">
            <v>0</v>
          </cell>
          <cell r="EO103">
            <v>10137</v>
          </cell>
          <cell r="EP103">
            <v>0</v>
          </cell>
          <cell r="EQ103">
            <v>123722.47032705462</v>
          </cell>
          <cell r="ER103">
            <v>2635744.2674040003</v>
          </cell>
          <cell r="ET103">
            <v>565.6</v>
          </cell>
          <cell r="EU103">
            <v>4660.0853384087695</v>
          </cell>
          <cell r="EV103" t="str">
            <v>No Variation Applied</v>
          </cell>
          <cell r="EW103">
            <v>115200</v>
          </cell>
          <cell r="EX103">
            <v>0</v>
          </cell>
          <cell r="EY103">
            <v>0</v>
          </cell>
          <cell r="EZ103">
            <v>398385.3839322807</v>
          </cell>
        </row>
        <row r="104">
          <cell r="C104" t="str">
            <v>Village Primary School</v>
          </cell>
          <cell r="D104">
            <v>3546</v>
          </cell>
          <cell r="F104" t="str">
            <v/>
          </cell>
          <cell r="G104">
            <v>0</v>
          </cell>
          <cell r="H104">
            <v>44460</v>
          </cell>
          <cell r="I104">
            <v>0</v>
          </cell>
          <cell r="J104">
            <v>0</v>
          </cell>
          <cell r="L104">
            <v>155451.33299469814</v>
          </cell>
          <cell r="M104">
            <v>44460</v>
          </cell>
          <cell r="N104">
            <v>46.8</v>
          </cell>
          <cell r="S104">
            <v>0</v>
          </cell>
          <cell r="T104">
            <v>0</v>
          </cell>
          <cell r="U104">
            <v>75</v>
          </cell>
          <cell r="Y104">
            <v>75</v>
          </cell>
          <cell r="Z104">
            <v>75</v>
          </cell>
          <cell r="AA104">
            <v>69</v>
          </cell>
          <cell r="AB104">
            <v>75</v>
          </cell>
          <cell r="AC104">
            <v>58</v>
          </cell>
          <cell r="AD104">
            <v>73</v>
          </cell>
          <cell r="AK104">
            <v>1292116.2534583374</v>
          </cell>
          <cell r="AL104">
            <v>500</v>
          </cell>
          <cell r="BS104">
            <v>22165.931999999997</v>
          </cell>
          <cell r="BT104">
            <v>0</v>
          </cell>
          <cell r="BU104">
            <v>3017.3519999999999</v>
          </cell>
          <cell r="BV104">
            <v>0</v>
          </cell>
          <cell r="BW104">
            <v>0</v>
          </cell>
          <cell r="BX104">
            <v>-13637.573399999994</v>
          </cell>
          <cell r="BY104">
            <v>0</v>
          </cell>
          <cell r="BZ104">
            <v>3011.5493999999999</v>
          </cell>
          <cell r="CA104">
            <v>0</v>
          </cell>
          <cell r="CB104">
            <v>0</v>
          </cell>
          <cell r="CC104">
            <v>0</v>
          </cell>
          <cell r="CD104">
            <v>0</v>
          </cell>
          <cell r="CE104">
            <v>14557.260000000002</v>
          </cell>
          <cell r="CF104">
            <v>34020.916695056439</v>
          </cell>
          <cell r="CI104">
            <v>0</v>
          </cell>
          <cell r="CJ104">
            <v>0</v>
          </cell>
          <cell r="CK104">
            <v>10148.5</v>
          </cell>
          <cell r="CL104">
            <v>4882.4848878829562</v>
          </cell>
          <cell r="CM104">
            <v>49051.901582939397</v>
          </cell>
          <cell r="CQ104">
            <v>5332.1167161226504</v>
          </cell>
          <cell r="CR104">
            <v>37179.71</v>
          </cell>
          <cell r="CS104">
            <v>37385.77312798291</v>
          </cell>
          <cell r="CT104">
            <v>79897.599844105556</v>
          </cell>
          <cell r="CU104">
            <v>34662.380584698149</v>
          </cell>
          <cell r="CV104">
            <v>0</v>
          </cell>
          <cell r="CW104">
            <v>34662.380584698149</v>
          </cell>
          <cell r="CX104">
            <v>0</v>
          </cell>
          <cell r="CZ104">
            <v>0</v>
          </cell>
          <cell r="DC104">
            <v>0</v>
          </cell>
          <cell r="DD104">
            <v>293247.15995672345</v>
          </cell>
          <cell r="DE104">
            <v>287182.74770441628</v>
          </cell>
          <cell r="DF104">
            <v>9417.2916722787922</v>
          </cell>
          <cell r="DG104">
            <v>0</v>
          </cell>
          <cell r="DH104">
            <v>0</v>
          </cell>
          <cell r="DI104">
            <v>589847.19933341851</v>
          </cell>
          <cell r="DJ104">
            <v>0</v>
          </cell>
          <cell r="DK104">
            <v>76028</v>
          </cell>
          <cell r="DL104">
            <v>4320.46</v>
          </cell>
          <cell r="DM104">
            <v>70073.495851086889</v>
          </cell>
          <cell r="DN104">
            <v>0</v>
          </cell>
          <cell r="DO104">
            <v>0</v>
          </cell>
          <cell r="DP104">
            <v>0</v>
          </cell>
          <cell r="DQ104">
            <v>150421.95585108688</v>
          </cell>
          <cell r="DR104">
            <v>0</v>
          </cell>
          <cell r="DS104">
            <v>0</v>
          </cell>
          <cell r="DT104">
            <v>0</v>
          </cell>
          <cell r="DU104">
            <v>0</v>
          </cell>
          <cell r="DV104">
            <v>0</v>
          </cell>
          <cell r="DW104">
            <v>0</v>
          </cell>
          <cell r="DX104">
            <v>0</v>
          </cell>
          <cell r="DY104">
            <v>7189.2467732823143</v>
          </cell>
          <cell r="DZ104">
            <v>0</v>
          </cell>
          <cell r="EA104">
            <v>0</v>
          </cell>
          <cell r="EB104">
            <v>7189.2467732823143</v>
          </cell>
          <cell r="EE104">
            <v>0</v>
          </cell>
          <cell r="EH104">
            <v>0</v>
          </cell>
          <cell r="EI104">
            <v>0</v>
          </cell>
          <cell r="EK104">
            <v>0</v>
          </cell>
          <cell r="EL104">
            <v>4129</v>
          </cell>
          <cell r="EM104">
            <v>0</v>
          </cell>
          <cell r="EO104">
            <v>4129</v>
          </cell>
          <cell r="EP104">
            <v>87191.508033495862</v>
          </cell>
          <cell r="EQ104">
            <v>170008.59299469815</v>
          </cell>
          <cell r="ER104">
            <v>2464515.6384560624</v>
          </cell>
          <cell r="ET104">
            <v>546.79999999999995</v>
          </cell>
          <cell r="EU104">
            <v>4507.1610066862886</v>
          </cell>
          <cell r="EV104" t="str">
            <v>No Variation Applied</v>
          </cell>
          <cell r="EW104">
            <v>145950</v>
          </cell>
          <cell r="EX104">
            <v>0</v>
          </cell>
          <cell r="EY104">
            <v>0</v>
          </cell>
          <cell r="EZ104">
            <v>414028.76277118706</v>
          </cell>
        </row>
        <row r="105">
          <cell r="C105" t="str">
            <v>Borrow Wood Primary School</v>
          </cell>
          <cell r="D105">
            <v>5201</v>
          </cell>
          <cell r="F105" t="str">
            <v/>
          </cell>
          <cell r="G105">
            <v>0</v>
          </cell>
          <cell r="H105">
            <v>29460</v>
          </cell>
          <cell r="I105">
            <v>0</v>
          </cell>
          <cell r="J105">
            <v>0</v>
          </cell>
          <cell r="L105">
            <v>103004.86437300511</v>
          </cell>
          <cell r="M105">
            <v>29460</v>
          </cell>
          <cell r="N105">
            <v>31.010526315789473</v>
          </cell>
          <cell r="S105">
            <v>0</v>
          </cell>
          <cell r="T105">
            <v>0</v>
          </cell>
          <cell r="U105">
            <v>60</v>
          </cell>
          <cell r="Y105">
            <v>59</v>
          </cell>
          <cell r="Z105">
            <v>53</v>
          </cell>
          <cell r="AA105">
            <v>53</v>
          </cell>
          <cell r="AB105">
            <v>38</v>
          </cell>
          <cell r="AC105">
            <v>54</v>
          </cell>
          <cell r="AD105">
            <v>45</v>
          </cell>
          <cell r="AK105">
            <v>937011.27292224672</v>
          </cell>
          <cell r="AL105">
            <v>362</v>
          </cell>
          <cell r="BS105">
            <v>2088.9360000000001</v>
          </cell>
          <cell r="BT105">
            <v>0</v>
          </cell>
          <cell r="BU105">
            <v>0</v>
          </cell>
          <cell r="BV105">
            <v>0</v>
          </cell>
          <cell r="BW105">
            <v>0</v>
          </cell>
          <cell r="BX105">
            <v>3346.0338121711393</v>
          </cell>
          <cell r="BY105">
            <v>0</v>
          </cell>
          <cell r="BZ105">
            <v>1003.8498</v>
          </cell>
          <cell r="CA105">
            <v>0</v>
          </cell>
          <cell r="CB105">
            <v>0</v>
          </cell>
          <cell r="CC105">
            <v>0</v>
          </cell>
          <cell r="CD105">
            <v>0</v>
          </cell>
          <cell r="CE105">
            <v>6438.8196121711389</v>
          </cell>
          <cell r="CF105">
            <v>22680.611130037629</v>
          </cell>
          <cell r="CI105">
            <v>0</v>
          </cell>
          <cell r="CJ105">
            <v>0</v>
          </cell>
          <cell r="CK105">
            <v>7347.51</v>
          </cell>
          <cell r="CL105">
            <v>6290.6720186671655</v>
          </cell>
          <cell r="CM105">
            <v>36318.793148704797</v>
          </cell>
          <cell r="CQ105">
            <v>1523.4619188921858</v>
          </cell>
          <cell r="CR105">
            <v>0</v>
          </cell>
          <cell r="CS105">
            <v>606.25578045377688</v>
          </cell>
          <cell r="CT105">
            <v>2129.7176993459625</v>
          </cell>
          <cell r="CU105">
            <v>15516.733546940686</v>
          </cell>
          <cell r="CV105">
            <v>0</v>
          </cell>
          <cell r="CW105">
            <v>15516.733546940686</v>
          </cell>
          <cell r="CX105">
            <v>0</v>
          </cell>
          <cell r="CZ105">
            <v>0</v>
          </cell>
          <cell r="DC105">
            <v>0</v>
          </cell>
          <cell r="DD105">
            <v>47515.330620093686</v>
          </cell>
          <cell r="DE105">
            <v>24329.813146771608</v>
          </cell>
          <cell r="DF105">
            <v>5992.8219732683219</v>
          </cell>
          <cell r="DG105">
            <v>0</v>
          </cell>
          <cell r="DH105">
            <v>0</v>
          </cell>
          <cell r="DI105">
            <v>77837.965740133615</v>
          </cell>
          <cell r="DJ105">
            <v>0</v>
          </cell>
          <cell r="DK105">
            <v>10396.6</v>
          </cell>
          <cell r="DL105">
            <v>6794.99</v>
          </cell>
          <cell r="DM105">
            <v>70073.495851086889</v>
          </cell>
          <cell r="DN105">
            <v>0</v>
          </cell>
          <cell r="DO105">
            <v>0</v>
          </cell>
          <cell r="DP105">
            <v>0</v>
          </cell>
          <cell r="DQ105">
            <v>87265.085851086886</v>
          </cell>
          <cell r="DR105">
            <v>0</v>
          </cell>
          <cell r="DS105">
            <v>0</v>
          </cell>
          <cell r="DT105">
            <v>0</v>
          </cell>
          <cell r="DU105">
            <v>0</v>
          </cell>
          <cell r="DV105">
            <v>0</v>
          </cell>
          <cell r="DW105">
            <v>0</v>
          </cell>
          <cell r="DX105">
            <v>0</v>
          </cell>
          <cell r="DY105">
            <v>6535.6788848021042</v>
          </cell>
          <cell r="DZ105">
            <v>1250.2077794680429</v>
          </cell>
          <cell r="EA105">
            <v>0</v>
          </cell>
          <cell r="EB105">
            <v>7785.8866642701469</v>
          </cell>
          <cell r="EE105">
            <v>0</v>
          </cell>
          <cell r="EH105">
            <v>0</v>
          </cell>
          <cell r="EI105">
            <v>9986.6869999999999</v>
          </cell>
          <cell r="EK105">
            <v>0</v>
          </cell>
          <cell r="EL105">
            <v>4254</v>
          </cell>
          <cell r="EM105">
            <v>0</v>
          </cell>
          <cell r="EO105">
            <v>14240.687</v>
          </cell>
          <cell r="EP105">
            <v>22237.158821712481</v>
          </cell>
          <cell r="EQ105">
            <v>109443.68398517625</v>
          </cell>
          <cell r="ER105">
            <v>1309786.9853796172</v>
          </cell>
          <cell r="ET105">
            <v>393.01052631578949</v>
          </cell>
          <cell r="EU105">
            <v>3332.7020465787346</v>
          </cell>
          <cell r="EV105" t="str">
            <v>No Variation Applied</v>
          </cell>
          <cell r="EW105">
            <v>32400</v>
          </cell>
          <cell r="EX105">
            <v>0</v>
          </cell>
          <cell r="EY105">
            <v>0</v>
          </cell>
          <cell r="EZ105">
            <v>93271.572647688154</v>
          </cell>
        </row>
        <row r="106">
          <cell r="C106" t="str">
            <v>Chellaston Junior School</v>
          </cell>
          <cell r="D106">
            <v>5203</v>
          </cell>
          <cell r="F106" t="str">
            <v/>
          </cell>
          <cell r="G106">
            <v>0</v>
          </cell>
          <cell r="H106">
            <v>0</v>
          </cell>
          <cell r="I106">
            <v>0</v>
          </cell>
          <cell r="J106">
            <v>0</v>
          </cell>
          <cell r="L106">
            <v>0</v>
          </cell>
          <cell r="M106">
            <v>0</v>
          </cell>
          <cell r="N106">
            <v>0</v>
          </cell>
          <cell r="S106">
            <v>0</v>
          </cell>
          <cell r="T106">
            <v>0</v>
          </cell>
          <cell r="U106">
            <v>0</v>
          </cell>
          <cell r="Y106">
            <v>0</v>
          </cell>
          <cell r="Z106">
            <v>0</v>
          </cell>
          <cell r="AA106">
            <v>120</v>
          </cell>
          <cell r="AB106">
            <v>120</v>
          </cell>
          <cell r="AC106">
            <v>121</v>
          </cell>
          <cell r="AD106">
            <v>120</v>
          </cell>
          <cell r="AK106">
            <v>1235834.8049566618</v>
          </cell>
          <cell r="AL106">
            <v>481</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I106">
            <v>0</v>
          </cell>
          <cell r="CJ106">
            <v>8323.43</v>
          </cell>
          <cell r="CK106">
            <v>9762.86</v>
          </cell>
          <cell r="CL106">
            <v>10680.676161357831</v>
          </cell>
          <cell r="CM106">
            <v>28766.966161357832</v>
          </cell>
          <cell r="CQ106">
            <v>2285.1928783382787</v>
          </cell>
          <cell r="CR106">
            <v>4622.34</v>
          </cell>
          <cell r="CS106">
            <v>8487.5809263528772</v>
          </cell>
          <cell r="CT106">
            <v>15395.113804691156</v>
          </cell>
          <cell r="CU106">
            <v>21773.480944900642</v>
          </cell>
          <cell r="CV106">
            <v>0</v>
          </cell>
          <cell r="CW106">
            <v>21773.480944900642</v>
          </cell>
          <cell r="CX106">
            <v>0</v>
          </cell>
          <cell r="CZ106">
            <v>0</v>
          </cell>
          <cell r="DC106">
            <v>0</v>
          </cell>
          <cell r="DD106">
            <v>71494.203242152144</v>
          </cell>
          <cell r="DE106">
            <v>39109.606179857161</v>
          </cell>
          <cell r="DF106">
            <v>6848.9393980209397</v>
          </cell>
          <cell r="DG106">
            <v>0</v>
          </cell>
          <cell r="DH106">
            <v>0</v>
          </cell>
          <cell r="DI106">
            <v>117452.74882003025</v>
          </cell>
          <cell r="DJ106">
            <v>9676.9500000000007</v>
          </cell>
          <cell r="DK106">
            <v>4442.6000000000004</v>
          </cell>
          <cell r="DL106">
            <v>5922.89</v>
          </cell>
          <cell r="DM106">
            <v>70073.495851086889</v>
          </cell>
          <cell r="DN106">
            <v>0</v>
          </cell>
          <cell r="DO106">
            <v>0</v>
          </cell>
          <cell r="DP106">
            <v>0</v>
          </cell>
          <cell r="DQ106">
            <v>90115.935851086891</v>
          </cell>
          <cell r="DR106">
            <v>0</v>
          </cell>
          <cell r="DS106">
            <v>0</v>
          </cell>
          <cell r="DT106">
            <v>0</v>
          </cell>
          <cell r="DU106">
            <v>0</v>
          </cell>
          <cell r="DV106">
            <v>0</v>
          </cell>
          <cell r="DW106">
            <v>0</v>
          </cell>
          <cell r="DX106">
            <v>0</v>
          </cell>
          <cell r="DY106">
            <v>3921.4073308812622</v>
          </cell>
          <cell r="DZ106">
            <v>1661.1876848732834</v>
          </cell>
          <cell r="EA106">
            <v>0</v>
          </cell>
          <cell r="EB106">
            <v>5582.5950157545458</v>
          </cell>
          <cell r="EE106">
            <v>0</v>
          </cell>
          <cell r="EH106">
            <v>0</v>
          </cell>
          <cell r="EI106">
            <v>13988.362700000005</v>
          </cell>
          <cell r="EK106">
            <v>0</v>
          </cell>
          <cell r="EL106">
            <v>2002</v>
          </cell>
          <cell r="EM106">
            <v>0</v>
          </cell>
          <cell r="EO106">
            <v>15990.362700000005</v>
          </cell>
          <cell r="EP106">
            <v>0</v>
          </cell>
          <cell r="EQ106">
            <v>0</v>
          </cell>
          <cell r="ER106">
            <v>1530912.0082544829</v>
          </cell>
          <cell r="ET106">
            <v>481</v>
          </cell>
          <cell r="EU106">
            <v>3182.7692479303178</v>
          </cell>
          <cell r="EV106" t="str">
            <v>No Variation Applied</v>
          </cell>
          <cell r="EW106">
            <v>51600</v>
          </cell>
          <cell r="EX106">
            <v>0</v>
          </cell>
          <cell r="EY106">
            <v>0</v>
          </cell>
          <cell r="EZ106">
            <v>131120.5851469879</v>
          </cell>
        </row>
        <row r="107">
          <cell r="C107" t="str">
            <v>Shelton Junior School</v>
          </cell>
          <cell r="D107">
            <v>5209</v>
          </cell>
          <cell r="F107" t="str">
            <v/>
          </cell>
          <cell r="G107">
            <v>0</v>
          </cell>
          <cell r="H107">
            <v>0</v>
          </cell>
          <cell r="I107">
            <v>0</v>
          </cell>
          <cell r="J107">
            <v>0</v>
          </cell>
          <cell r="L107">
            <v>0</v>
          </cell>
          <cell r="M107">
            <v>0</v>
          </cell>
          <cell r="N107">
            <v>0</v>
          </cell>
          <cell r="S107">
            <v>0</v>
          </cell>
          <cell r="T107">
            <v>0</v>
          </cell>
          <cell r="U107">
            <v>0</v>
          </cell>
          <cell r="Y107">
            <v>0</v>
          </cell>
          <cell r="Z107">
            <v>0</v>
          </cell>
          <cell r="AA107">
            <v>72</v>
          </cell>
          <cell r="AB107">
            <v>69</v>
          </cell>
          <cell r="AC107">
            <v>69</v>
          </cell>
          <cell r="AD107">
            <v>59</v>
          </cell>
          <cell r="AK107">
            <v>691142.54164935963</v>
          </cell>
          <cell r="AL107">
            <v>269</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I107">
            <v>0</v>
          </cell>
          <cell r="CJ107">
            <v>4654.8900000000003</v>
          </cell>
          <cell r="CK107">
            <v>5459.89</v>
          </cell>
          <cell r="CL107">
            <v>3216.5148670371559</v>
          </cell>
          <cell r="CM107">
            <v>13331.294867037157</v>
          </cell>
          <cell r="CQ107">
            <v>761.73095944609292</v>
          </cell>
          <cell r="CR107">
            <v>1808.74</v>
          </cell>
          <cell r="CS107">
            <v>5456.3020240839924</v>
          </cell>
          <cell r="CT107">
            <v>8026.7729835300852</v>
          </cell>
          <cell r="CU107">
            <v>4379.7231785719678</v>
          </cell>
          <cell r="CV107">
            <v>0</v>
          </cell>
          <cell r="CW107">
            <v>4379.7231785719678</v>
          </cell>
          <cell r="CX107">
            <v>0</v>
          </cell>
          <cell r="CZ107">
            <v>0</v>
          </cell>
          <cell r="DC107">
            <v>0</v>
          </cell>
          <cell r="DD107">
            <v>97581.918905387938</v>
          </cell>
          <cell r="DE107">
            <v>107778.79842588544</v>
          </cell>
          <cell r="DF107">
            <v>8561.1742475261744</v>
          </cell>
          <cell r="DG107">
            <v>0</v>
          </cell>
          <cell r="DH107">
            <v>0</v>
          </cell>
          <cell r="DI107">
            <v>213921.89157879955</v>
          </cell>
          <cell r="DJ107">
            <v>4468.0600000000004</v>
          </cell>
          <cell r="DK107">
            <v>2312.9</v>
          </cell>
          <cell r="DL107">
            <v>5139.75</v>
          </cell>
          <cell r="DM107">
            <v>70073.495851086889</v>
          </cell>
          <cell r="DN107">
            <v>0</v>
          </cell>
          <cell r="DO107">
            <v>0</v>
          </cell>
          <cell r="DP107">
            <v>0</v>
          </cell>
          <cell r="DQ107">
            <v>81994.205851086896</v>
          </cell>
          <cell r="DR107">
            <v>0</v>
          </cell>
          <cell r="DS107">
            <v>0</v>
          </cell>
          <cell r="DT107">
            <v>0</v>
          </cell>
          <cell r="DU107">
            <v>0</v>
          </cell>
          <cell r="DV107">
            <v>0</v>
          </cell>
          <cell r="DW107">
            <v>0</v>
          </cell>
          <cell r="DX107">
            <v>0</v>
          </cell>
          <cell r="DY107">
            <v>2941.0554981609466</v>
          </cell>
          <cell r="DZ107">
            <v>929.02180297487155</v>
          </cell>
          <cell r="EA107">
            <v>0</v>
          </cell>
          <cell r="EB107">
            <v>3870.0773011358183</v>
          </cell>
          <cell r="EE107">
            <v>0</v>
          </cell>
          <cell r="EH107">
            <v>0</v>
          </cell>
          <cell r="EI107">
            <v>0</v>
          </cell>
          <cell r="EK107">
            <v>0</v>
          </cell>
          <cell r="EL107">
            <v>0</v>
          </cell>
          <cell r="EM107">
            <v>0</v>
          </cell>
          <cell r="EO107">
            <v>0</v>
          </cell>
          <cell r="EP107">
            <v>0</v>
          </cell>
          <cell r="EQ107">
            <v>0</v>
          </cell>
          <cell r="ER107">
            <v>1016666.5074095213</v>
          </cell>
          <cell r="ET107">
            <v>269</v>
          </cell>
          <cell r="EU107">
            <v>3779.4293955744283</v>
          </cell>
          <cell r="EV107" t="str">
            <v>No Variation Applied</v>
          </cell>
          <cell r="EW107">
            <v>69250</v>
          </cell>
          <cell r="EX107">
            <v>0</v>
          </cell>
          <cell r="EY107">
            <v>0</v>
          </cell>
          <cell r="EZ107">
            <v>127317.2549385211</v>
          </cell>
        </row>
        <row r="109">
          <cell r="A109" t="str">
            <v>Middle Deemed Primary Schools</v>
          </cell>
        </row>
        <row r="110">
          <cell r="L110">
            <v>0</v>
          </cell>
          <cell r="M110">
            <v>0</v>
          </cell>
          <cell r="N110">
            <v>0</v>
          </cell>
          <cell r="S110">
            <v>0</v>
          </cell>
          <cell r="T110">
            <v>0</v>
          </cell>
          <cell r="AK110">
            <v>0</v>
          </cell>
          <cell r="AL110">
            <v>0</v>
          </cell>
          <cell r="CE110">
            <v>0</v>
          </cell>
          <cell r="CM110">
            <v>0</v>
          </cell>
          <cell r="CT110">
            <v>0</v>
          </cell>
          <cell r="CW110">
            <v>0</v>
          </cell>
          <cell r="CZ110">
            <v>0</v>
          </cell>
          <cell r="DC110">
            <v>0</v>
          </cell>
          <cell r="DI110">
            <v>0</v>
          </cell>
          <cell r="DQ110">
            <v>0</v>
          </cell>
          <cell r="DX110">
            <v>0</v>
          </cell>
          <cell r="EB110">
            <v>0</v>
          </cell>
          <cell r="EE110">
            <v>0</v>
          </cell>
          <cell r="EH110">
            <v>0</v>
          </cell>
          <cell r="EO110">
            <v>0</v>
          </cell>
          <cell r="EQ110">
            <v>0</v>
          </cell>
          <cell r="ER110">
            <v>0</v>
          </cell>
          <cell r="ET110">
            <v>0</v>
          </cell>
          <cell r="EU110">
            <v>0</v>
          </cell>
        </row>
        <row r="112">
          <cell r="B112" t="str">
            <v>Total/average Primary Schools</v>
          </cell>
          <cell r="G112">
            <v>0</v>
          </cell>
          <cell r="H112">
            <v>1151748</v>
          </cell>
          <cell r="I112">
            <v>0</v>
          </cell>
          <cell r="J112">
            <v>0</v>
          </cell>
          <cell r="K112">
            <v>0</v>
          </cell>
          <cell r="L112">
            <v>4027007.6894731792</v>
          </cell>
          <cell r="M112">
            <v>1151748</v>
          </cell>
          <cell r="N112">
            <v>1212.3663157894737</v>
          </cell>
          <cell r="O112">
            <v>0</v>
          </cell>
          <cell r="P112">
            <v>0</v>
          </cell>
          <cell r="Q112">
            <v>0</v>
          </cell>
          <cell r="R112">
            <v>0</v>
          </cell>
          <cell r="S112">
            <v>0</v>
          </cell>
          <cell r="T112">
            <v>0</v>
          </cell>
          <cell r="U112">
            <v>3073</v>
          </cell>
          <cell r="V112">
            <v>0</v>
          </cell>
          <cell r="W112">
            <v>0</v>
          </cell>
          <cell r="X112">
            <v>0</v>
          </cell>
          <cell r="Y112">
            <v>2984</v>
          </cell>
          <cell r="Z112">
            <v>2902</v>
          </cell>
          <cell r="AA112">
            <v>2904</v>
          </cell>
          <cell r="AB112">
            <v>2754</v>
          </cell>
          <cell r="AC112">
            <v>2703</v>
          </cell>
          <cell r="AD112">
            <v>2705</v>
          </cell>
          <cell r="AE112">
            <v>0</v>
          </cell>
          <cell r="AF112">
            <v>0</v>
          </cell>
          <cell r="AG112">
            <v>0</v>
          </cell>
          <cell r="AH112">
            <v>0</v>
          </cell>
          <cell r="AI112">
            <v>0</v>
          </cell>
          <cell r="AJ112">
            <v>0</v>
          </cell>
          <cell r="AK112">
            <v>51787081.491367385</v>
          </cell>
          <cell r="AL112">
            <v>20025</v>
          </cell>
          <cell r="BS112">
            <v>388178.46639999986</v>
          </cell>
          <cell r="BT112">
            <v>0</v>
          </cell>
          <cell r="BU112">
            <v>47898.528800000007</v>
          </cell>
          <cell r="BV112">
            <v>0</v>
          </cell>
          <cell r="BW112">
            <v>0</v>
          </cell>
          <cell r="BX112">
            <v>-95834.351361229812</v>
          </cell>
          <cell r="BY112">
            <v>0</v>
          </cell>
          <cell r="BZ112">
            <v>86331.082799999989</v>
          </cell>
          <cell r="CA112">
            <v>0</v>
          </cell>
          <cell r="CB112">
            <v>0</v>
          </cell>
          <cell r="CC112">
            <v>0</v>
          </cell>
          <cell r="CD112">
            <v>0</v>
          </cell>
          <cell r="CE112">
            <v>426573.72663877008</v>
          </cell>
          <cell r="CF112">
            <v>1338156.0566722197</v>
          </cell>
          <cell r="CG112">
            <v>0</v>
          </cell>
          <cell r="CH112">
            <v>0</v>
          </cell>
          <cell r="CI112">
            <v>0</v>
          </cell>
          <cell r="CJ112">
            <v>25091.43</v>
          </cell>
          <cell r="CK112">
            <v>406447.36000000016</v>
          </cell>
          <cell r="CL112">
            <v>224308.30690986101</v>
          </cell>
          <cell r="CM112">
            <v>1994003.1535820803</v>
          </cell>
          <cell r="CQ112">
            <v>541590.71216617187</v>
          </cell>
          <cell r="CR112">
            <v>786602.1399999999</v>
          </cell>
          <cell r="CS112">
            <v>815818.19523063255</v>
          </cell>
          <cell r="CT112">
            <v>2144011.0473968037</v>
          </cell>
          <cell r="CU112">
            <v>617465.88720987237</v>
          </cell>
          <cell r="CV112">
            <v>72077.730024498669</v>
          </cell>
          <cell r="CW112">
            <v>689543.6172343709</v>
          </cell>
          <cell r="CX112">
            <v>2353496.168027265</v>
          </cell>
          <cell r="CY112">
            <v>0</v>
          </cell>
          <cell r="CZ112">
            <v>2353496.168027265</v>
          </cell>
          <cell r="DA112">
            <v>0</v>
          </cell>
          <cell r="DB112">
            <v>0</v>
          </cell>
          <cell r="DC112">
            <v>0</v>
          </cell>
          <cell r="DD112">
            <v>6642029.7390771173</v>
          </cell>
          <cell r="DE112">
            <v>6240256.0000000028</v>
          </cell>
          <cell r="DF112">
            <v>539353.9775941493</v>
          </cell>
          <cell r="DG112">
            <v>0</v>
          </cell>
          <cell r="DH112">
            <v>0</v>
          </cell>
          <cell r="DI112">
            <v>13421639.716671266</v>
          </cell>
          <cell r="DJ112">
            <v>28835.33</v>
          </cell>
          <cell r="DK112">
            <v>1103902.7400000002</v>
          </cell>
          <cell r="DL112">
            <v>385040.63000000012</v>
          </cell>
          <cell r="DM112">
            <v>5091778.6013600025</v>
          </cell>
          <cell r="DN112">
            <v>0</v>
          </cell>
          <cell r="DO112">
            <v>0</v>
          </cell>
          <cell r="DP112">
            <v>0</v>
          </cell>
          <cell r="DQ112">
            <v>6609557.3013600055</v>
          </cell>
          <cell r="DR112">
            <v>268838.38087007642</v>
          </cell>
          <cell r="DS112">
            <v>0</v>
          </cell>
          <cell r="DT112">
            <v>31104.84474307199</v>
          </cell>
          <cell r="DU112">
            <v>0</v>
          </cell>
          <cell r="DV112">
            <v>0</v>
          </cell>
          <cell r="DW112">
            <v>0</v>
          </cell>
          <cell r="DX112">
            <v>299943.22561314842</v>
          </cell>
          <cell r="DY112">
            <v>406846.01057893108</v>
          </cell>
          <cell r="DZ112">
            <v>15365.122681915254</v>
          </cell>
          <cell r="EA112">
            <v>32313.418516252677</v>
          </cell>
          <cell r="EB112">
            <v>454524.55177709903</v>
          </cell>
          <cell r="EC112">
            <v>0</v>
          </cell>
          <cell r="ED112">
            <v>0</v>
          </cell>
          <cell r="EE112">
            <v>0</v>
          </cell>
          <cell r="EF112">
            <v>0</v>
          </cell>
          <cell r="EG112">
            <v>0</v>
          </cell>
          <cell r="EH112">
            <v>0</v>
          </cell>
          <cell r="EI112">
            <v>73232.580740000005</v>
          </cell>
          <cell r="EJ112">
            <v>0</v>
          </cell>
          <cell r="EK112">
            <v>0</v>
          </cell>
          <cell r="EL112">
            <v>312509</v>
          </cell>
          <cell r="EM112">
            <v>22184</v>
          </cell>
          <cell r="EN112">
            <v>0</v>
          </cell>
          <cell r="EO112">
            <v>407925.58074</v>
          </cell>
          <cell r="EP112">
            <v>990722.51514407375</v>
          </cell>
          <cell r="EQ112">
            <v>4453581.4161119508</v>
          </cell>
          <cell r="ER112">
            <v>85606029.785025463</v>
          </cell>
          <cell r="ET112">
            <v>21237.366315789473</v>
          </cell>
          <cell r="EU112">
            <v>4030.9155340688089</v>
          </cell>
          <cell r="EW112">
            <v>3641700</v>
          </cell>
          <cell r="EX112">
            <v>0</v>
          </cell>
          <cell r="EY112">
            <v>0</v>
          </cell>
          <cell r="EZ112">
            <v>12933618.800784685</v>
          </cell>
        </row>
        <row r="114">
          <cell r="A114" t="str">
            <v>Secondary Schools</v>
          </cell>
        </row>
        <row r="115">
          <cell r="C115" t="str">
            <v>Sinfin Community School</v>
          </cell>
          <cell r="D115">
            <v>4158</v>
          </cell>
          <cell r="F115" t="str">
            <v/>
          </cell>
          <cell r="G115">
            <v>0</v>
          </cell>
          <cell r="H115">
            <v>0</v>
          </cell>
          <cell r="I115">
            <v>0</v>
          </cell>
          <cell r="J115">
            <v>0</v>
          </cell>
          <cell r="L115">
            <v>0</v>
          </cell>
          <cell r="M115">
            <v>0</v>
          </cell>
          <cell r="N115">
            <v>0</v>
          </cell>
          <cell r="S115">
            <v>0</v>
          </cell>
          <cell r="T115">
            <v>0</v>
          </cell>
          <cell r="AW115">
            <v>158</v>
          </cell>
          <cell r="AX115">
            <v>217</v>
          </cell>
          <cell r="AY115">
            <v>208</v>
          </cell>
          <cell r="AZ115">
            <v>180</v>
          </cell>
          <cell r="BA115">
            <v>132</v>
          </cell>
          <cell r="BB115">
            <v>0</v>
          </cell>
          <cell r="BC115">
            <v>3121659.7636003783</v>
          </cell>
          <cell r="BD115">
            <v>895</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I115">
            <v>0</v>
          </cell>
          <cell r="CJ115">
            <v>0</v>
          </cell>
          <cell r="CK115">
            <v>27675.200000000001</v>
          </cell>
          <cell r="CL115">
            <v>10635.467967951507</v>
          </cell>
          <cell r="CM115">
            <v>38310.667967951507</v>
          </cell>
          <cell r="CN115">
            <v>0</v>
          </cell>
          <cell r="CO115">
            <v>0</v>
          </cell>
          <cell r="CP115">
            <v>0</v>
          </cell>
          <cell r="CQ115">
            <v>26660.583580613253</v>
          </cell>
          <cell r="CR115">
            <v>74979.622217422104</v>
          </cell>
          <cell r="CS115">
            <v>49043.306638249262</v>
          </cell>
          <cell r="CT115">
            <v>150683.51243628463</v>
          </cell>
          <cell r="CU115">
            <v>5826.492414329543</v>
          </cell>
          <cell r="CV115">
            <v>0</v>
          </cell>
          <cell r="CW115">
            <v>5826.492414329543</v>
          </cell>
          <cell r="CX115">
            <v>0</v>
          </cell>
          <cell r="CZ115">
            <v>0</v>
          </cell>
          <cell r="DC115">
            <v>0</v>
          </cell>
          <cell r="DD115">
            <v>309366.49522856972</v>
          </cell>
          <cell r="DE115">
            <v>316101.15560301358</v>
          </cell>
          <cell r="DF115">
            <v>59669.525040929933</v>
          </cell>
          <cell r="DG115">
            <v>351669.52085372945</v>
          </cell>
          <cell r="DH115">
            <v>28653.434986334571</v>
          </cell>
          <cell r="DI115">
            <v>1065460.1317125773</v>
          </cell>
          <cell r="DJ115">
            <v>0</v>
          </cell>
          <cell r="DK115">
            <v>17404</v>
          </cell>
          <cell r="DL115">
            <v>14712.544684989265</v>
          </cell>
          <cell r="DM115">
            <v>349775.30324456643</v>
          </cell>
          <cell r="DN115">
            <v>0</v>
          </cell>
          <cell r="DO115">
            <v>0</v>
          </cell>
          <cell r="DP115">
            <v>0</v>
          </cell>
          <cell r="DQ115">
            <v>381891.84792955569</v>
          </cell>
          <cell r="DR115">
            <v>0</v>
          </cell>
          <cell r="DS115">
            <v>0</v>
          </cell>
          <cell r="DT115">
            <v>0</v>
          </cell>
          <cell r="DU115">
            <v>0</v>
          </cell>
          <cell r="DV115">
            <v>0</v>
          </cell>
          <cell r="DW115">
            <v>0</v>
          </cell>
          <cell r="DX115">
            <v>0</v>
          </cell>
          <cell r="DY115">
            <v>53427.226659125365</v>
          </cell>
          <cell r="DZ115">
            <v>4682.6090626835021</v>
          </cell>
          <cell r="EA115">
            <v>0</v>
          </cell>
          <cell r="EB115">
            <v>58109.835721808864</v>
          </cell>
          <cell r="EE115">
            <v>0</v>
          </cell>
          <cell r="EH115">
            <v>0</v>
          </cell>
          <cell r="EI115">
            <v>7833.08025</v>
          </cell>
          <cell r="EK115">
            <v>0</v>
          </cell>
          <cell r="EL115">
            <v>56310.286654958778</v>
          </cell>
          <cell r="EM115">
            <v>0</v>
          </cell>
          <cell r="EO115">
            <v>64143.366904958777</v>
          </cell>
          <cell r="EP115">
            <v>749.30697459448129</v>
          </cell>
          <cell r="EQ115">
            <v>0</v>
          </cell>
          <cell r="ER115">
            <v>4886834.9256624393</v>
          </cell>
          <cell r="ES115">
            <v>0</v>
          </cell>
          <cell r="ET115">
            <v>895</v>
          </cell>
          <cell r="EU115">
            <v>5460.1507549300995</v>
          </cell>
          <cell r="EV115" t="str">
            <v>No Variation Applied</v>
          </cell>
          <cell r="EW115">
            <v>235000</v>
          </cell>
          <cell r="EX115">
            <v>0</v>
          </cell>
          <cell r="EY115">
            <v>0</v>
          </cell>
          <cell r="EZ115">
            <v>964286.66595578985</v>
          </cell>
        </row>
        <row r="116">
          <cell r="C116" t="str">
            <v>Bemrose School</v>
          </cell>
          <cell r="D116">
            <v>4177</v>
          </cell>
          <cell r="F116" t="str">
            <v/>
          </cell>
          <cell r="G116">
            <v>0</v>
          </cell>
          <cell r="H116">
            <v>0</v>
          </cell>
          <cell r="I116">
            <v>0</v>
          </cell>
          <cell r="J116">
            <v>0</v>
          </cell>
          <cell r="L116">
            <v>0</v>
          </cell>
          <cell r="M116">
            <v>0</v>
          </cell>
          <cell r="N116">
            <v>0</v>
          </cell>
          <cell r="S116">
            <v>0</v>
          </cell>
          <cell r="T116">
            <v>0</v>
          </cell>
          <cell r="AW116">
            <v>112</v>
          </cell>
          <cell r="AX116">
            <v>127</v>
          </cell>
          <cell r="AY116">
            <v>127</v>
          </cell>
          <cell r="AZ116">
            <v>166</v>
          </cell>
          <cell r="BA116">
            <v>114</v>
          </cell>
          <cell r="BB116">
            <v>0</v>
          </cell>
          <cell r="BC116">
            <v>2278563.4922423577</v>
          </cell>
          <cell r="BD116">
            <v>646</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I116">
            <v>0</v>
          </cell>
          <cell r="CJ116">
            <v>0</v>
          </cell>
          <cell r="CK116">
            <v>21181.58</v>
          </cell>
          <cell r="CL116">
            <v>5518.6058504229995</v>
          </cell>
          <cell r="CM116">
            <v>26700.185850423</v>
          </cell>
          <cell r="CN116">
            <v>0</v>
          </cell>
          <cell r="CO116">
            <v>0</v>
          </cell>
          <cell r="CP116">
            <v>0</v>
          </cell>
          <cell r="CQ116">
            <v>39610.009891196831</v>
          </cell>
          <cell r="CR116">
            <v>75391.598163671675</v>
          </cell>
          <cell r="CS116">
            <v>70322.427287076411</v>
          </cell>
          <cell r="CT116">
            <v>185324.03534194489</v>
          </cell>
          <cell r="CU116">
            <v>5826.492414329543</v>
          </cell>
          <cell r="CV116">
            <v>0</v>
          </cell>
          <cell r="CW116">
            <v>5826.492414329543</v>
          </cell>
          <cell r="CX116">
            <v>424905.67541130533</v>
          </cell>
          <cell r="CZ116">
            <v>424905.67541130533</v>
          </cell>
          <cell r="DC116">
            <v>0</v>
          </cell>
          <cell r="DD116">
            <v>286412.05177958042</v>
          </cell>
          <cell r="DE116">
            <v>296845.39787625318</v>
          </cell>
          <cell r="DF116">
            <v>49724.604200774949</v>
          </cell>
          <cell r="DG116">
            <v>373399.59026152932</v>
          </cell>
          <cell r="DH116">
            <v>26253.466008428906</v>
          </cell>
          <cell r="DI116">
            <v>1032635.1101265668</v>
          </cell>
          <cell r="DJ116">
            <v>0</v>
          </cell>
          <cell r="DK116">
            <v>18320</v>
          </cell>
          <cell r="DL116">
            <v>41653.876957218185</v>
          </cell>
          <cell r="DM116">
            <v>349775.30324456643</v>
          </cell>
          <cell r="DN116">
            <v>0</v>
          </cell>
          <cell r="DO116">
            <v>0</v>
          </cell>
          <cell r="DP116">
            <v>0</v>
          </cell>
          <cell r="DQ116">
            <v>409749.18020178459</v>
          </cell>
          <cell r="DR116">
            <v>0</v>
          </cell>
          <cell r="DS116">
            <v>0</v>
          </cell>
          <cell r="DT116">
            <v>0</v>
          </cell>
          <cell r="DU116">
            <v>0</v>
          </cell>
          <cell r="DV116">
            <v>0</v>
          </cell>
          <cell r="DW116">
            <v>0</v>
          </cell>
          <cell r="DX116">
            <v>0</v>
          </cell>
          <cell r="DY116">
            <v>59942.742105360165</v>
          </cell>
          <cell r="DZ116">
            <v>3583.8963217186579</v>
          </cell>
          <cell r="EA116">
            <v>25014.107810889549</v>
          </cell>
          <cell r="EB116">
            <v>88540.746237968371</v>
          </cell>
          <cell r="EE116">
            <v>0</v>
          </cell>
          <cell r="EH116">
            <v>0</v>
          </cell>
          <cell r="EI116">
            <v>24017.752675</v>
          </cell>
          <cell r="EK116">
            <v>-67124.723093170003</v>
          </cell>
          <cell r="EL116">
            <v>0</v>
          </cell>
          <cell r="EM116">
            <v>13121</v>
          </cell>
          <cell r="EO116">
            <v>-29985.970418170007</v>
          </cell>
          <cell r="EP116">
            <v>0</v>
          </cell>
          <cell r="EQ116">
            <v>0</v>
          </cell>
          <cell r="ER116">
            <v>4422258.9474085104</v>
          </cell>
          <cell r="ES116">
            <v>39</v>
          </cell>
          <cell r="ET116">
            <v>685</v>
          </cell>
          <cell r="EU116">
            <v>6455.8524779686286</v>
          </cell>
          <cell r="EV116" t="str">
            <v>No Variation Applied</v>
          </cell>
          <cell r="EW116">
            <v>189250</v>
          </cell>
          <cell r="EX116">
            <v>0</v>
          </cell>
          <cell r="EY116">
            <v>0</v>
          </cell>
          <cell r="EZ116">
            <v>1382821.6816414222</v>
          </cell>
        </row>
        <row r="117">
          <cell r="C117" t="str">
            <v>Derby Moor Community Sports College</v>
          </cell>
          <cell r="D117">
            <v>4178</v>
          </cell>
          <cell r="F117" t="str">
            <v/>
          </cell>
          <cell r="G117">
            <v>0</v>
          </cell>
          <cell r="H117">
            <v>0</v>
          </cell>
          <cell r="I117">
            <v>0</v>
          </cell>
          <cell r="J117">
            <v>0</v>
          </cell>
          <cell r="L117">
            <v>0</v>
          </cell>
          <cell r="M117">
            <v>0</v>
          </cell>
          <cell r="N117">
            <v>0</v>
          </cell>
          <cell r="S117">
            <v>0</v>
          </cell>
          <cell r="T117">
            <v>0</v>
          </cell>
          <cell r="AW117">
            <v>250</v>
          </cell>
          <cell r="AX117">
            <v>249</v>
          </cell>
          <cell r="AY117">
            <v>250</v>
          </cell>
          <cell r="AZ117">
            <v>248</v>
          </cell>
          <cell r="BA117">
            <v>236</v>
          </cell>
          <cell r="BB117">
            <v>0</v>
          </cell>
          <cell r="BC117">
            <v>4325661.8173406543</v>
          </cell>
          <cell r="BD117">
            <v>1233</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I117">
            <v>0</v>
          </cell>
          <cell r="CJ117">
            <v>0</v>
          </cell>
          <cell r="CK117">
            <v>41868.410000000003</v>
          </cell>
          <cell r="CL117">
            <v>12377.426228778148</v>
          </cell>
          <cell r="CM117">
            <v>54245.836228778149</v>
          </cell>
          <cell r="CN117">
            <v>0</v>
          </cell>
          <cell r="CO117">
            <v>0</v>
          </cell>
          <cell r="CP117">
            <v>0</v>
          </cell>
          <cell r="CQ117">
            <v>22851.928783382788</v>
          </cell>
          <cell r="CR117">
            <v>134716.13442361003</v>
          </cell>
          <cell r="CS117">
            <v>124634.84951455907</v>
          </cell>
          <cell r="CT117">
            <v>282202.9127215519</v>
          </cell>
          <cell r="CU117">
            <v>15294.542587615051</v>
          </cell>
          <cell r="CV117">
            <v>0</v>
          </cell>
          <cell r="CW117">
            <v>15294.542587615051</v>
          </cell>
          <cell r="CX117">
            <v>0</v>
          </cell>
          <cell r="CZ117">
            <v>0</v>
          </cell>
          <cell r="DC117">
            <v>0</v>
          </cell>
          <cell r="DD117">
            <v>358475.94590917358</v>
          </cell>
          <cell r="DE117">
            <v>372334.78436257935</v>
          </cell>
          <cell r="DF117">
            <v>59669.525040929933</v>
          </cell>
          <cell r="DG117">
            <v>362385.88490148424</v>
          </cell>
          <cell r="DH117">
            <v>34129.90001000074</v>
          </cell>
          <cell r="DI117">
            <v>1186996.0402241678</v>
          </cell>
          <cell r="DJ117">
            <v>0</v>
          </cell>
          <cell r="DK117">
            <v>23587</v>
          </cell>
          <cell r="DL117">
            <v>36173.633618087573</v>
          </cell>
          <cell r="DM117">
            <v>349775.30324456643</v>
          </cell>
          <cell r="DN117">
            <v>0</v>
          </cell>
          <cell r="DO117">
            <v>0</v>
          </cell>
          <cell r="DP117">
            <v>0</v>
          </cell>
          <cell r="DQ117">
            <v>409535.93686265399</v>
          </cell>
          <cell r="DR117">
            <v>0</v>
          </cell>
          <cell r="DS117">
            <v>0</v>
          </cell>
          <cell r="DT117">
            <v>0</v>
          </cell>
          <cell r="DU117">
            <v>0</v>
          </cell>
          <cell r="DV117">
            <v>0</v>
          </cell>
          <cell r="DW117">
            <v>0</v>
          </cell>
          <cell r="DX117">
            <v>0</v>
          </cell>
          <cell r="DY117">
            <v>36486.886498914879</v>
          </cell>
          <cell r="DZ117">
            <v>7084.0811965066614</v>
          </cell>
          <cell r="EA117">
            <v>0</v>
          </cell>
          <cell r="EB117">
            <v>43570.967695421539</v>
          </cell>
          <cell r="EE117">
            <v>0</v>
          </cell>
          <cell r="EH117">
            <v>0</v>
          </cell>
          <cell r="EI117">
            <v>18043.833143835614</v>
          </cell>
          <cell r="EK117">
            <v>-120004.3156188073</v>
          </cell>
          <cell r="EL117">
            <v>11312.379303337086</v>
          </cell>
          <cell r="EM117">
            <v>0</v>
          </cell>
          <cell r="EO117">
            <v>-90648.103171634604</v>
          </cell>
          <cell r="EP117">
            <v>0</v>
          </cell>
          <cell r="EQ117">
            <v>0</v>
          </cell>
          <cell r="ER117">
            <v>6226859.9504892081</v>
          </cell>
          <cell r="ES117">
            <v>121</v>
          </cell>
          <cell r="ET117">
            <v>1354</v>
          </cell>
          <cell r="EU117">
            <v>4598.8625926803606</v>
          </cell>
          <cell r="EV117" t="str">
            <v>No Variation Applied</v>
          </cell>
          <cell r="EW117">
            <v>266900</v>
          </cell>
          <cell r="EX117">
            <v>0</v>
          </cell>
          <cell r="EY117">
            <v>0</v>
          </cell>
          <cell r="EZ117">
            <v>1105755.684217449</v>
          </cell>
        </row>
        <row r="118">
          <cell r="C118" t="str">
            <v>Littleover Community School</v>
          </cell>
          <cell r="D118">
            <v>4182</v>
          </cell>
          <cell r="F118" t="str">
            <v/>
          </cell>
          <cell r="G118">
            <v>0</v>
          </cell>
          <cell r="H118">
            <v>0</v>
          </cell>
          <cell r="I118">
            <v>0</v>
          </cell>
          <cell r="J118">
            <v>0</v>
          </cell>
          <cell r="L118">
            <v>0</v>
          </cell>
          <cell r="M118">
            <v>0</v>
          </cell>
          <cell r="N118">
            <v>0</v>
          </cell>
          <cell r="S118">
            <v>0</v>
          </cell>
          <cell r="T118">
            <v>0</v>
          </cell>
          <cell r="AW118">
            <v>265</v>
          </cell>
          <cell r="AX118">
            <v>266</v>
          </cell>
          <cell r="AY118">
            <v>270</v>
          </cell>
          <cell r="AZ118">
            <v>253</v>
          </cell>
          <cell r="BA118">
            <v>251</v>
          </cell>
          <cell r="BB118">
            <v>0</v>
          </cell>
          <cell r="BC118">
            <v>4574427.3716929741</v>
          </cell>
          <cell r="BD118">
            <v>1305</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I118">
            <v>0</v>
          </cell>
          <cell r="CJ118">
            <v>0</v>
          </cell>
          <cell r="CK118">
            <v>47217.91</v>
          </cell>
          <cell r="CL118">
            <v>20387.93334979652</v>
          </cell>
          <cell r="CM118">
            <v>67605.843349796516</v>
          </cell>
          <cell r="CN118">
            <v>0</v>
          </cell>
          <cell r="CO118">
            <v>0</v>
          </cell>
          <cell r="CP118">
            <v>0</v>
          </cell>
          <cell r="CQ118">
            <v>9902.5024727992077</v>
          </cell>
          <cell r="CR118">
            <v>96402.37142239984</v>
          </cell>
          <cell r="CS118">
            <v>67485.211200566133</v>
          </cell>
          <cell r="CT118">
            <v>173790.08509576519</v>
          </cell>
          <cell r="CU118">
            <v>20392.7234501534</v>
          </cell>
          <cell r="CV118">
            <v>0</v>
          </cell>
          <cell r="CW118">
            <v>20392.7234501534</v>
          </cell>
          <cell r="CX118">
            <v>0</v>
          </cell>
          <cell r="CZ118">
            <v>0</v>
          </cell>
          <cell r="DC118">
            <v>0</v>
          </cell>
          <cell r="DD118">
            <v>123938.63191838541</v>
          </cell>
          <cell r="DE118">
            <v>84009.633268078542</v>
          </cell>
          <cell r="DF118">
            <v>33149.736133849961</v>
          </cell>
          <cell r="DG118">
            <v>196502.75791748613</v>
          </cell>
          <cell r="DH118">
            <v>26528.295078408701</v>
          </cell>
          <cell r="DI118">
            <v>464129.0543162087</v>
          </cell>
          <cell r="DJ118">
            <v>0</v>
          </cell>
          <cell r="DK118">
            <v>92516</v>
          </cell>
          <cell r="DL118">
            <v>30092.899673695418</v>
          </cell>
          <cell r="DM118">
            <v>349775.30324456643</v>
          </cell>
          <cell r="DN118">
            <v>0</v>
          </cell>
          <cell r="DO118">
            <v>0</v>
          </cell>
          <cell r="DP118">
            <v>0</v>
          </cell>
          <cell r="DQ118">
            <v>472384.20291826187</v>
          </cell>
          <cell r="DR118">
            <v>0</v>
          </cell>
          <cell r="DS118">
            <v>0</v>
          </cell>
          <cell r="DT118">
            <v>0</v>
          </cell>
          <cell r="DU118">
            <v>0</v>
          </cell>
          <cell r="DV118">
            <v>0</v>
          </cell>
          <cell r="DW118">
            <v>0</v>
          </cell>
          <cell r="DX118">
            <v>0</v>
          </cell>
          <cell r="DY118">
            <v>26062.0617849392</v>
          </cell>
          <cell r="DZ118">
            <v>0</v>
          </cell>
          <cell r="EA118">
            <v>0</v>
          </cell>
          <cell r="EB118">
            <v>26062.0617849392</v>
          </cell>
          <cell r="EE118">
            <v>0</v>
          </cell>
          <cell r="EH118">
            <v>0</v>
          </cell>
          <cell r="EI118">
            <v>0</v>
          </cell>
          <cell r="EK118">
            <v>-120004.85812282367</v>
          </cell>
          <cell r="EL118">
            <v>2792</v>
          </cell>
          <cell r="EM118">
            <v>0</v>
          </cell>
          <cell r="EO118">
            <v>-117212.85812282367</v>
          </cell>
          <cell r="EP118">
            <v>0</v>
          </cell>
          <cell r="EQ118">
            <v>0</v>
          </cell>
          <cell r="ER118">
            <v>5681578.4844852751</v>
          </cell>
          <cell r="ES118">
            <v>222</v>
          </cell>
          <cell r="ET118">
            <v>1527</v>
          </cell>
          <cell r="EU118">
            <v>3720.7455694075147</v>
          </cell>
          <cell r="EV118" t="str">
            <v>No Variation Applied</v>
          </cell>
          <cell r="EW118">
            <v>96800</v>
          </cell>
          <cell r="EX118">
            <v>0</v>
          </cell>
          <cell r="EY118">
            <v>0</v>
          </cell>
          <cell r="EZ118">
            <v>625068.53170515003</v>
          </cell>
        </row>
        <row r="119">
          <cell r="C119" t="str">
            <v>Saint Benedict Catholic School and Performing Arts College</v>
          </cell>
          <cell r="D119">
            <v>4607</v>
          </cell>
          <cell r="F119" t="str">
            <v/>
          </cell>
          <cell r="G119">
            <v>0</v>
          </cell>
          <cell r="H119">
            <v>0</v>
          </cell>
          <cell r="I119">
            <v>0</v>
          </cell>
          <cell r="J119">
            <v>0</v>
          </cell>
          <cell r="L119">
            <v>0</v>
          </cell>
          <cell r="M119">
            <v>0</v>
          </cell>
          <cell r="N119">
            <v>0</v>
          </cell>
          <cell r="S119">
            <v>0</v>
          </cell>
          <cell r="T119">
            <v>0</v>
          </cell>
          <cell r="AW119">
            <v>245</v>
          </cell>
          <cell r="AX119">
            <v>241</v>
          </cell>
          <cell r="AY119">
            <v>246</v>
          </cell>
          <cell r="AZ119">
            <v>243</v>
          </cell>
          <cell r="BA119">
            <v>233</v>
          </cell>
          <cell r="BB119">
            <v>0</v>
          </cell>
          <cell r="BC119">
            <v>4238795.8890279643</v>
          </cell>
          <cell r="BD119">
            <v>1208</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I119">
            <v>0</v>
          </cell>
          <cell r="CJ119">
            <v>0</v>
          </cell>
          <cell r="CK119">
            <v>46197.49</v>
          </cell>
          <cell r="CL119">
            <v>19895.45260460423</v>
          </cell>
          <cell r="CM119">
            <v>66092.942604604235</v>
          </cell>
          <cell r="CN119">
            <v>0</v>
          </cell>
          <cell r="CO119">
            <v>0</v>
          </cell>
          <cell r="CP119">
            <v>0</v>
          </cell>
          <cell r="CQ119">
            <v>19805.004945598415</v>
          </cell>
          <cell r="CR119">
            <v>55616.752743692217</v>
          </cell>
          <cell r="CS119">
            <v>56744.321730205753</v>
          </cell>
          <cell r="CT119">
            <v>132166.07941949638</v>
          </cell>
          <cell r="CU119">
            <v>42242.070003889188</v>
          </cell>
          <cell r="CV119">
            <v>0</v>
          </cell>
          <cell r="CW119">
            <v>42242.070003889188</v>
          </cell>
          <cell r="CX119">
            <v>560475.59116377262</v>
          </cell>
          <cell r="CZ119">
            <v>560475.59116377262</v>
          </cell>
          <cell r="DC119">
            <v>0</v>
          </cell>
          <cell r="DD119">
            <v>267003.8330017401</v>
          </cell>
          <cell r="DE119">
            <v>340639.46633446048</v>
          </cell>
          <cell r="DF119">
            <v>62984.498654314935</v>
          </cell>
          <cell r="DG119">
            <v>374874.39156794333</v>
          </cell>
          <cell r="DH119">
            <v>33471.305665310094</v>
          </cell>
          <cell r="DI119">
            <v>1078973.4952237688</v>
          </cell>
          <cell r="DJ119">
            <v>0</v>
          </cell>
          <cell r="DK119">
            <v>27022</v>
          </cell>
          <cell r="DL119">
            <v>66863.405152482504</v>
          </cell>
          <cell r="DM119">
            <v>349775.30324456643</v>
          </cell>
          <cell r="DN119">
            <v>0</v>
          </cell>
          <cell r="DO119">
            <v>0</v>
          </cell>
          <cell r="DP119">
            <v>0</v>
          </cell>
          <cell r="DQ119">
            <v>443660.70839704893</v>
          </cell>
          <cell r="DR119">
            <v>0</v>
          </cell>
          <cell r="DS119">
            <v>0</v>
          </cell>
          <cell r="DT119">
            <v>0</v>
          </cell>
          <cell r="DU119">
            <v>19329.921551105632</v>
          </cell>
          <cell r="DV119">
            <v>0</v>
          </cell>
          <cell r="DW119">
            <v>0</v>
          </cell>
          <cell r="DX119">
            <v>19329.921551105632</v>
          </cell>
          <cell r="DY119">
            <v>49517.917391384479</v>
          </cell>
          <cell r="DZ119">
            <v>7816.5563571498906</v>
          </cell>
          <cell r="EA119">
            <v>0</v>
          </cell>
          <cell r="EB119">
            <v>57334.473748534372</v>
          </cell>
          <cell r="EE119">
            <v>0</v>
          </cell>
          <cell r="EH119">
            <v>0</v>
          </cell>
          <cell r="EI119">
            <v>4360.4693799999995</v>
          </cell>
          <cell r="EK119">
            <v>-237443.52248369143</v>
          </cell>
          <cell r="EL119">
            <v>36560.386976727175</v>
          </cell>
          <cell r="EM119">
            <v>0</v>
          </cell>
          <cell r="EO119">
            <v>-196522.66612696426</v>
          </cell>
          <cell r="EP119">
            <v>0</v>
          </cell>
          <cell r="EQ119">
            <v>0</v>
          </cell>
          <cell r="ER119">
            <v>6442548.50501322</v>
          </cell>
          <cell r="ES119">
            <v>286</v>
          </cell>
          <cell r="ET119">
            <v>1494</v>
          </cell>
          <cell r="EU119">
            <v>4312.2814625255824</v>
          </cell>
          <cell r="EV119" t="str">
            <v>No Variation Applied</v>
          </cell>
          <cell r="EW119">
            <v>212400</v>
          </cell>
          <cell r="EX119">
            <v>0</v>
          </cell>
          <cell r="EY119">
            <v>0</v>
          </cell>
          <cell r="EZ119">
            <v>1556188.5102463106</v>
          </cell>
        </row>
        <row r="120">
          <cell r="C120" t="str">
            <v>da Vinci Community College</v>
          </cell>
          <cell r="D120">
            <v>4608</v>
          </cell>
          <cell r="F120" t="str">
            <v/>
          </cell>
          <cell r="G120">
            <v>0</v>
          </cell>
          <cell r="H120">
            <v>0</v>
          </cell>
          <cell r="I120">
            <v>0</v>
          </cell>
          <cell r="J120">
            <v>0</v>
          </cell>
          <cell r="L120">
            <v>0</v>
          </cell>
          <cell r="M120">
            <v>0</v>
          </cell>
          <cell r="N120">
            <v>0</v>
          </cell>
          <cell r="S120">
            <v>0</v>
          </cell>
          <cell r="T120">
            <v>0</v>
          </cell>
          <cell r="AW120">
            <v>125</v>
          </cell>
          <cell r="AX120">
            <v>129</v>
          </cell>
          <cell r="AY120">
            <v>130</v>
          </cell>
          <cell r="AZ120">
            <v>145</v>
          </cell>
          <cell r="BA120">
            <v>87</v>
          </cell>
          <cell r="BB120">
            <v>0</v>
          </cell>
          <cell r="BC120">
            <v>2156535.0832579779</v>
          </cell>
          <cell r="BD120">
            <v>616</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I120">
            <v>0</v>
          </cell>
          <cell r="CJ120">
            <v>0</v>
          </cell>
          <cell r="CK120">
            <v>19047.96</v>
          </cell>
          <cell r="CL120">
            <v>3874.4383625674836</v>
          </cell>
          <cell r="CM120">
            <v>22922.398362567481</v>
          </cell>
          <cell r="CN120">
            <v>0</v>
          </cell>
          <cell r="CO120">
            <v>0</v>
          </cell>
          <cell r="CP120">
            <v>0</v>
          </cell>
          <cell r="CQ120">
            <v>19805.004945598415</v>
          </cell>
          <cell r="CR120">
            <v>9887.4227099897271</v>
          </cell>
          <cell r="CS120">
            <v>6079.7487568077595</v>
          </cell>
          <cell r="CT120">
            <v>35772.1764123959</v>
          </cell>
          <cell r="CU120">
            <v>41999.299486625467</v>
          </cell>
          <cell r="CV120">
            <v>0</v>
          </cell>
          <cell r="CW120">
            <v>41999.299486625467</v>
          </cell>
          <cell r="CX120">
            <v>0</v>
          </cell>
          <cell r="CZ120">
            <v>0</v>
          </cell>
          <cell r="DC120">
            <v>0</v>
          </cell>
          <cell r="DD120">
            <v>247787.6480508573</v>
          </cell>
          <cell r="DE120">
            <v>201077.82404935636</v>
          </cell>
          <cell r="DF120">
            <v>61327.011847622438</v>
          </cell>
          <cell r="DG120">
            <v>210242.00896954272</v>
          </cell>
          <cell r="DH120">
            <v>22940.27729439408</v>
          </cell>
          <cell r="DI120">
            <v>743374.77021177288</v>
          </cell>
          <cell r="DJ120">
            <v>0</v>
          </cell>
          <cell r="DK120">
            <v>24961</v>
          </cell>
          <cell r="DL120">
            <v>9479.1770722006495</v>
          </cell>
          <cell r="DM120">
            <v>349775.30324456643</v>
          </cell>
          <cell r="DN120">
            <v>0</v>
          </cell>
          <cell r="DO120">
            <v>0</v>
          </cell>
          <cell r="DP120">
            <v>0</v>
          </cell>
          <cell r="DQ120">
            <v>384215.48031676706</v>
          </cell>
          <cell r="DR120">
            <v>19520.89729508699</v>
          </cell>
          <cell r="DS120">
            <v>0</v>
          </cell>
          <cell r="DT120">
            <v>6431.2990378446411</v>
          </cell>
          <cell r="DU120">
            <v>0</v>
          </cell>
          <cell r="DV120">
            <v>0</v>
          </cell>
          <cell r="DW120">
            <v>0</v>
          </cell>
          <cell r="DX120">
            <v>25952.196332931631</v>
          </cell>
          <cell r="DY120">
            <v>46911.711212890565</v>
          </cell>
          <cell r="DZ120">
            <v>3222.8907068302092</v>
          </cell>
          <cell r="EA120">
            <v>51567.545333218455</v>
          </cell>
          <cell r="EB120">
            <v>101702.14725293923</v>
          </cell>
          <cell r="EE120">
            <v>0</v>
          </cell>
          <cell r="EH120">
            <v>0</v>
          </cell>
          <cell r="EI120">
            <v>0</v>
          </cell>
          <cell r="EK120">
            <v>0</v>
          </cell>
          <cell r="EL120">
            <v>52533.509827925474</v>
          </cell>
          <cell r="EM120">
            <v>0</v>
          </cell>
          <cell r="EO120">
            <v>52533.509827925474</v>
          </cell>
          <cell r="EP120">
            <v>171801.3276963071</v>
          </cell>
          <cell r="EQ120">
            <v>0</v>
          </cell>
          <cell r="ER120">
            <v>3736808.3891582103</v>
          </cell>
          <cell r="ES120">
            <v>0</v>
          </cell>
          <cell r="ET120">
            <v>616</v>
          </cell>
          <cell r="EU120">
            <v>6066.2473849970947</v>
          </cell>
          <cell r="EV120" t="str">
            <v>No Variation Applied</v>
          </cell>
          <cell r="EW120">
            <v>201150</v>
          </cell>
          <cell r="EX120">
            <v>0</v>
          </cell>
          <cell r="EY120">
            <v>0</v>
          </cell>
          <cell r="EZ120">
            <v>698090.10432136129</v>
          </cell>
        </row>
        <row r="121">
          <cell r="C121" t="str">
            <v>Merrill College</v>
          </cell>
          <cell r="D121">
            <v>4609</v>
          </cell>
          <cell r="F121" t="str">
            <v/>
          </cell>
          <cell r="G121">
            <v>0</v>
          </cell>
          <cell r="H121">
            <v>0</v>
          </cell>
          <cell r="I121">
            <v>0</v>
          </cell>
          <cell r="J121">
            <v>0</v>
          </cell>
          <cell r="L121">
            <v>0</v>
          </cell>
          <cell r="M121">
            <v>0</v>
          </cell>
          <cell r="N121">
            <v>0</v>
          </cell>
          <cell r="S121">
            <v>0</v>
          </cell>
          <cell r="T121">
            <v>0</v>
          </cell>
          <cell r="AW121">
            <v>158</v>
          </cell>
          <cell r="AX121">
            <v>192</v>
          </cell>
          <cell r="AY121">
            <v>161</v>
          </cell>
          <cell r="AZ121">
            <v>198</v>
          </cell>
          <cell r="BA121">
            <v>167</v>
          </cell>
          <cell r="BB121">
            <v>0</v>
          </cell>
          <cell r="BC121">
            <v>3083011.2296749414</v>
          </cell>
          <cell r="BD121">
            <v>876</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I121">
            <v>0</v>
          </cell>
          <cell r="CJ121">
            <v>16992.951176879946</v>
          </cell>
          <cell r="CK121">
            <v>30365.42</v>
          </cell>
          <cell r="CL121">
            <v>10376.723201434461</v>
          </cell>
          <cell r="CM121">
            <v>57735.094378314403</v>
          </cell>
          <cell r="CN121">
            <v>0</v>
          </cell>
          <cell r="CO121">
            <v>0</v>
          </cell>
          <cell r="CP121">
            <v>0</v>
          </cell>
          <cell r="CQ121">
            <v>19805.004945598415</v>
          </cell>
          <cell r="CR121">
            <v>33782.027592464903</v>
          </cell>
          <cell r="CS121">
            <v>25940.261362379773</v>
          </cell>
          <cell r="CT121">
            <v>79527.293900443095</v>
          </cell>
          <cell r="CU121">
            <v>10196.3617250767</v>
          </cell>
          <cell r="CV121">
            <v>0</v>
          </cell>
          <cell r="CW121">
            <v>10196.3617250767</v>
          </cell>
          <cell r="CX121">
            <v>0</v>
          </cell>
          <cell r="CZ121">
            <v>0</v>
          </cell>
          <cell r="DC121">
            <v>0</v>
          </cell>
          <cell r="DD121">
            <v>396012.15795180411</v>
          </cell>
          <cell r="DE121">
            <v>390908.92234679958</v>
          </cell>
          <cell r="DF121">
            <v>74586.906301162424</v>
          </cell>
          <cell r="DG121">
            <v>427216.55072050309</v>
          </cell>
          <cell r="DH121">
            <v>32318.63275588087</v>
          </cell>
          <cell r="DI121">
            <v>1321043.1700761502</v>
          </cell>
          <cell r="DJ121">
            <v>45826.81</v>
          </cell>
          <cell r="DK121">
            <v>53128</v>
          </cell>
          <cell r="DL121">
            <v>15994.298484057048</v>
          </cell>
          <cell r="DM121">
            <v>349775.30324456643</v>
          </cell>
          <cell r="DN121">
            <v>0</v>
          </cell>
          <cell r="DO121">
            <v>0</v>
          </cell>
          <cell r="DP121">
            <v>0</v>
          </cell>
          <cell r="DQ121">
            <v>464724.41172862344</v>
          </cell>
          <cell r="DR121">
            <v>299230.14711775293</v>
          </cell>
          <cell r="DS121">
            <v>0</v>
          </cell>
          <cell r="DT121">
            <v>13399.965632327978</v>
          </cell>
          <cell r="DU121">
            <v>0</v>
          </cell>
          <cell r="DV121">
            <v>0</v>
          </cell>
          <cell r="DW121">
            <v>0</v>
          </cell>
          <cell r="DX121">
            <v>312630.11275008088</v>
          </cell>
          <cell r="DY121">
            <v>66458.257551594957</v>
          </cell>
          <cell r="DZ121">
            <v>5137.7900553689378</v>
          </cell>
          <cell r="EA121">
            <v>0</v>
          </cell>
          <cell r="EB121">
            <v>71596.047606963897</v>
          </cell>
          <cell r="EE121">
            <v>0</v>
          </cell>
          <cell r="EH121">
            <v>0</v>
          </cell>
          <cell r="EI121">
            <v>2827.5</v>
          </cell>
          <cell r="EK121">
            <v>-168647.36753115282</v>
          </cell>
          <cell r="EL121">
            <v>7198.7159946331112</v>
          </cell>
          <cell r="EM121">
            <v>0</v>
          </cell>
          <cell r="EO121">
            <v>-158621.1515365197</v>
          </cell>
          <cell r="EP121">
            <v>0</v>
          </cell>
          <cell r="EQ121">
            <v>0</v>
          </cell>
          <cell r="ER121">
            <v>5241842.5703040743</v>
          </cell>
          <cell r="ES121">
            <v>106</v>
          </cell>
          <cell r="ET121">
            <v>982</v>
          </cell>
          <cell r="EU121">
            <v>5337.9252243422343</v>
          </cell>
          <cell r="EV121" t="str">
            <v>No Variation Applied</v>
          </cell>
          <cell r="EW121">
            <v>287700</v>
          </cell>
          <cell r="EX121">
            <v>0</v>
          </cell>
          <cell r="EY121">
            <v>0</v>
          </cell>
          <cell r="EZ121">
            <v>1119662.1087118962</v>
          </cell>
        </row>
        <row r="122">
          <cell r="C122" t="str">
            <v>Murray Park Community School</v>
          </cell>
          <cell r="D122">
            <v>5406</v>
          </cell>
          <cell r="F122" t="str">
            <v/>
          </cell>
          <cell r="G122">
            <v>0</v>
          </cell>
          <cell r="H122">
            <v>0</v>
          </cell>
          <cell r="I122">
            <v>0</v>
          </cell>
          <cell r="J122">
            <v>0</v>
          </cell>
          <cell r="L122">
            <v>0</v>
          </cell>
          <cell r="M122">
            <v>0</v>
          </cell>
          <cell r="N122">
            <v>0</v>
          </cell>
          <cell r="S122">
            <v>0</v>
          </cell>
          <cell r="T122">
            <v>0</v>
          </cell>
          <cell r="AW122">
            <v>168</v>
          </cell>
          <cell r="AX122">
            <v>198</v>
          </cell>
          <cell r="AY122">
            <v>187</v>
          </cell>
          <cell r="AZ122">
            <v>214</v>
          </cell>
          <cell r="BA122">
            <v>162</v>
          </cell>
          <cell r="BB122">
            <v>0</v>
          </cell>
          <cell r="BC122">
            <v>3264405.9508682974</v>
          </cell>
          <cell r="BD122">
            <v>929</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I122">
            <v>0</v>
          </cell>
          <cell r="CJ122">
            <v>16075.816337394572</v>
          </cell>
          <cell r="CK122">
            <v>28726.55</v>
          </cell>
          <cell r="CL122">
            <v>10488.300870267092</v>
          </cell>
          <cell r="CM122">
            <v>55290.667207661667</v>
          </cell>
          <cell r="CN122">
            <v>0</v>
          </cell>
          <cell r="CO122">
            <v>0</v>
          </cell>
          <cell r="CP122">
            <v>0</v>
          </cell>
          <cell r="CQ122">
            <v>21328.466864490601</v>
          </cell>
          <cell r="CR122">
            <v>22452.689070601671</v>
          </cell>
          <cell r="CS122">
            <v>18239.246270423278</v>
          </cell>
          <cell r="CT122">
            <v>62020.402205515551</v>
          </cell>
          <cell r="CU122">
            <v>0</v>
          </cell>
          <cell r="CV122">
            <v>0</v>
          </cell>
          <cell r="CW122">
            <v>0</v>
          </cell>
          <cell r="CX122">
            <v>0</v>
          </cell>
          <cell r="CZ122">
            <v>0</v>
          </cell>
          <cell r="DC122">
            <v>0</v>
          </cell>
          <cell r="DD122">
            <v>160079.39815179125</v>
          </cell>
          <cell r="DE122">
            <v>156602.13584860889</v>
          </cell>
          <cell r="DF122">
            <v>49724.604200774949</v>
          </cell>
          <cell r="DG122">
            <v>246464.33295137796</v>
          </cell>
          <cell r="DH122">
            <v>23781.145536977707</v>
          </cell>
          <cell r="DI122">
            <v>636651.61668953067</v>
          </cell>
          <cell r="DJ122">
            <v>27215.42</v>
          </cell>
          <cell r="DK122">
            <v>23358</v>
          </cell>
          <cell r="DL122">
            <v>23541.176456154433</v>
          </cell>
          <cell r="DM122">
            <v>349775.30324456643</v>
          </cell>
          <cell r="DN122">
            <v>0</v>
          </cell>
          <cell r="DO122">
            <v>0</v>
          </cell>
          <cell r="DP122">
            <v>0</v>
          </cell>
          <cell r="DQ122">
            <v>423889.89970072085</v>
          </cell>
          <cell r="DR122">
            <v>0</v>
          </cell>
          <cell r="DS122">
            <v>0</v>
          </cell>
          <cell r="DT122">
            <v>0</v>
          </cell>
          <cell r="DU122">
            <v>0</v>
          </cell>
          <cell r="DV122">
            <v>0</v>
          </cell>
          <cell r="DW122">
            <v>0</v>
          </cell>
          <cell r="DX122">
            <v>0</v>
          </cell>
          <cell r="DY122">
            <v>59942.742105360165</v>
          </cell>
          <cell r="DZ122">
            <v>4860.4958874111435</v>
          </cell>
          <cell r="EA122">
            <v>0</v>
          </cell>
          <cell r="EB122">
            <v>64803.237992771305</v>
          </cell>
          <cell r="EE122">
            <v>0</v>
          </cell>
          <cell r="EH122">
            <v>0</v>
          </cell>
          <cell r="EI122">
            <v>244.75928630136968</v>
          </cell>
          <cell r="EK122">
            <v>0</v>
          </cell>
          <cell r="EL122">
            <v>6180.0373072152761</v>
          </cell>
          <cell r="EM122">
            <v>0</v>
          </cell>
          <cell r="EO122">
            <v>6424.7965935166458</v>
          </cell>
          <cell r="EP122">
            <v>0</v>
          </cell>
          <cell r="EQ122">
            <v>0</v>
          </cell>
          <cell r="ER122">
            <v>4513486.5712580141</v>
          </cell>
          <cell r="ES122">
            <v>0</v>
          </cell>
          <cell r="ET122">
            <v>929</v>
          </cell>
          <cell r="EU122">
            <v>4858.4354911281098</v>
          </cell>
          <cell r="EV122" t="str">
            <v>No Variation Applied</v>
          </cell>
          <cell r="EW122">
            <v>171200</v>
          </cell>
          <cell r="EX122">
            <v>0</v>
          </cell>
          <cell r="EY122">
            <v>0</v>
          </cell>
          <cell r="EZ122">
            <v>639859.82319593255</v>
          </cell>
        </row>
        <row r="123">
          <cell r="C123" t="str">
            <v>Noel-Baker Community School</v>
          </cell>
          <cell r="D123">
            <v>5407</v>
          </cell>
          <cell r="F123" t="str">
            <v/>
          </cell>
          <cell r="G123">
            <v>0</v>
          </cell>
          <cell r="H123">
            <v>0</v>
          </cell>
          <cell r="I123">
            <v>0</v>
          </cell>
          <cell r="J123">
            <v>0</v>
          </cell>
          <cell r="L123">
            <v>0</v>
          </cell>
          <cell r="M123">
            <v>0</v>
          </cell>
          <cell r="N123">
            <v>0</v>
          </cell>
          <cell r="S123">
            <v>0</v>
          </cell>
          <cell r="T123">
            <v>0</v>
          </cell>
          <cell r="AW123">
            <v>208</v>
          </cell>
          <cell r="AX123">
            <v>189</v>
          </cell>
          <cell r="AY123">
            <v>205</v>
          </cell>
          <cell r="AZ123">
            <v>188</v>
          </cell>
          <cell r="BA123">
            <v>210</v>
          </cell>
          <cell r="BB123">
            <v>0</v>
          </cell>
          <cell r="BC123">
            <v>3510771.6379949129</v>
          </cell>
          <cell r="BD123">
            <v>1000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I123">
            <v>0</v>
          </cell>
          <cell r="CJ123">
            <v>19830.877850004497</v>
          </cell>
          <cell r="CK123">
            <v>35436.629999999997</v>
          </cell>
          <cell r="CL123">
            <v>10115.092805551056</v>
          </cell>
          <cell r="CM123">
            <v>65382.60065555555</v>
          </cell>
          <cell r="CN123">
            <v>0</v>
          </cell>
          <cell r="CO123">
            <v>0</v>
          </cell>
          <cell r="CP123">
            <v>0</v>
          </cell>
          <cell r="CQ123">
            <v>10664.233432245301</v>
          </cell>
          <cell r="CR123">
            <v>16479.03784998288</v>
          </cell>
          <cell r="CS123">
            <v>13375.447264977071</v>
          </cell>
          <cell r="CT123">
            <v>40518.718547205252</v>
          </cell>
          <cell r="CU123">
            <v>0</v>
          </cell>
          <cell r="CV123">
            <v>0</v>
          </cell>
          <cell r="CW123">
            <v>0</v>
          </cell>
          <cell r="CX123">
            <v>0</v>
          </cell>
          <cell r="CZ123">
            <v>0</v>
          </cell>
          <cell r="DC123">
            <v>0</v>
          </cell>
          <cell r="DD123">
            <v>264814.64737442433</v>
          </cell>
          <cell r="DE123">
            <v>302979.97555911494</v>
          </cell>
          <cell r="DF123">
            <v>67956.959074392435</v>
          </cell>
          <cell r="DG123">
            <v>364444.08021226159</v>
          </cell>
          <cell r="DH123">
            <v>30492.485640739804</v>
          </cell>
          <cell r="DI123">
            <v>1030688.1478609331</v>
          </cell>
          <cell r="DJ123">
            <v>64348.480000000003</v>
          </cell>
          <cell r="DK123">
            <v>25419</v>
          </cell>
          <cell r="DL123">
            <v>35874.576147641281</v>
          </cell>
          <cell r="DM123">
            <v>349775.30324456643</v>
          </cell>
          <cell r="DN123">
            <v>0</v>
          </cell>
          <cell r="DO123">
            <v>0</v>
          </cell>
          <cell r="DP123">
            <v>0</v>
          </cell>
          <cell r="DQ123">
            <v>475417.3593922077</v>
          </cell>
          <cell r="DR123">
            <v>0</v>
          </cell>
          <cell r="DS123">
            <v>72513</v>
          </cell>
          <cell r="DT123">
            <v>0</v>
          </cell>
          <cell r="DU123">
            <v>8054.133979627346</v>
          </cell>
          <cell r="DV123">
            <v>0</v>
          </cell>
          <cell r="DW123">
            <v>0</v>
          </cell>
          <cell r="DX123">
            <v>80567.133979627339</v>
          </cell>
          <cell r="DY123">
            <v>71670.6699085828</v>
          </cell>
          <cell r="DZ123">
            <v>5995.8323864081494</v>
          </cell>
          <cell r="EA123">
            <v>0</v>
          </cell>
          <cell r="EB123">
            <v>77666.502294990947</v>
          </cell>
          <cell r="EE123">
            <v>0</v>
          </cell>
          <cell r="EH123">
            <v>0</v>
          </cell>
          <cell r="EI123">
            <v>0</v>
          </cell>
          <cell r="EK123">
            <v>-152045.94795780143</v>
          </cell>
          <cell r="EL123">
            <v>9339.6839352030838</v>
          </cell>
          <cell r="EM123">
            <v>0</v>
          </cell>
          <cell r="EO123">
            <v>-142706.26402259833</v>
          </cell>
          <cell r="EP123">
            <v>0</v>
          </cell>
          <cell r="EQ123">
            <v>0</v>
          </cell>
          <cell r="ER123">
            <v>5138305.8367028348</v>
          </cell>
          <cell r="ES123">
            <v>146</v>
          </cell>
          <cell r="ET123">
            <v>1146</v>
          </cell>
          <cell r="EU123">
            <v>4483.6874665818805</v>
          </cell>
          <cell r="EV123" t="str">
            <v>No Variation Applied</v>
          </cell>
          <cell r="EW123">
            <v>227200</v>
          </cell>
          <cell r="EX123">
            <v>0</v>
          </cell>
          <cell r="EY123">
            <v>0</v>
          </cell>
          <cell r="EZ123">
            <v>895709.48182899482</v>
          </cell>
        </row>
        <row r="125">
          <cell r="A125" t="str">
            <v>Middle Deemed Secondary Schools</v>
          </cell>
        </row>
        <row r="126">
          <cell r="L126">
            <v>0</v>
          </cell>
          <cell r="M126">
            <v>0</v>
          </cell>
          <cell r="N126">
            <v>0</v>
          </cell>
          <cell r="S126">
            <v>0</v>
          </cell>
          <cell r="T126">
            <v>0</v>
          </cell>
          <cell r="BC126">
            <v>0</v>
          </cell>
          <cell r="BD126">
            <v>0</v>
          </cell>
          <cell r="CE126">
            <v>0</v>
          </cell>
          <cell r="CM126">
            <v>0</v>
          </cell>
          <cell r="CP126">
            <v>0</v>
          </cell>
          <cell r="CT126">
            <v>0</v>
          </cell>
          <cell r="CW126">
            <v>0</v>
          </cell>
          <cell r="CZ126">
            <v>0</v>
          </cell>
          <cell r="DC126">
            <v>0</v>
          </cell>
          <cell r="DI126">
            <v>0</v>
          </cell>
          <cell r="DQ126">
            <v>0</v>
          </cell>
          <cell r="DX126">
            <v>0</v>
          </cell>
          <cell r="EB126">
            <v>0</v>
          </cell>
          <cell r="EE126">
            <v>0</v>
          </cell>
          <cell r="EH126">
            <v>0</v>
          </cell>
          <cell r="EO126">
            <v>0</v>
          </cell>
          <cell r="EQ126">
            <v>0</v>
          </cell>
          <cell r="ER126">
            <v>0</v>
          </cell>
          <cell r="ET126">
            <v>0</v>
          </cell>
          <cell r="EU126">
            <v>0</v>
          </cell>
        </row>
        <row r="128">
          <cell r="B128" t="str">
            <v>Total/average Secondary Schools</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AM128">
            <v>0</v>
          </cell>
          <cell r="AN128">
            <v>0</v>
          </cell>
          <cell r="AO128">
            <v>0</v>
          </cell>
          <cell r="AP128">
            <v>0</v>
          </cell>
          <cell r="AQ128">
            <v>0</v>
          </cell>
          <cell r="AR128">
            <v>0</v>
          </cell>
          <cell r="AS128">
            <v>0</v>
          </cell>
          <cell r="AT128">
            <v>0</v>
          </cell>
          <cell r="AU128">
            <v>0</v>
          </cell>
          <cell r="AV128">
            <v>0</v>
          </cell>
          <cell r="AW128">
            <v>1689</v>
          </cell>
          <cell r="AX128">
            <v>1808</v>
          </cell>
          <cell r="AY128">
            <v>1784</v>
          </cell>
          <cell r="AZ128">
            <v>1835</v>
          </cell>
          <cell r="BA128">
            <v>1592</v>
          </cell>
          <cell r="BB128">
            <v>0</v>
          </cell>
          <cell r="BC128">
            <v>30553832.235700458</v>
          </cell>
          <cell r="BD128">
            <v>8708</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52899.645364279015</v>
          </cell>
          <cell r="CK128">
            <v>297717.14999999997</v>
          </cell>
          <cell r="CL128">
            <v>103669.4412413735</v>
          </cell>
          <cell r="CM128">
            <v>454286.23660565249</v>
          </cell>
          <cell r="CN128">
            <v>0</v>
          </cell>
          <cell r="CO128">
            <v>0</v>
          </cell>
          <cell r="CP128">
            <v>0</v>
          </cell>
          <cell r="CQ128">
            <v>190432.73986152321</v>
          </cell>
          <cell r="CR128">
            <v>519707.65619383508</v>
          </cell>
          <cell r="CS128">
            <v>431864.82002524455</v>
          </cell>
          <cell r="CT128">
            <v>1142005.2160806027</v>
          </cell>
          <cell r="CU128">
            <v>141777.98208201892</v>
          </cell>
          <cell r="CV128">
            <v>0</v>
          </cell>
          <cell r="CW128">
            <v>141777.98208201892</v>
          </cell>
          <cell r="CX128">
            <v>985381.26657507801</v>
          </cell>
          <cell r="CY128">
            <v>0</v>
          </cell>
          <cell r="CZ128">
            <v>985381.26657507801</v>
          </cell>
          <cell r="DA128">
            <v>0</v>
          </cell>
          <cell r="DB128">
            <v>0</v>
          </cell>
          <cell r="DC128">
            <v>0</v>
          </cell>
          <cell r="DD128">
            <v>2413890.8093663258</v>
          </cell>
          <cell r="DE128">
            <v>2461499.2952482649</v>
          </cell>
          <cell r="DF128">
            <v>518793.37049475207</v>
          </cell>
          <cell r="DG128">
            <v>2907199.1183558581</v>
          </cell>
          <cell r="DH128">
            <v>258568.94297647552</v>
          </cell>
          <cell r="DI128">
            <v>8559951.5364416763</v>
          </cell>
          <cell r="DJ128">
            <v>137390.71</v>
          </cell>
          <cell r="DK128">
            <v>305715</v>
          </cell>
          <cell r="DL128">
            <v>274385.58824652637</v>
          </cell>
          <cell r="DM128">
            <v>3147977.7292010984</v>
          </cell>
          <cell r="DN128">
            <v>0</v>
          </cell>
          <cell r="DO128">
            <v>0</v>
          </cell>
          <cell r="DP128">
            <v>0</v>
          </cell>
          <cell r="DQ128">
            <v>3865469.0274476237</v>
          </cell>
          <cell r="DR128">
            <v>318751.04441283992</v>
          </cell>
          <cell r="DS128">
            <v>72513</v>
          </cell>
          <cell r="DT128">
            <v>19831.264670172619</v>
          </cell>
          <cell r="DU128">
            <v>27384.055530732978</v>
          </cell>
          <cell r="DV128">
            <v>0</v>
          </cell>
          <cell r="DW128">
            <v>0</v>
          </cell>
          <cell r="DX128">
            <v>438479.36461374548</v>
          </cell>
          <cell r="DY128">
            <v>470420.21521815262</v>
          </cell>
          <cell r="DZ128">
            <v>42384.151974077147</v>
          </cell>
          <cell r="EA128">
            <v>76581.653144108001</v>
          </cell>
          <cell r="EB128">
            <v>589386.02033633774</v>
          </cell>
          <cell r="EC128">
            <v>0</v>
          </cell>
          <cell r="ED128">
            <v>0</v>
          </cell>
          <cell r="EE128">
            <v>0</v>
          </cell>
          <cell r="EF128">
            <v>0</v>
          </cell>
          <cell r="EG128">
            <v>0</v>
          </cell>
          <cell r="EH128">
            <v>0</v>
          </cell>
          <cell r="EI128">
            <v>57327.394735136986</v>
          </cell>
          <cell r="EJ128">
            <v>0</v>
          </cell>
          <cell r="EK128">
            <v>-865270.7348074466</v>
          </cell>
          <cell r="EL128">
            <v>182227</v>
          </cell>
          <cell r="EM128">
            <v>13121</v>
          </cell>
          <cell r="EN128">
            <v>0</v>
          </cell>
          <cell r="EO128">
            <v>-612595.3400723096</v>
          </cell>
          <cell r="EP128">
            <v>172550.63467090158</v>
          </cell>
          <cell r="EQ128">
            <v>0</v>
          </cell>
          <cell r="ER128">
            <v>46290524.180481784</v>
          </cell>
          <cell r="ES128">
            <v>920</v>
          </cell>
          <cell r="ET128">
            <v>9628</v>
          </cell>
          <cell r="EU128">
            <v>4807.9065413878052</v>
          </cell>
          <cell r="EW128">
            <v>1887600</v>
          </cell>
          <cell r="EX128">
            <v>0</v>
          </cell>
          <cell r="EY128">
            <v>0</v>
          </cell>
          <cell r="EZ128">
            <v>8987442.5918243062</v>
          </cell>
        </row>
        <row r="130">
          <cell r="A130" t="str">
            <v>Special Schools</v>
          </cell>
        </row>
        <row r="131">
          <cell r="C131" t="str">
            <v>St Martins School</v>
          </cell>
          <cell r="D131">
            <v>7021</v>
          </cell>
          <cell r="F131" t="str">
            <v/>
          </cell>
          <cell r="G131">
            <v>0</v>
          </cell>
          <cell r="H131">
            <v>0</v>
          </cell>
          <cell r="I131">
            <v>0</v>
          </cell>
          <cell r="J131">
            <v>0</v>
          </cell>
          <cell r="L131">
            <v>0</v>
          </cell>
          <cell r="M131">
            <v>0</v>
          </cell>
          <cell r="N131">
            <v>0</v>
          </cell>
          <cell r="S131">
            <v>0</v>
          </cell>
          <cell r="T131">
            <v>0</v>
          </cell>
          <cell r="BE131">
            <v>0</v>
          </cell>
          <cell r="BF131">
            <v>0</v>
          </cell>
          <cell r="BG131">
            <v>21</v>
          </cell>
          <cell r="BH131">
            <v>0</v>
          </cell>
          <cell r="BI131">
            <v>0</v>
          </cell>
          <cell r="BJ131">
            <v>40</v>
          </cell>
          <cell r="BK131">
            <v>0</v>
          </cell>
          <cell r="BL131">
            <v>0</v>
          </cell>
          <cell r="BM131">
            <v>28</v>
          </cell>
          <cell r="BN131">
            <v>0</v>
          </cell>
          <cell r="BO131">
            <v>0</v>
          </cell>
          <cell r="BP131">
            <v>1294926.0161516273</v>
          </cell>
          <cell r="BQ131">
            <v>89</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I131">
            <v>35897</v>
          </cell>
          <cell r="CJ131">
            <v>0</v>
          </cell>
          <cell r="CK131">
            <v>0</v>
          </cell>
          <cell r="CL131">
            <v>473</v>
          </cell>
          <cell r="CM131">
            <v>36370</v>
          </cell>
          <cell r="CN131">
            <v>0</v>
          </cell>
          <cell r="CO131">
            <v>0</v>
          </cell>
          <cell r="CP131">
            <v>0</v>
          </cell>
          <cell r="CQ131">
            <v>0</v>
          </cell>
          <cell r="CR131">
            <v>0</v>
          </cell>
          <cell r="CS131">
            <v>0</v>
          </cell>
          <cell r="CT131">
            <v>0</v>
          </cell>
          <cell r="CU131">
            <v>0</v>
          </cell>
          <cell r="CV131">
            <v>0</v>
          </cell>
          <cell r="CW131">
            <v>0</v>
          </cell>
          <cell r="CX131">
            <v>0</v>
          </cell>
          <cell r="CZ131">
            <v>0</v>
          </cell>
          <cell r="DC131">
            <v>0</v>
          </cell>
          <cell r="DD131">
            <v>0</v>
          </cell>
          <cell r="DE131">
            <v>0</v>
          </cell>
          <cell r="DF131">
            <v>0</v>
          </cell>
          <cell r="DG131">
            <v>0</v>
          </cell>
          <cell r="DH131">
            <v>0</v>
          </cell>
          <cell r="DI131">
            <v>0</v>
          </cell>
          <cell r="DJ131">
            <v>0</v>
          </cell>
          <cell r="DK131">
            <v>0</v>
          </cell>
          <cell r="DL131">
            <v>7008</v>
          </cell>
          <cell r="DM131">
            <v>231249</v>
          </cell>
          <cell r="DN131">
            <v>0</v>
          </cell>
          <cell r="DO131">
            <v>65699</v>
          </cell>
          <cell r="DP131">
            <v>969</v>
          </cell>
          <cell r="DQ131">
            <v>304925</v>
          </cell>
          <cell r="DR131">
            <v>0</v>
          </cell>
          <cell r="DS131">
            <v>11863</v>
          </cell>
          <cell r="DT131">
            <v>0</v>
          </cell>
          <cell r="DU131">
            <v>0</v>
          </cell>
          <cell r="DV131">
            <v>0</v>
          </cell>
          <cell r="DW131">
            <v>0</v>
          </cell>
          <cell r="DX131">
            <v>11863</v>
          </cell>
          <cell r="DY131">
            <v>0</v>
          </cell>
          <cell r="DZ131">
            <v>0</v>
          </cell>
          <cell r="EA131">
            <v>0</v>
          </cell>
          <cell r="EB131">
            <v>0</v>
          </cell>
          <cell r="EE131">
            <v>0</v>
          </cell>
          <cell r="EH131">
            <v>0</v>
          </cell>
          <cell r="EI131">
            <v>0</v>
          </cell>
          <cell r="EK131">
            <v>0</v>
          </cell>
          <cell r="EL131">
            <v>0</v>
          </cell>
          <cell r="EM131">
            <v>23473</v>
          </cell>
          <cell r="EO131">
            <v>23473</v>
          </cell>
          <cell r="EP131">
            <v>0</v>
          </cell>
          <cell r="EQ131">
            <v>0</v>
          </cell>
          <cell r="ER131">
            <v>1671557.0161516273</v>
          </cell>
          <cell r="ES131">
            <v>0</v>
          </cell>
          <cell r="ET131">
            <v>89</v>
          </cell>
          <cell r="EU131">
            <v>18781.539507321653</v>
          </cell>
          <cell r="EV131" t="str">
            <v>No Variation Applied</v>
          </cell>
          <cell r="EW131">
            <v>32650</v>
          </cell>
          <cell r="EX131">
            <v>0</v>
          </cell>
          <cell r="EY131">
            <v>0</v>
          </cell>
          <cell r="EZ131">
            <v>0</v>
          </cell>
        </row>
        <row r="132">
          <cell r="C132" t="str">
            <v>St Giles' School</v>
          </cell>
          <cell r="D132">
            <v>7024</v>
          </cell>
          <cell r="F132" t="str">
            <v/>
          </cell>
          <cell r="G132">
            <v>0</v>
          </cell>
          <cell r="H132">
            <v>0</v>
          </cell>
          <cell r="I132">
            <v>0</v>
          </cell>
          <cell r="J132">
            <v>0</v>
          </cell>
          <cell r="L132">
            <v>0</v>
          </cell>
          <cell r="M132">
            <v>0</v>
          </cell>
          <cell r="N132">
            <v>0</v>
          </cell>
          <cell r="S132">
            <v>0</v>
          </cell>
          <cell r="T132">
            <v>0</v>
          </cell>
          <cell r="BE132">
            <v>0</v>
          </cell>
          <cell r="BF132">
            <v>2</v>
          </cell>
          <cell r="BG132">
            <v>0</v>
          </cell>
          <cell r="BH132">
            <v>21</v>
          </cell>
          <cell r="BI132">
            <v>32</v>
          </cell>
          <cell r="BJ132">
            <v>0</v>
          </cell>
          <cell r="BK132">
            <v>8</v>
          </cell>
          <cell r="BL132">
            <v>29</v>
          </cell>
          <cell r="BM132">
            <v>0</v>
          </cell>
          <cell r="BN132">
            <v>0</v>
          </cell>
          <cell r="BO132">
            <v>0</v>
          </cell>
          <cell r="BP132">
            <v>1355146.2251628153</v>
          </cell>
          <cell r="BQ132">
            <v>92</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I132">
            <v>30579</v>
          </cell>
          <cell r="CJ132">
            <v>0</v>
          </cell>
          <cell r="CK132">
            <v>0</v>
          </cell>
          <cell r="CL132">
            <v>965</v>
          </cell>
          <cell r="CM132">
            <v>31544</v>
          </cell>
          <cell r="CN132">
            <v>0</v>
          </cell>
          <cell r="CO132">
            <v>0</v>
          </cell>
          <cell r="CP132">
            <v>0</v>
          </cell>
          <cell r="CQ132">
            <v>0</v>
          </cell>
          <cell r="CR132">
            <v>0</v>
          </cell>
          <cell r="CS132">
            <v>0</v>
          </cell>
          <cell r="CT132">
            <v>0</v>
          </cell>
          <cell r="CU132">
            <v>0</v>
          </cell>
          <cell r="CV132">
            <v>0</v>
          </cell>
          <cell r="CW132">
            <v>0</v>
          </cell>
          <cell r="CX132">
            <v>0</v>
          </cell>
          <cell r="CZ132">
            <v>0</v>
          </cell>
          <cell r="DC132">
            <v>0</v>
          </cell>
          <cell r="DD132">
            <v>0</v>
          </cell>
          <cell r="DE132">
            <v>0</v>
          </cell>
          <cell r="DF132">
            <v>0</v>
          </cell>
          <cell r="DG132">
            <v>0</v>
          </cell>
          <cell r="DH132">
            <v>0</v>
          </cell>
          <cell r="DI132">
            <v>0</v>
          </cell>
          <cell r="DJ132">
            <v>0</v>
          </cell>
          <cell r="DK132">
            <v>0</v>
          </cell>
          <cell r="DL132">
            <v>4447</v>
          </cell>
          <cell r="DM132">
            <v>230223</v>
          </cell>
          <cell r="DN132">
            <v>0</v>
          </cell>
          <cell r="DO132">
            <v>62536</v>
          </cell>
          <cell r="DP132">
            <v>1088</v>
          </cell>
          <cell r="DQ132">
            <v>298294</v>
          </cell>
          <cell r="DR132">
            <v>0</v>
          </cell>
          <cell r="DS132">
            <v>0</v>
          </cell>
          <cell r="DT132">
            <v>0</v>
          </cell>
          <cell r="DU132">
            <v>0</v>
          </cell>
          <cell r="DV132">
            <v>0</v>
          </cell>
          <cell r="DW132">
            <v>24896</v>
          </cell>
          <cell r="DX132">
            <v>24896</v>
          </cell>
          <cell r="DY132">
            <v>0</v>
          </cell>
          <cell r="DZ132">
            <v>0</v>
          </cell>
          <cell r="EA132">
            <v>0</v>
          </cell>
          <cell r="EB132">
            <v>0</v>
          </cell>
          <cell r="EE132">
            <v>0</v>
          </cell>
          <cell r="EH132">
            <v>0</v>
          </cell>
          <cell r="EI132">
            <v>2695.4603999999999</v>
          </cell>
          <cell r="EK132">
            <v>0</v>
          </cell>
          <cell r="EL132">
            <v>0</v>
          </cell>
          <cell r="EM132">
            <v>51251</v>
          </cell>
          <cell r="EO132">
            <v>53946.460399999996</v>
          </cell>
          <cell r="EP132">
            <v>0</v>
          </cell>
          <cell r="EQ132">
            <v>0</v>
          </cell>
          <cell r="ER132">
            <v>1763826.6855628153</v>
          </cell>
          <cell r="ES132">
            <v>0</v>
          </cell>
          <cell r="ET132">
            <v>92</v>
          </cell>
          <cell r="EU132">
            <v>19172.029190900164</v>
          </cell>
          <cell r="EV132" t="str">
            <v>No Variation Applied</v>
          </cell>
          <cell r="EW132">
            <v>31250</v>
          </cell>
          <cell r="EX132">
            <v>0</v>
          </cell>
          <cell r="EY132">
            <v>0</v>
          </cell>
          <cell r="EZ132">
            <v>0</v>
          </cell>
        </row>
        <row r="133">
          <cell r="C133" t="str">
            <v>St Clare's School</v>
          </cell>
          <cell r="D133">
            <v>7025</v>
          </cell>
          <cell r="F133" t="str">
            <v/>
          </cell>
          <cell r="G133">
            <v>0</v>
          </cell>
          <cell r="H133">
            <v>0</v>
          </cell>
          <cell r="I133">
            <v>0</v>
          </cell>
          <cell r="J133">
            <v>0</v>
          </cell>
          <cell r="L133">
            <v>0</v>
          </cell>
          <cell r="M133">
            <v>0</v>
          </cell>
          <cell r="N133">
            <v>0</v>
          </cell>
          <cell r="S133">
            <v>0</v>
          </cell>
          <cell r="T133">
            <v>0</v>
          </cell>
          <cell r="BE133">
            <v>16</v>
          </cell>
          <cell r="BF133">
            <v>0</v>
          </cell>
          <cell r="BG133">
            <v>62</v>
          </cell>
          <cell r="BH133">
            <v>0</v>
          </cell>
          <cell r="BI133">
            <v>0</v>
          </cell>
          <cell r="BJ133">
            <v>20</v>
          </cell>
          <cell r="BK133">
            <v>0</v>
          </cell>
          <cell r="BL133">
            <v>0</v>
          </cell>
          <cell r="BM133">
            <v>1</v>
          </cell>
          <cell r="BN133">
            <v>0</v>
          </cell>
          <cell r="BO133">
            <v>0</v>
          </cell>
          <cell r="BP133">
            <v>1140584.8458081461</v>
          </cell>
          <cell r="BQ133">
            <v>99</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I133">
            <v>27920</v>
          </cell>
          <cell r="CJ133">
            <v>0</v>
          </cell>
          <cell r="CK133">
            <v>0</v>
          </cell>
          <cell r="CL133">
            <v>1190</v>
          </cell>
          <cell r="CM133">
            <v>29110</v>
          </cell>
          <cell r="CN133">
            <v>0</v>
          </cell>
          <cell r="CO133">
            <v>0</v>
          </cell>
          <cell r="CP133">
            <v>0</v>
          </cell>
          <cell r="CQ133">
            <v>0</v>
          </cell>
          <cell r="CR133">
            <v>0</v>
          </cell>
          <cell r="CS133">
            <v>0</v>
          </cell>
          <cell r="CT133">
            <v>0</v>
          </cell>
          <cell r="CU133">
            <v>0</v>
          </cell>
          <cell r="CV133">
            <v>0</v>
          </cell>
          <cell r="CW133">
            <v>0</v>
          </cell>
          <cell r="CX133">
            <v>0</v>
          </cell>
          <cell r="CZ133">
            <v>0</v>
          </cell>
          <cell r="DC133">
            <v>0</v>
          </cell>
          <cell r="DD133">
            <v>0</v>
          </cell>
          <cell r="DE133">
            <v>0</v>
          </cell>
          <cell r="DF133">
            <v>0</v>
          </cell>
          <cell r="DG133">
            <v>0</v>
          </cell>
          <cell r="DH133">
            <v>0</v>
          </cell>
          <cell r="DI133">
            <v>0</v>
          </cell>
          <cell r="DJ133">
            <v>0</v>
          </cell>
          <cell r="DK133">
            <v>0</v>
          </cell>
          <cell r="DL133">
            <v>3859</v>
          </cell>
          <cell r="DM133">
            <v>231249</v>
          </cell>
          <cell r="DN133">
            <v>0</v>
          </cell>
          <cell r="DO133">
            <v>54271</v>
          </cell>
          <cell r="DP133">
            <v>1452</v>
          </cell>
          <cell r="DQ133">
            <v>290831</v>
          </cell>
          <cell r="DR133">
            <v>0</v>
          </cell>
          <cell r="DS133">
            <v>0</v>
          </cell>
          <cell r="DT133">
            <v>0</v>
          </cell>
          <cell r="DU133">
            <v>0</v>
          </cell>
          <cell r="DV133">
            <v>0</v>
          </cell>
          <cell r="DW133">
            <v>0</v>
          </cell>
          <cell r="DX133">
            <v>0</v>
          </cell>
          <cell r="DY133">
            <v>0</v>
          </cell>
          <cell r="DZ133">
            <v>0</v>
          </cell>
          <cell r="EA133">
            <v>0</v>
          </cell>
          <cell r="EB133">
            <v>0</v>
          </cell>
          <cell r="EE133">
            <v>0</v>
          </cell>
          <cell r="EH133">
            <v>0</v>
          </cell>
          <cell r="EI133">
            <v>0</v>
          </cell>
          <cell r="EK133">
            <v>0</v>
          </cell>
          <cell r="EL133">
            <v>0</v>
          </cell>
          <cell r="EM133">
            <v>21275</v>
          </cell>
          <cell r="EO133">
            <v>21275</v>
          </cell>
          <cell r="EP133">
            <v>0</v>
          </cell>
          <cell r="EQ133">
            <v>0</v>
          </cell>
          <cell r="ER133">
            <v>1481800.8458081461</v>
          </cell>
          <cell r="ES133">
            <v>0</v>
          </cell>
          <cell r="ET133">
            <v>99</v>
          </cell>
          <cell r="EU133">
            <v>14967.685311193394</v>
          </cell>
          <cell r="EV133" t="str">
            <v>No Variation Applied</v>
          </cell>
          <cell r="EW133">
            <v>32900</v>
          </cell>
          <cell r="EX133">
            <v>0</v>
          </cell>
          <cell r="EY133">
            <v>0</v>
          </cell>
          <cell r="EZ133">
            <v>0</v>
          </cell>
        </row>
        <row r="134">
          <cell r="C134" t="str">
            <v>Ivy House School</v>
          </cell>
          <cell r="D134">
            <v>7026</v>
          </cell>
          <cell r="F134" t="str">
            <v/>
          </cell>
          <cell r="G134">
            <v>0</v>
          </cell>
          <cell r="H134">
            <v>0</v>
          </cell>
          <cell r="I134">
            <v>0</v>
          </cell>
          <cell r="J134">
            <v>0</v>
          </cell>
          <cell r="L134">
            <v>0</v>
          </cell>
          <cell r="M134">
            <v>0</v>
          </cell>
          <cell r="N134">
            <v>0</v>
          </cell>
          <cell r="S134">
            <v>0</v>
          </cell>
          <cell r="T134">
            <v>0</v>
          </cell>
          <cell r="BE134">
            <v>0</v>
          </cell>
          <cell r="BF134">
            <v>0</v>
          </cell>
          <cell r="BG134">
            <v>0</v>
          </cell>
          <cell r="BH134">
            <v>2</v>
          </cell>
          <cell r="BI134">
            <v>4</v>
          </cell>
          <cell r="BJ134">
            <v>4</v>
          </cell>
          <cell r="BK134">
            <v>23</v>
          </cell>
          <cell r="BL134">
            <v>16</v>
          </cell>
          <cell r="BM134">
            <v>36</v>
          </cell>
          <cell r="BN134">
            <v>0</v>
          </cell>
          <cell r="BO134">
            <v>0</v>
          </cell>
          <cell r="BP134">
            <v>1481494.503795797</v>
          </cell>
          <cell r="BQ134">
            <v>85</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I134">
            <v>16397</v>
          </cell>
          <cell r="CJ134">
            <v>0</v>
          </cell>
          <cell r="CK134">
            <v>0</v>
          </cell>
          <cell r="CL134">
            <v>1116</v>
          </cell>
          <cell r="CM134">
            <v>17513</v>
          </cell>
          <cell r="CN134">
            <v>0</v>
          </cell>
          <cell r="CO134">
            <v>0</v>
          </cell>
          <cell r="CP134">
            <v>0</v>
          </cell>
          <cell r="CQ134">
            <v>0</v>
          </cell>
          <cell r="CR134">
            <v>0</v>
          </cell>
          <cell r="CS134">
            <v>0</v>
          </cell>
          <cell r="CT134">
            <v>0</v>
          </cell>
          <cell r="CU134">
            <v>0</v>
          </cell>
          <cell r="CV134">
            <v>0</v>
          </cell>
          <cell r="CW134">
            <v>0</v>
          </cell>
          <cell r="CX134">
            <v>0</v>
          </cell>
          <cell r="CZ134">
            <v>0</v>
          </cell>
          <cell r="DC134">
            <v>0</v>
          </cell>
          <cell r="DD134">
            <v>0</v>
          </cell>
          <cell r="DE134">
            <v>0</v>
          </cell>
          <cell r="DF134">
            <v>0</v>
          </cell>
          <cell r="DG134">
            <v>0</v>
          </cell>
          <cell r="DH134">
            <v>0</v>
          </cell>
          <cell r="DI134">
            <v>0</v>
          </cell>
          <cell r="DJ134">
            <v>0</v>
          </cell>
          <cell r="DK134">
            <v>0</v>
          </cell>
          <cell r="DL134">
            <v>4809</v>
          </cell>
          <cell r="DM134">
            <v>255712</v>
          </cell>
          <cell r="DN134">
            <v>0</v>
          </cell>
          <cell r="DO134">
            <v>135253</v>
          </cell>
          <cell r="DP134">
            <v>430</v>
          </cell>
          <cell r="DQ134">
            <v>396204</v>
          </cell>
          <cell r="DR134">
            <v>0</v>
          </cell>
          <cell r="DS134">
            <v>0</v>
          </cell>
          <cell r="DT134">
            <v>0</v>
          </cell>
          <cell r="DU134">
            <v>0</v>
          </cell>
          <cell r="DV134">
            <v>143000</v>
          </cell>
          <cell r="DW134">
            <v>62240</v>
          </cell>
          <cell r="DX134">
            <v>205240</v>
          </cell>
          <cell r="DY134">
            <v>0</v>
          </cell>
          <cell r="DZ134">
            <v>0</v>
          </cell>
          <cell r="EA134">
            <v>0</v>
          </cell>
          <cell r="EB134">
            <v>0</v>
          </cell>
          <cell r="EE134">
            <v>0</v>
          </cell>
          <cell r="EH134">
            <v>0</v>
          </cell>
          <cell r="EI134">
            <v>0</v>
          </cell>
          <cell r="EK134">
            <v>0</v>
          </cell>
          <cell r="EL134">
            <v>0</v>
          </cell>
          <cell r="EM134">
            <v>12941</v>
          </cell>
          <cell r="EO134">
            <v>12941</v>
          </cell>
          <cell r="EP134">
            <v>0</v>
          </cell>
          <cell r="EQ134">
            <v>0</v>
          </cell>
          <cell r="ER134">
            <v>2113392.503795797</v>
          </cell>
          <cell r="ES134">
            <v>0</v>
          </cell>
          <cell r="ET134">
            <v>85</v>
          </cell>
          <cell r="EU134">
            <v>24863.441221127025</v>
          </cell>
          <cell r="EV134" t="str">
            <v>No Variation Applied</v>
          </cell>
          <cell r="EW134">
            <v>10800</v>
          </cell>
          <cell r="EX134">
            <v>0</v>
          </cell>
          <cell r="EY134">
            <v>0</v>
          </cell>
          <cell r="EZ134">
            <v>0</v>
          </cell>
        </row>
        <row r="135">
          <cell r="C135" t="str">
            <v>St Andrew's School</v>
          </cell>
          <cell r="D135">
            <v>7027</v>
          </cell>
          <cell r="F135" t="str">
            <v/>
          </cell>
          <cell r="G135">
            <v>0</v>
          </cell>
          <cell r="H135">
            <v>0</v>
          </cell>
          <cell r="I135">
            <v>0</v>
          </cell>
          <cell r="J135">
            <v>0</v>
          </cell>
          <cell r="L135">
            <v>0</v>
          </cell>
          <cell r="M135">
            <v>0</v>
          </cell>
          <cell r="N135">
            <v>0</v>
          </cell>
          <cell r="S135">
            <v>0</v>
          </cell>
          <cell r="T135">
            <v>0</v>
          </cell>
          <cell r="BE135">
            <v>0</v>
          </cell>
          <cell r="BF135">
            <v>0</v>
          </cell>
          <cell r="BG135">
            <v>6</v>
          </cell>
          <cell r="BH135">
            <v>0</v>
          </cell>
          <cell r="BI135">
            <v>0</v>
          </cell>
          <cell r="BJ135">
            <v>54</v>
          </cell>
          <cell r="BK135">
            <v>0</v>
          </cell>
          <cell r="BL135">
            <v>0</v>
          </cell>
          <cell r="BM135">
            <v>34</v>
          </cell>
          <cell r="BN135">
            <v>17</v>
          </cell>
          <cell r="BO135">
            <v>7</v>
          </cell>
          <cell r="BP135">
            <v>1641880.3754284366</v>
          </cell>
          <cell r="BQ135">
            <v>118</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I135">
            <v>13960</v>
          </cell>
          <cell r="CJ135">
            <v>0</v>
          </cell>
          <cell r="CK135">
            <v>0</v>
          </cell>
          <cell r="CL135">
            <v>1034</v>
          </cell>
          <cell r="CM135">
            <v>14994</v>
          </cell>
          <cell r="CN135">
            <v>0</v>
          </cell>
          <cell r="CO135">
            <v>0</v>
          </cell>
          <cell r="CP135">
            <v>0</v>
          </cell>
          <cell r="CQ135">
            <v>0</v>
          </cell>
          <cell r="CR135">
            <v>0</v>
          </cell>
          <cell r="CS135">
            <v>0</v>
          </cell>
          <cell r="CT135">
            <v>0</v>
          </cell>
          <cell r="CU135">
            <v>0</v>
          </cell>
          <cell r="CV135">
            <v>0</v>
          </cell>
          <cell r="CW135">
            <v>0</v>
          </cell>
          <cell r="CX135">
            <v>0</v>
          </cell>
          <cell r="CZ135">
            <v>0</v>
          </cell>
          <cell r="DC135">
            <v>0</v>
          </cell>
          <cell r="DD135">
            <v>0</v>
          </cell>
          <cell r="DE135">
            <v>0</v>
          </cell>
          <cell r="DF135">
            <v>0</v>
          </cell>
          <cell r="DG135">
            <v>0</v>
          </cell>
          <cell r="DH135">
            <v>0</v>
          </cell>
          <cell r="DI135">
            <v>0</v>
          </cell>
          <cell r="DJ135">
            <v>0</v>
          </cell>
          <cell r="DK135">
            <v>0</v>
          </cell>
          <cell r="DL135">
            <v>6580</v>
          </cell>
          <cell r="DM135">
            <v>291249</v>
          </cell>
          <cell r="DN135">
            <v>144622</v>
          </cell>
          <cell r="DO135">
            <v>138796</v>
          </cell>
          <cell r="DP135">
            <v>768</v>
          </cell>
          <cell r="DQ135">
            <v>582015</v>
          </cell>
          <cell r="DR135">
            <v>0</v>
          </cell>
          <cell r="DS135">
            <v>0</v>
          </cell>
          <cell r="DT135">
            <v>0</v>
          </cell>
          <cell r="DU135">
            <v>0</v>
          </cell>
          <cell r="DV135">
            <v>0</v>
          </cell>
          <cell r="DW135">
            <v>24896</v>
          </cell>
          <cell r="DX135">
            <v>24896</v>
          </cell>
          <cell r="DY135">
            <v>0</v>
          </cell>
          <cell r="DZ135">
            <v>0</v>
          </cell>
          <cell r="EA135">
            <v>0</v>
          </cell>
          <cell r="EB135">
            <v>0</v>
          </cell>
          <cell r="EE135">
            <v>0</v>
          </cell>
          <cell r="EH135">
            <v>0</v>
          </cell>
          <cell r="EI135">
            <v>0</v>
          </cell>
          <cell r="EK135">
            <v>0</v>
          </cell>
          <cell r="EL135">
            <v>0</v>
          </cell>
          <cell r="EM135">
            <v>17888</v>
          </cell>
          <cell r="EO135">
            <v>17888</v>
          </cell>
          <cell r="EP135">
            <v>0</v>
          </cell>
          <cell r="EQ135">
            <v>0</v>
          </cell>
          <cell r="ER135">
            <v>2281673.3754284363</v>
          </cell>
          <cell r="ES135">
            <v>0</v>
          </cell>
          <cell r="ET135">
            <v>118</v>
          </cell>
          <cell r="EU135">
            <v>19336.215046003697</v>
          </cell>
          <cell r="EV135" t="str">
            <v>No Variation Applied</v>
          </cell>
          <cell r="EW135">
            <v>14200</v>
          </cell>
          <cell r="EX135">
            <v>0</v>
          </cell>
          <cell r="EY135">
            <v>0</v>
          </cell>
          <cell r="EZ135">
            <v>0</v>
          </cell>
        </row>
        <row r="136">
          <cell r="C136" t="str">
            <v>Kingsmead School</v>
          </cell>
          <cell r="D136">
            <v>7029</v>
          </cell>
          <cell r="F136" t="str">
            <v/>
          </cell>
          <cell r="G136">
            <v>0</v>
          </cell>
          <cell r="H136">
            <v>0</v>
          </cell>
          <cell r="I136">
            <v>0</v>
          </cell>
          <cell r="J136">
            <v>0</v>
          </cell>
          <cell r="L136">
            <v>0</v>
          </cell>
          <cell r="M136">
            <v>0</v>
          </cell>
          <cell r="N136">
            <v>0</v>
          </cell>
          <cell r="S136">
            <v>0</v>
          </cell>
          <cell r="T136">
            <v>0</v>
          </cell>
          <cell r="BE136">
            <v>0</v>
          </cell>
          <cell r="BF136">
            <v>0</v>
          </cell>
          <cell r="BG136">
            <v>0</v>
          </cell>
          <cell r="BH136">
            <v>0</v>
          </cell>
          <cell r="BI136">
            <v>0</v>
          </cell>
          <cell r="BJ136">
            <v>20</v>
          </cell>
          <cell r="BK136">
            <v>0</v>
          </cell>
          <cell r="BL136">
            <v>0</v>
          </cell>
          <cell r="BM136">
            <v>20</v>
          </cell>
          <cell r="BN136">
            <v>0</v>
          </cell>
          <cell r="BO136">
            <v>0</v>
          </cell>
          <cell r="BP136">
            <v>635871.5455866789</v>
          </cell>
          <cell r="BQ136">
            <v>40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I136">
            <v>10636</v>
          </cell>
          <cell r="CJ136">
            <v>0</v>
          </cell>
          <cell r="CK136">
            <v>0</v>
          </cell>
          <cell r="CL136">
            <v>0</v>
          </cell>
          <cell r="CM136">
            <v>10636</v>
          </cell>
          <cell r="CN136">
            <v>0</v>
          </cell>
          <cell r="CO136">
            <v>0</v>
          </cell>
          <cell r="CP136">
            <v>0</v>
          </cell>
          <cell r="CQ136">
            <v>0</v>
          </cell>
          <cell r="CR136">
            <v>0</v>
          </cell>
          <cell r="CS136">
            <v>0</v>
          </cell>
          <cell r="CT136">
            <v>0</v>
          </cell>
          <cell r="CU136">
            <v>0</v>
          </cell>
          <cell r="CV136">
            <v>0</v>
          </cell>
          <cell r="CW136">
            <v>0</v>
          </cell>
          <cell r="CX136">
            <v>0</v>
          </cell>
          <cell r="CZ136">
            <v>0</v>
          </cell>
          <cell r="DC136">
            <v>0</v>
          </cell>
          <cell r="DD136">
            <v>0</v>
          </cell>
          <cell r="DE136">
            <v>0</v>
          </cell>
          <cell r="DF136">
            <v>0</v>
          </cell>
          <cell r="DG136">
            <v>0</v>
          </cell>
          <cell r="DH136">
            <v>0</v>
          </cell>
          <cell r="DI136">
            <v>0</v>
          </cell>
          <cell r="DJ136">
            <v>0</v>
          </cell>
          <cell r="DK136">
            <v>0</v>
          </cell>
          <cell r="DL136">
            <v>2336</v>
          </cell>
          <cell r="DM136">
            <v>231249</v>
          </cell>
          <cell r="DN136">
            <v>0</v>
          </cell>
          <cell r="DO136">
            <v>119188</v>
          </cell>
          <cell r="DP136">
            <v>196</v>
          </cell>
          <cell r="DQ136">
            <v>352969</v>
          </cell>
          <cell r="DR136">
            <v>0</v>
          </cell>
          <cell r="DS136">
            <v>0</v>
          </cell>
          <cell r="DT136">
            <v>0</v>
          </cell>
          <cell r="DU136">
            <v>0</v>
          </cell>
          <cell r="DV136">
            <v>0</v>
          </cell>
          <cell r="DW136">
            <v>0</v>
          </cell>
          <cell r="DX136">
            <v>0</v>
          </cell>
          <cell r="DY136">
            <v>0</v>
          </cell>
          <cell r="DZ136">
            <v>0</v>
          </cell>
          <cell r="EA136">
            <v>0</v>
          </cell>
          <cell r="EB136">
            <v>0</v>
          </cell>
          <cell r="EE136">
            <v>0</v>
          </cell>
          <cell r="EH136">
            <v>0</v>
          </cell>
          <cell r="EI136">
            <v>0</v>
          </cell>
          <cell r="EK136">
            <v>0</v>
          </cell>
          <cell r="EL136">
            <v>0</v>
          </cell>
          <cell r="EM136">
            <v>1175876.9801444886</v>
          </cell>
          <cell r="EO136">
            <v>1175876.9801444886</v>
          </cell>
          <cell r="EP136">
            <v>0</v>
          </cell>
          <cell r="EQ136">
            <v>0</v>
          </cell>
          <cell r="ER136">
            <v>2175353.5257311678</v>
          </cell>
          <cell r="ES136">
            <v>0</v>
          </cell>
          <cell r="ET136">
            <v>40</v>
          </cell>
          <cell r="EU136">
            <v>54383.838143279194</v>
          </cell>
          <cell r="EV136" t="str">
            <v>No Variation Applied</v>
          </cell>
          <cell r="EW136">
            <v>14050</v>
          </cell>
          <cell r="EX136">
            <v>0</v>
          </cell>
          <cell r="EY136">
            <v>0</v>
          </cell>
          <cell r="EZ136">
            <v>0</v>
          </cell>
        </row>
        <row r="138">
          <cell r="B138" t="str">
            <v>Total/average Special Schools</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BE138">
            <v>16</v>
          </cell>
          <cell r="BF138">
            <v>2</v>
          </cell>
          <cell r="BG138">
            <v>89</v>
          </cell>
          <cell r="BH138">
            <v>23</v>
          </cell>
          <cell r="BI138">
            <v>36</v>
          </cell>
          <cell r="BJ138">
            <v>138</v>
          </cell>
          <cell r="BK138">
            <v>31</v>
          </cell>
          <cell r="BL138">
            <v>45</v>
          </cell>
          <cell r="BM138">
            <v>119</v>
          </cell>
          <cell r="BN138">
            <v>17</v>
          </cell>
          <cell r="BO138">
            <v>7</v>
          </cell>
          <cell r="BP138">
            <v>7549903.5119335018</v>
          </cell>
          <cell r="BQ138">
            <v>523</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135389</v>
          </cell>
          <cell r="CJ138">
            <v>0</v>
          </cell>
          <cell r="CK138">
            <v>0</v>
          </cell>
          <cell r="CL138">
            <v>4778</v>
          </cell>
          <cell r="CM138">
            <v>140167</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29039</v>
          </cell>
          <cell r="DM138">
            <v>1470931</v>
          </cell>
          <cell r="DN138">
            <v>144622</v>
          </cell>
          <cell r="DO138">
            <v>575743</v>
          </cell>
          <cell r="DP138">
            <v>4903</v>
          </cell>
          <cell r="DQ138">
            <v>2225238</v>
          </cell>
          <cell r="DR138">
            <v>0</v>
          </cell>
          <cell r="DS138">
            <v>11863</v>
          </cell>
          <cell r="DT138">
            <v>0</v>
          </cell>
          <cell r="DU138">
            <v>0</v>
          </cell>
          <cell r="DV138">
            <v>143000</v>
          </cell>
          <cell r="DW138">
            <v>112032</v>
          </cell>
          <cell r="DX138">
            <v>266895</v>
          </cell>
          <cell r="DY138">
            <v>0</v>
          </cell>
          <cell r="DZ138">
            <v>0</v>
          </cell>
          <cell r="EA138">
            <v>0</v>
          </cell>
          <cell r="EB138">
            <v>0</v>
          </cell>
          <cell r="EC138">
            <v>0</v>
          </cell>
          <cell r="ED138">
            <v>0</v>
          </cell>
          <cell r="EE138">
            <v>0</v>
          </cell>
          <cell r="EF138">
            <v>0</v>
          </cell>
          <cell r="EG138">
            <v>0</v>
          </cell>
          <cell r="EH138">
            <v>0</v>
          </cell>
          <cell r="EI138">
            <v>2695.4603999999999</v>
          </cell>
          <cell r="EJ138">
            <v>0</v>
          </cell>
          <cell r="EK138">
            <v>0</v>
          </cell>
          <cell r="EL138">
            <v>0</v>
          </cell>
          <cell r="EM138">
            <v>1302704.9801444886</v>
          </cell>
          <cell r="EN138">
            <v>0</v>
          </cell>
          <cell r="EO138">
            <v>1305400.4405444886</v>
          </cell>
          <cell r="EP138">
            <v>0</v>
          </cell>
          <cell r="EQ138">
            <v>0</v>
          </cell>
          <cell r="ER138">
            <v>11487603.95247799</v>
          </cell>
          <cell r="ES138">
            <v>0</v>
          </cell>
          <cell r="ET138">
            <v>523</v>
          </cell>
          <cell r="EU138">
            <v>21964.825912959826</v>
          </cell>
          <cell r="EW138">
            <v>135850</v>
          </cell>
          <cell r="EX138">
            <v>0</v>
          </cell>
          <cell r="EY138">
            <v>0</v>
          </cell>
          <cell r="EZ138">
            <v>0</v>
          </cell>
        </row>
        <row r="140">
          <cell r="B140" t="str">
            <v>Total All Schools</v>
          </cell>
          <cell r="G140">
            <v>310992</v>
          </cell>
          <cell r="H140">
            <v>1151748</v>
          </cell>
          <cell r="I140">
            <v>0</v>
          </cell>
          <cell r="J140">
            <v>0</v>
          </cell>
          <cell r="K140">
            <v>0</v>
          </cell>
          <cell r="L140">
            <v>5923748.0660770079</v>
          </cell>
          <cell r="M140">
            <v>1462740</v>
          </cell>
          <cell r="N140">
            <v>1539.7263157894736</v>
          </cell>
          <cell r="O140">
            <v>0</v>
          </cell>
          <cell r="P140">
            <v>0</v>
          </cell>
          <cell r="Q140">
            <v>0</v>
          </cell>
          <cell r="R140">
            <v>0</v>
          </cell>
          <cell r="S140">
            <v>0</v>
          </cell>
          <cell r="T140">
            <v>0</v>
          </cell>
          <cell r="U140">
            <v>3073</v>
          </cell>
          <cell r="V140">
            <v>0</v>
          </cell>
          <cell r="W140">
            <v>0</v>
          </cell>
          <cell r="X140">
            <v>0</v>
          </cell>
          <cell r="Y140">
            <v>2984</v>
          </cell>
          <cell r="Z140">
            <v>2902</v>
          </cell>
          <cell r="AA140">
            <v>2904</v>
          </cell>
          <cell r="AB140">
            <v>2754</v>
          </cell>
          <cell r="AC140">
            <v>2703</v>
          </cell>
          <cell r="AD140">
            <v>2705</v>
          </cell>
          <cell r="AE140">
            <v>0</v>
          </cell>
          <cell r="AF140">
            <v>0</v>
          </cell>
          <cell r="AG140">
            <v>0</v>
          </cell>
          <cell r="AH140">
            <v>0</v>
          </cell>
          <cell r="AI140">
            <v>0</v>
          </cell>
          <cell r="AJ140">
            <v>0</v>
          </cell>
          <cell r="AK140">
            <v>51787081.491367385</v>
          </cell>
          <cell r="AL140">
            <v>20025</v>
          </cell>
          <cell r="AM140">
            <v>0</v>
          </cell>
          <cell r="AN140">
            <v>0</v>
          </cell>
          <cell r="AO140">
            <v>0</v>
          </cell>
          <cell r="AP140">
            <v>0</v>
          </cell>
          <cell r="AQ140">
            <v>0</v>
          </cell>
          <cell r="AR140">
            <v>0</v>
          </cell>
          <cell r="AS140">
            <v>0</v>
          </cell>
          <cell r="AT140">
            <v>0</v>
          </cell>
          <cell r="AU140">
            <v>0</v>
          </cell>
          <cell r="AV140">
            <v>0</v>
          </cell>
          <cell r="AW140">
            <v>1689</v>
          </cell>
          <cell r="AX140">
            <v>1808</v>
          </cell>
          <cell r="AY140">
            <v>1784</v>
          </cell>
          <cell r="AZ140">
            <v>1835</v>
          </cell>
          <cell r="BA140">
            <v>1592</v>
          </cell>
          <cell r="BB140">
            <v>0</v>
          </cell>
          <cell r="BC140">
            <v>30553832.235700458</v>
          </cell>
          <cell r="BD140">
            <v>8708</v>
          </cell>
          <cell r="BE140">
            <v>16</v>
          </cell>
          <cell r="BF140">
            <v>2</v>
          </cell>
          <cell r="BG140">
            <v>89</v>
          </cell>
          <cell r="BH140">
            <v>23</v>
          </cell>
          <cell r="BI140">
            <v>36</v>
          </cell>
          <cell r="BJ140">
            <v>138</v>
          </cell>
          <cell r="BK140">
            <v>31</v>
          </cell>
          <cell r="BL140">
            <v>45</v>
          </cell>
          <cell r="BM140">
            <v>119</v>
          </cell>
          <cell r="BN140">
            <v>17</v>
          </cell>
          <cell r="BO140">
            <v>7</v>
          </cell>
          <cell r="BP140">
            <v>7549903.5119335018</v>
          </cell>
          <cell r="BQ140">
            <v>523</v>
          </cell>
          <cell r="BS140">
            <v>525700.08639999991</v>
          </cell>
          <cell r="BT140">
            <v>380000</v>
          </cell>
          <cell r="BU140">
            <v>69252.096799999999</v>
          </cell>
          <cell r="BV140">
            <v>18646</v>
          </cell>
          <cell r="BW140">
            <v>32073.469999999998</v>
          </cell>
          <cell r="BX140">
            <v>-34918.406751157832</v>
          </cell>
          <cell r="BY140">
            <v>70626.164628171973</v>
          </cell>
          <cell r="BZ140">
            <v>108415.77839999998</v>
          </cell>
          <cell r="CA140">
            <v>0</v>
          </cell>
          <cell r="CB140">
            <v>168619.43578717971</v>
          </cell>
          <cell r="CC140">
            <v>241368.7043117237</v>
          </cell>
          <cell r="CD140">
            <v>8840.6951250000002</v>
          </cell>
          <cell r="CE140">
            <v>1588624.0247009173</v>
          </cell>
          <cell r="CF140">
            <v>1338156.0566722197</v>
          </cell>
          <cell r="CG140">
            <v>0</v>
          </cell>
          <cell r="CH140">
            <v>0</v>
          </cell>
          <cell r="CI140">
            <v>135389</v>
          </cell>
          <cell r="CJ140">
            <v>77991.075364279008</v>
          </cell>
          <cell r="CK140">
            <v>704164.51000000013</v>
          </cell>
          <cell r="CL140">
            <v>332755.74815123453</v>
          </cell>
          <cell r="CM140">
            <v>2588456.3901877329</v>
          </cell>
          <cell r="CN140">
            <v>0</v>
          </cell>
          <cell r="CO140">
            <v>0</v>
          </cell>
          <cell r="CP140">
            <v>0</v>
          </cell>
          <cell r="CQ140">
            <v>732023.45202769502</v>
          </cell>
          <cell r="CR140">
            <v>1306309.7961938349</v>
          </cell>
          <cell r="CS140">
            <v>1247683.015255877</v>
          </cell>
          <cell r="CT140">
            <v>3286016.2634774065</v>
          </cell>
          <cell r="CU140">
            <v>759243.86929189134</v>
          </cell>
          <cell r="CV140">
            <v>72077.730024498669</v>
          </cell>
          <cell r="CW140">
            <v>831321.59931638977</v>
          </cell>
          <cell r="CX140">
            <v>3338877.434602343</v>
          </cell>
          <cell r="CY140">
            <v>0</v>
          </cell>
          <cell r="CZ140">
            <v>3338877.434602343</v>
          </cell>
          <cell r="DA140">
            <v>0</v>
          </cell>
          <cell r="DB140">
            <v>0</v>
          </cell>
          <cell r="DC140">
            <v>0</v>
          </cell>
          <cell r="DD140">
            <v>9055920.5484434441</v>
          </cell>
          <cell r="DE140">
            <v>8701755.2952482682</v>
          </cell>
          <cell r="DF140">
            <v>1058147.3480889015</v>
          </cell>
          <cell r="DG140">
            <v>2907199.1183558581</v>
          </cell>
          <cell r="DH140">
            <v>258568.94297647552</v>
          </cell>
          <cell r="DI140">
            <v>21981591.253112942</v>
          </cell>
          <cell r="DJ140">
            <v>166226.03999999998</v>
          </cell>
          <cell r="DK140">
            <v>1409617.7400000002</v>
          </cell>
          <cell r="DL140">
            <v>688465.21824652655</v>
          </cell>
          <cell r="DM140">
            <v>9710687.3305611014</v>
          </cell>
          <cell r="DN140">
            <v>144622</v>
          </cell>
          <cell r="DO140">
            <v>575743</v>
          </cell>
          <cell r="DP140">
            <v>4903</v>
          </cell>
          <cell r="DQ140">
            <v>12700264.32880763</v>
          </cell>
          <cell r="DR140">
            <v>587589.42528291629</v>
          </cell>
          <cell r="DS140">
            <v>84376</v>
          </cell>
          <cell r="DT140">
            <v>50936.109413244609</v>
          </cell>
          <cell r="DU140">
            <v>27384.055530732978</v>
          </cell>
          <cell r="DV140">
            <v>143000</v>
          </cell>
          <cell r="DW140">
            <v>112032</v>
          </cell>
          <cell r="DX140">
            <v>1005317.5902268939</v>
          </cell>
          <cell r="DY140">
            <v>877266.22579708369</v>
          </cell>
          <cell r="DZ140">
            <v>57749.274655992398</v>
          </cell>
          <cell r="EA140">
            <v>108895.07166036067</v>
          </cell>
          <cell r="EB140">
            <v>1043910.5721134368</v>
          </cell>
          <cell r="EC140">
            <v>0</v>
          </cell>
          <cell r="ED140">
            <v>0</v>
          </cell>
          <cell r="EE140">
            <v>0</v>
          </cell>
          <cell r="EF140">
            <v>0</v>
          </cell>
          <cell r="EG140">
            <v>0</v>
          </cell>
          <cell r="EH140">
            <v>0</v>
          </cell>
          <cell r="EI140">
            <v>133255.43587513699</v>
          </cell>
          <cell r="EJ140">
            <v>0</v>
          </cell>
          <cell r="EK140">
            <v>-865270.7348074466</v>
          </cell>
          <cell r="EL140">
            <v>494736</v>
          </cell>
          <cell r="EM140">
            <v>1338009.9801444886</v>
          </cell>
          <cell r="EN140">
            <v>0</v>
          </cell>
          <cell r="EO140">
            <v>1100730.6812121789</v>
          </cell>
          <cell r="EP140">
            <v>1163273.1498149754</v>
          </cell>
          <cell r="EQ140">
            <v>7512372.090777928</v>
          </cell>
          <cell r="ER140">
            <v>146442948.59265122</v>
          </cell>
          <cell r="ES140">
            <v>920</v>
          </cell>
          <cell r="ET140">
            <v>31715.726315789474</v>
          </cell>
          <cell r="EU140">
            <v>4617.3607104102648</v>
          </cell>
          <cell r="EW140">
            <v>5665150</v>
          </cell>
          <cell r="EX140">
            <v>0</v>
          </cell>
          <cell r="EY140">
            <v>0</v>
          </cell>
          <cell r="EZ140">
            <v>22203745.256624341</v>
          </cell>
        </row>
        <row r="143">
          <cell r="B143" t="str">
            <v>Memorandum items</v>
          </cell>
        </row>
        <row r="145">
          <cell r="B145" t="str">
            <v>Academy Funding for SEN pupils that would normally be delegated</v>
          </cell>
          <cell r="CZ145">
            <v>132989.68935707182</v>
          </cell>
        </row>
        <row r="147">
          <cell r="B147" t="str">
            <v>Pupil premium allocated to schools</v>
          </cell>
          <cell r="EW147">
            <v>5665150</v>
          </cell>
        </row>
        <row r="149">
          <cell r="B149" t="str">
            <v>Unallocated pupil premium </v>
          </cell>
          <cell r="EW149">
            <v>128350</v>
          </cell>
        </row>
        <row r="151">
          <cell r="B151" t="str">
            <v>Total pupil premium</v>
          </cell>
          <cell r="EW151">
            <v>5793500</v>
          </cell>
        </row>
        <row r="153">
          <cell r="B153" t="str">
            <v>Unallocated Threshold and performance pay</v>
          </cell>
          <cell r="EX153">
            <v>0</v>
          </cell>
        </row>
        <row r="155">
          <cell r="B155" t="str">
            <v>Total Threshold and performance pay</v>
          </cell>
          <cell r="EX155">
            <v>0</v>
          </cell>
        </row>
        <row r="157">
          <cell r="B157" t="str">
            <v>Unallocated funding to support schools in financial difficulties</v>
          </cell>
          <cell r="EY157">
            <v>150000</v>
          </cell>
        </row>
        <row r="159">
          <cell r="B159" t="str">
            <v>Total funding for schools in financial difficulties</v>
          </cell>
          <cell r="EY159">
            <v>150000</v>
          </cell>
        </row>
        <row r="170">
          <cell r="A170" t="str">
            <v>TABLE  Notes</v>
          </cell>
        </row>
        <row r="171">
          <cell r="A171" t="str">
            <v>Note that the information you provide in this section will be taken into account when returned to DfE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by type"/>
      <sheetName val="Summary- by group"/>
      <sheetName val="Soulbury"/>
      <sheetName val="TchS Staff-core serv EDB18"/>
      <sheetName val="TchSf-PRUks1-2 EDB08"/>
      <sheetName val="Tchs Staff -PRUks3 edb06"/>
      <sheetName val="TchS Staff -PRUks4 EDB15"/>
      <sheetName val="Tchs EDB16 -Prim ss"/>
      <sheetName val="TchS Staff -Sec SS EDB17"/>
      <sheetName val="Admin EDB09-EDB18"/>
      <sheetName val=" ECO core service EDB18"/>
      <sheetName val="ECO Pru ks1-2 EDB08"/>
      <sheetName val="ECO Pru ks3 EDB06"/>
      <sheetName val="ECO Pru ks4 EDB15"/>
      <sheetName val=" ECO PRIM SSrvice EDB16"/>
      <sheetName val="not used"/>
      <sheetName val="Non Staffing"/>
      <sheetName val="Pupil Numbers"/>
      <sheetName val="Pay Scales"/>
      <sheetName val="Printing"/>
      <sheetName val="Budget Plans"/>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 calculator - One to Use"/>
      <sheetName val="Calculator - for checking only"/>
      <sheetName val="Calculator"/>
      <sheetName val="0708"/>
      <sheetName val="Numbers"/>
      <sheetName val="Rates"/>
      <sheetName val="Nightingale"/>
    </sheetNames>
    <sheetDataSet>
      <sheetData sheetId="0" refreshError="1"/>
      <sheetData sheetId="1" refreshError="1"/>
      <sheetData sheetId="2" refreshError="1"/>
      <sheetData sheetId="3" refreshError="1"/>
      <sheetData sheetId="4" refreshError="1"/>
      <sheetData sheetId="5" refreshError="1">
        <row r="4">
          <cell r="A4" t="str">
            <v>Nursery</v>
          </cell>
        </row>
        <row r="5">
          <cell r="A5" t="str">
            <v>Primary</v>
          </cell>
        </row>
        <row r="6">
          <cell r="A6" t="str">
            <v>Secondary</v>
          </cell>
        </row>
        <row r="7">
          <cell r="A7" t="str">
            <v>Special</v>
          </cell>
        </row>
        <row r="8">
          <cell r="A8" t="str">
            <v>PRU</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59999389629810485"/>
  </sheetPr>
  <dimension ref="B1:V703"/>
  <sheetViews>
    <sheetView zoomScale="85" zoomScaleNormal="85" zoomScaleSheetLayoutView="70" workbookViewId="0">
      <pane xSplit="1" ySplit="5" topLeftCell="B6" activePane="bottomRight" state="frozen"/>
      <selection activeCell="A11" sqref="A11"/>
      <selection pane="topRight" activeCell="A11" sqref="A11"/>
      <selection pane="bottomLeft" activeCell="A11" sqref="A11"/>
      <selection pane="bottomRight" activeCell="B5" sqref="B5:D5"/>
    </sheetView>
  </sheetViews>
  <sheetFormatPr defaultColWidth="9.109375" defaultRowHeight="13.2" x14ac:dyDescent="0.25"/>
  <cols>
    <col min="1" max="1" width="9.109375" style="125"/>
    <col min="2" max="2" width="62.5546875" style="125" customWidth="1"/>
    <col min="3" max="3" width="35" style="125" customWidth="1"/>
    <col min="4" max="4" width="14.33203125" style="125" customWidth="1"/>
    <col min="5" max="6" width="16.44140625" style="125" customWidth="1"/>
    <col min="7" max="7" width="16.5546875" style="125" customWidth="1"/>
    <col min="8" max="10" width="20.88671875" style="355" customWidth="1"/>
    <col min="11" max="11" width="12.6640625" style="124" hidden="1" customWidth="1"/>
    <col min="12" max="12" width="13.88671875" style="124" hidden="1" customWidth="1"/>
    <col min="13" max="13" width="12.109375" style="124" hidden="1" customWidth="1"/>
    <col min="14" max="14" width="11.33203125" style="124" hidden="1" customWidth="1"/>
    <col min="15" max="15" width="9.109375" style="124" hidden="1" customWidth="1"/>
    <col min="16" max="16" width="10.109375" style="124" hidden="1" customWidth="1"/>
    <col min="17" max="17" width="14.5546875" style="124" hidden="1" customWidth="1"/>
    <col min="18" max="18" width="14.5546875" style="125" hidden="1" customWidth="1"/>
    <col min="19" max="22" width="9.109375" style="125" hidden="1" customWidth="1"/>
    <col min="23" max="25" width="9.109375" style="125" customWidth="1"/>
    <col min="26" max="16384" width="9.109375" style="125"/>
  </cols>
  <sheetData>
    <row r="1" spans="2:22" ht="21" customHeight="1" x14ac:dyDescent="0.25">
      <c r="B1" s="120"/>
      <c r="C1" s="1191" t="s">
        <v>1456</v>
      </c>
      <c r="D1" s="1191"/>
      <c r="E1" s="1191"/>
      <c r="F1" s="1191"/>
      <c r="G1" s="121"/>
      <c r="H1" s="122"/>
      <c r="I1" s="123"/>
      <c r="J1" s="123"/>
    </row>
    <row r="2" spans="2:22" ht="21" customHeight="1" x14ac:dyDescent="0.25">
      <c r="B2" s="126"/>
      <c r="C2" s="1042"/>
      <c r="D2" s="1042"/>
      <c r="E2" s="1042"/>
      <c r="F2" s="127"/>
      <c r="G2" s="127"/>
      <c r="H2" s="128"/>
      <c r="I2" s="123"/>
      <c r="J2" s="123"/>
    </row>
    <row r="3" spans="2:22" ht="15" customHeight="1" thickBot="1" x14ac:dyDescent="0.3">
      <c r="B3" s="126"/>
      <c r="C3" s="129"/>
      <c r="D3" s="129"/>
      <c r="E3" s="129"/>
      <c r="F3" s="127"/>
      <c r="G3" s="127"/>
      <c r="H3" s="128"/>
      <c r="I3" s="123"/>
      <c r="J3" s="123"/>
      <c r="K3" s="130"/>
      <c r="L3" s="131">
        <f>VLOOKUP(B5,'School &amp; Nursery Setting Lookup'!A:E,5,FALSE)</f>
        <v>0</v>
      </c>
    </row>
    <row r="4" spans="2:22" ht="39.75" customHeight="1" thickBot="1" x14ac:dyDescent="0.3">
      <c r="B4" s="1192" t="s">
        <v>560</v>
      </c>
      <c r="C4" s="1193"/>
      <c r="D4" s="1194"/>
      <c r="E4" s="132"/>
      <c r="F4" s="133" t="s">
        <v>476</v>
      </c>
      <c r="G4" s="132"/>
      <c r="H4" s="134" t="s">
        <v>190</v>
      </c>
      <c r="I4" s="135"/>
      <c r="J4" s="135"/>
      <c r="L4" s="131"/>
    </row>
    <row r="5" spans="2:22" ht="27" customHeight="1" thickBot="1" x14ac:dyDescent="0.3">
      <c r="B5" s="1202" t="s">
        <v>502</v>
      </c>
      <c r="C5" s="1203"/>
      <c r="D5" s="1204"/>
      <c r="E5" s="136"/>
      <c r="F5" s="137">
        <f>VLOOKUP(B5,'School &amp; Nursery Setting Lookup'!A:D,3,FALSE)</f>
        <v>12345</v>
      </c>
      <c r="G5" s="132"/>
      <c r="H5" s="138">
        <f>VLOOKUP($B$5,'School &amp; Nursery Setting Lookup'!$A:$D,4,FALSE)</f>
        <v>0</v>
      </c>
      <c r="I5" s="139"/>
      <c r="J5" s="135"/>
      <c r="L5" s="131"/>
    </row>
    <row r="6" spans="2:22" ht="27" customHeight="1" x14ac:dyDescent="0.25">
      <c r="B6" s="140"/>
      <c r="C6" s="1195"/>
      <c r="D6" s="1195"/>
      <c r="E6" s="1195"/>
      <c r="F6" s="136"/>
      <c r="G6" s="136"/>
      <c r="H6" s="141"/>
      <c r="I6" s="139"/>
      <c r="J6" s="135"/>
      <c r="L6" s="131"/>
    </row>
    <row r="7" spans="2:22" ht="27" customHeight="1" x14ac:dyDescent="0.3">
      <c r="B7" s="142"/>
      <c r="C7" s="1196" t="s">
        <v>1457</v>
      </c>
      <c r="D7" s="1196"/>
      <c r="E7" s="1196"/>
      <c r="F7" s="136"/>
      <c r="G7" s="136"/>
      <c r="H7" s="141"/>
      <c r="I7" s="139"/>
      <c r="J7" s="135"/>
      <c r="L7" s="131"/>
    </row>
    <row r="8" spans="2:22" ht="13.5" customHeight="1" x14ac:dyDescent="0.3">
      <c r="B8" s="142"/>
      <c r="C8" s="1196"/>
      <c r="D8" s="1196"/>
      <c r="E8" s="1196"/>
      <c r="F8" s="136"/>
      <c r="G8" s="136"/>
      <c r="H8" s="141"/>
      <c r="I8" s="136"/>
      <c r="J8" s="135"/>
      <c r="L8" s="131"/>
    </row>
    <row r="9" spans="2:22" ht="27" customHeight="1" thickBot="1" x14ac:dyDescent="0.3">
      <c r="B9" s="140"/>
      <c r="C9" s="1042"/>
      <c r="D9" s="1042"/>
      <c r="E9" s="1042"/>
      <c r="F9" s="136"/>
      <c r="G9" s="136"/>
      <c r="H9" s="143"/>
      <c r="I9" s="136"/>
      <c r="J9" s="135"/>
      <c r="L9" s="131"/>
    </row>
    <row r="10" spans="2:22" ht="47.25" customHeight="1" thickBot="1" x14ac:dyDescent="0.35">
      <c r="B10" s="1205" t="s">
        <v>477</v>
      </c>
      <c r="C10" s="1206"/>
      <c r="D10" s="144" t="s">
        <v>478</v>
      </c>
      <c r="E10" s="145" t="s">
        <v>1458</v>
      </c>
      <c r="F10" s="145" t="s">
        <v>1459</v>
      </c>
      <c r="G10" s="145" t="s">
        <v>1460</v>
      </c>
      <c r="H10" s="146" t="s">
        <v>480</v>
      </c>
      <c r="I10" s="147"/>
      <c r="J10" s="721"/>
      <c r="L10" s="148"/>
      <c r="M10" s="148"/>
      <c r="N10" s="148"/>
    </row>
    <row r="11" spans="2:22" ht="35.1" customHeight="1" x14ac:dyDescent="0.3">
      <c r="B11" s="149" t="s">
        <v>555</v>
      </c>
      <c r="C11" s="157">
        <v>3.7474486476211273</v>
      </c>
      <c r="D11" s="1186" t="s">
        <v>481</v>
      </c>
      <c r="E11" s="150">
        <f>IF($L$3=1,L11,0)+IF(L3=6,T11)</f>
        <v>0</v>
      </c>
      <c r="F11" s="150">
        <f>IF($L$3=1,M11,0)+IF(L3=6,U11)</f>
        <v>0</v>
      </c>
      <c r="G11" s="150">
        <f>IF($L$3=1,N11,0)+IF(L3=6,V11)</f>
        <v>0</v>
      </c>
      <c r="H11" s="151">
        <f>IF($H$5=6,Q11,R11)</f>
        <v>0</v>
      </c>
      <c r="I11" s="152"/>
      <c r="J11" s="720"/>
      <c r="L11" s="153" t="e">
        <f>VLOOKUP($F$5,'2016-17 Nursery Budget Final'!$C:$I,5,FALSE)</f>
        <v>#N/A</v>
      </c>
      <c r="M11" s="153" t="e">
        <f>VLOOKUP($F$5,'2016-17 Nursery Budget Final'!$C:$I,6,FALSE)</f>
        <v>#N/A</v>
      </c>
      <c r="N11" s="153" t="e">
        <f>VLOOKUP($F$5,'2016-17 Nursery Budget Final'!$C:$I,7,FALSE)</f>
        <v>#N/A</v>
      </c>
      <c r="P11" s="297">
        <f>+'2016-17 Nursery Budget Final'!O249</f>
        <v>1519545</v>
      </c>
      <c r="Q11" s="124">
        <f>IF(F$5=12345,0,P11)</f>
        <v>0</v>
      </c>
      <c r="R11" s="152">
        <f>SUM($E11+$F11+$G11)*$C11</f>
        <v>0</v>
      </c>
      <c r="T11" s="513">
        <f>'2016-17 Nursery Budget Final'!G249</f>
        <v>94536</v>
      </c>
      <c r="U11" s="513">
        <f>'2016-17 Nursery Budget Final'!H249</f>
        <v>88830</v>
      </c>
      <c r="V11" s="513">
        <f>'2016-17 Nursery Budget Final'!I249</f>
        <v>88020</v>
      </c>
    </row>
    <row r="12" spans="2:22" ht="35.1" customHeight="1" x14ac:dyDescent="0.3">
      <c r="B12" s="154" t="s">
        <v>482</v>
      </c>
      <c r="C12" s="157">
        <v>5.5991996578845935</v>
      </c>
      <c r="D12" s="1186"/>
      <c r="E12" s="155">
        <f>IF($L$3=2,L12,0)+IF(L3=6,T12)</f>
        <v>0</v>
      </c>
      <c r="F12" s="155">
        <f>IF($L$3=2,M12,0)+IF(L3=6,U12)</f>
        <v>0</v>
      </c>
      <c r="G12" s="155">
        <f>IF($L$3=2,N12,0)+IF(L3=6,V12)</f>
        <v>0</v>
      </c>
      <c r="H12" s="156">
        <f>IF($H$5=6,Q12,R12)</f>
        <v>0</v>
      </c>
      <c r="I12" s="152"/>
      <c r="J12" s="720"/>
      <c r="L12" s="153" t="e">
        <f>VLOOKUP($F$5,'2016-17 Nursery Budget Final'!$C:$I,5,FALSE)</f>
        <v>#N/A</v>
      </c>
      <c r="M12" s="153" t="e">
        <f>VLOOKUP($F$5,'2016-17 Nursery Budget Final'!$C:$I,6,FALSE)</f>
        <v>#N/A</v>
      </c>
      <c r="N12" s="153" t="e">
        <f>VLOOKUP($F$5,'2016-17 Nursery Budget Final'!$C:$I,7,FALSE)</f>
        <v>#N/A</v>
      </c>
      <c r="P12" s="297">
        <f>+'2016-17 Nursery Budget Final'!O250</f>
        <v>3700093</v>
      </c>
      <c r="Q12" s="124">
        <f t="shared" ref="Q12:Q14" si="0">IF(F$5=12345,0,P12)</f>
        <v>0</v>
      </c>
      <c r="R12" s="152">
        <f t="shared" ref="R12:R13" si="1">SUM($E12+$F12+$G12)*$C12</f>
        <v>0</v>
      </c>
      <c r="T12" s="513">
        <f>'2016-17 Nursery Budget Final'!G250</f>
        <v>372078</v>
      </c>
      <c r="U12" s="513">
        <f>'2016-17 Nursery Budget Final'!H250</f>
        <v>308385</v>
      </c>
      <c r="V12" s="513">
        <f>'2016-17 Nursery Budget Final'!I250</f>
        <v>306900</v>
      </c>
    </row>
    <row r="13" spans="2:22" ht="35.1" customHeight="1" x14ac:dyDescent="0.3">
      <c r="B13" s="154" t="s">
        <v>483</v>
      </c>
      <c r="C13" s="157">
        <v>3.9013285001896651</v>
      </c>
      <c r="D13" s="1186"/>
      <c r="E13" s="155">
        <f>IF($L$3=3,L13,0)+IF(L3=6,T13)</f>
        <v>0</v>
      </c>
      <c r="F13" s="155">
        <f>IF($L$3=3,M13,0)+IF(L3=6,U13)</f>
        <v>0</v>
      </c>
      <c r="G13" s="155">
        <f>IF($L$3=3,N13,0)+IF(L3=6,V13)</f>
        <v>0</v>
      </c>
      <c r="H13" s="156">
        <f>IF($H$5=6,Q13,R13)</f>
        <v>0</v>
      </c>
      <c r="I13" s="152"/>
      <c r="J13" s="720"/>
      <c r="L13" s="153" t="e">
        <f>VLOOKUP($F$5,'2016-17 Nursery Budget Final'!$C:$I,5,FALSE)</f>
        <v>#N/A</v>
      </c>
      <c r="M13" s="153" t="e">
        <f>VLOOKUP($F$5,'2016-17 Nursery Budget Final'!$C:$I,6,FALSE)</f>
        <v>#N/A</v>
      </c>
      <c r="N13" s="153" t="e">
        <f>VLOOKUP($F$5,'2016-17 Nursery Budget Final'!$C:$I,7,FALSE)</f>
        <v>#N/A</v>
      </c>
      <c r="P13" s="297">
        <f>+'2016-17 Nursery Budget Final'!O251</f>
        <v>1461885</v>
      </c>
      <c r="Q13" s="124">
        <f t="shared" si="0"/>
        <v>0</v>
      </c>
      <c r="R13" s="152">
        <f t="shared" si="1"/>
        <v>0</v>
      </c>
      <c r="T13" s="513">
        <f>'2016-17 Nursery Budget Final'!G251</f>
        <v>143445.92307692306</v>
      </c>
      <c r="U13" s="513">
        <f>'2016-17 Nursery Budget Final'!H251</f>
        <v>106211</v>
      </c>
      <c r="V13" s="513">
        <f>'2016-17 Nursery Budget Final'!I251</f>
        <v>125058</v>
      </c>
    </row>
    <row r="14" spans="2:22" ht="35.1" customHeight="1" thickBot="1" x14ac:dyDescent="0.35">
      <c r="B14" s="158" t="s">
        <v>484</v>
      </c>
      <c r="C14" s="157">
        <v>3.9013285001896651</v>
      </c>
      <c r="D14" s="1186"/>
      <c r="E14" s="155">
        <f>IF($L$3=4,L14,0)+IF(L3=6,T14)</f>
        <v>0</v>
      </c>
      <c r="F14" s="155">
        <f>IF($L$3=4,M14,0)+IF(L3=6,U14)</f>
        <v>0</v>
      </c>
      <c r="G14" s="155">
        <f>IF($L$3=4,N14,0)+IF(L3=6,V14)</f>
        <v>0</v>
      </c>
      <c r="H14" s="159">
        <f>IF($H$5=6,Q14,R14)</f>
        <v>0</v>
      </c>
      <c r="I14" s="152"/>
      <c r="J14" s="720"/>
      <c r="L14" s="153" t="e">
        <f>VLOOKUP($F$5,'2016-17 Nursery Budget Final'!$C:$I,5,FALSE)</f>
        <v>#N/A</v>
      </c>
      <c r="M14" s="153" t="e">
        <f>VLOOKUP($F$5,'2016-17 Nursery Budget Final'!$C:$I,6,FALSE)</f>
        <v>#N/A</v>
      </c>
      <c r="N14" s="153" t="e">
        <f>VLOOKUP($F$5,'2016-17 Nursery Budget Final'!$C:$I,7,FALSE)</f>
        <v>#N/A</v>
      </c>
      <c r="P14" s="297">
        <f>+'2016-17 Nursery Budget Final'!O252</f>
        <v>3641762</v>
      </c>
      <c r="Q14" s="124">
        <f t="shared" si="0"/>
        <v>0</v>
      </c>
      <c r="R14" s="152">
        <f>SUM($E14+$F14+$G14)*$C14</f>
        <v>0</v>
      </c>
      <c r="T14" s="513">
        <f>'2016-17 Nursery Budget Final'!G252</f>
        <v>352699.38461538462</v>
      </c>
      <c r="U14" s="513">
        <f>'2016-17 Nursery Budget Final'!H252</f>
        <v>280315</v>
      </c>
      <c r="V14" s="513">
        <f>'2016-17 Nursery Budget Final'!I252</f>
        <v>300453</v>
      </c>
    </row>
    <row r="15" spans="2:22" ht="50.25" customHeight="1" thickBot="1" x14ac:dyDescent="0.3">
      <c r="B15" s="160" t="s">
        <v>485</v>
      </c>
      <c r="C15" s="161" t="s">
        <v>478</v>
      </c>
      <c r="D15" s="162" t="s">
        <v>486</v>
      </c>
      <c r="E15" s="145" t="s">
        <v>1461</v>
      </c>
      <c r="F15" s="145" t="s">
        <v>1462</v>
      </c>
      <c r="G15" s="145" t="s">
        <v>1463</v>
      </c>
      <c r="H15" s="163" t="s">
        <v>480</v>
      </c>
      <c r="I15" s="164"/>
      <c r="J15" s="164"/>
      <c r="T15" s="513">
        <f>'2016-17 Nursery Budget Final'!G253</f>
        <v>962759.30769230763</v>
      </c>
      <c r="U15" s="513">
        <f>'2016-17 Nursery Budget Final'!H253</f>
        <v>783741</v>
      </c>
      <c r="V15" s="513">
        <f>'2016-17 Nursery Budget Final'!I253</f>
        <v>820431</v>
      </c>
    </row>
    <row r="16" spans="2:22" ht="35.1" customHeight="1" x14ac:dyDescent="0.25">
      <c r="B16" s="388" t="s">
        <v>487</v>
      </c>
      <c r="C16" s="157">
        <v>0.2036</v>
      </c>
      <c r="D16" s="165" t="s">
        <v>481</v>
      </c>
      <c r="E16" s="155">
        <f>IF($L$3=0,0,L16)</f>
        <v>0</v>
      </c>
      <c r="F16" s="155">
        <f t="shared" ref="F16:G18" si="2">IF($L$3=0,0,M16)</f>
        <v>0</v>
      </c>
      <c r="G16" s="155">
        <f t="shared" si="2"/>
        <v>0</v>
      </c>
      <c r="H16" s="151">
        <f>SUM(E16+F16+G16)*C16</f>
        <v>0</v>
      </c>
      <c r="I16" s="152"/>
      <c r="J16" s="152"/>
      <c r="L16" s="153" t="e">
        <f>VLOOKUP($F$5,'2016-17 Nursery Budget Final'!$C:$Z,15,FALSE)</f>
        <v>#N/A</v>
      </c>
      <c r="M16" s="153" t="e">
        <f>VLOOKUP($F$5,'2016-17 Nursery Budget Final'!$C:$Z,16,FALSE)</f>
        <v>#N/A</v>
      </c>
      <c r="N16" s="153" t="e">
        <f>VLOOKUP($F$5,'2016-17 Nursery Budget Final'!$C:$Z,17,FALSE)</f>
        <v>#N/A</v>
      </c>
    </row>
    <row r="17" spans="2:14" ht="35.1" customHeight="1" x14ac:dyDescent="0.3">
      <c r="B17" s="166" t="s">
        <v>488</v>
      </c>
      <c r="C17" s="157">
        <v>1.7611399999999999</v>
      </c>
      <c r="D17" s="167" t="s">
        <v>481</v>
      </c>
      <c r="E17" s="155">
        <f>IF($L$3=0,0,L17)</f>
        <v>0</v>
      </c>
      <c r="F17" s="155">
        <f t="shared" si="2"/>
        <v>0</v>
      </c>
      <c r="G17" s="155">
        <f t="shared" si="2"/>
        <v>0</v>
      </c>
      <c r="H17" s="151">
        <f>SUM(E17+F17+G17)*C17</f>
        <v>0</v>
      </c>
      <c r="I17" s="152"/>
      <c r="J17" s="152"/>
      <c r="L17" s="153" t="e">
        <f>VLOOKUP($F$5,'2016-17 Nursery Budget Final'!$C:$Z,21,FALSE)</f>
        <v>#N/A</v>
      </c>
      <c r="M17" s="153" t="e">
        <f>VLOOKUP($F$5,'2016-17 Nursery Budget Final'!$C:$Z,22,FALSE)</f>
        <v>#N/A</v>
      </c>
      <c r="N17" s="153" t="e">
        <f>VLOOKUP($F$5,'2016-17 Nursery Budget Final'!$C:$Z,23,FALSE)</f>
        <v>#N/A</v>
      </c>
    </row>
    <row r="18" spans="2:14" ht="35.1" customHeight="1" thickBot="1" x14ac:dyDescent="0.35">
      <c r="B18" s="168" t="s">
        <v>187</v>
      </c>
      <c r="C18" s="157">
        <v>0.2036</v>
      </c>
      <c r="D18" s="169" t="s">
        <v>481</v>
      </c>
      <c r="E18" s="155">
        <f>IF($L$3=0,0,L18)</f>
        <v>0</v>
      </c>
      <c r="F18" s="155">
        <f t="shared" si="2"/>
        <v>0</v>
      </c>
      <c r="G18" s="155">
        <f t="shared" si="2"/>
        <v>0</v>
      </c>
      <c r="H18" s="151">
        <f>SUM(E18+F18+G18)*C18</f>
        <v>0</v>
      </c>
      <c r="I18" s="152"/>
      <c r="J18" s="152"/>
      <c r="L18" s="153" t="e">
        <f>VLOOKUP($F$5,'2016-17 Nursery Budget Final'!$C:$AQ,37,FALSE)</f>
        <v>#N/A</v>
      </c>
      <c r="M18" s="153" t="e">
        <f>VLOOKUP($F$5,'2016-17 Nursery Budget Final'!$C:$AQ,38,FALSE)</f>
        <v>#N/A</v>
      </c>
      <c r="N18" s="153" t="e">
        <f>VLOOKUP($F$5,'2016-17 Nursery Budget Final'!$C:$AQ,39,FALSE)</f>
        <v>#N/A</v>
      </c>
    </row>
    <row r="19" spans="2:14" ht="35.1" customHeight="1" thickBot="1" x14ac:dyDescent="0.3">
      <c r="B19" s="170" t="s">
        <v>489</v>
      </c>
      <c r="C19" s="171" t="s">
        <v>478</v>
      </c>
      <c r="D19" s="172" t="s">
        <v>490</v>
      </c>
      <c r="E19" s="171" t="s">
        <v>479</v>
      </c>
      <c r="F19" s="171"/>
      <c r="G19" s="171"/>
      <c r="H19" s="173" t="s">
        <v>480</v>
      </c>
      <c r="I19" s="164"/>
      <c r="J19" s="164"/>
    </row>
    <row r="20" spans="2:14" ht="35.1" customHeight="1" x14ac:dyDescent="0.25">
      <c r="B20" s="174" t="s">
        <v>1299</v>
      </c>
      <c r="C20" s="175">
        <v>0</v>
      </c>
      <c r="D20" s="176" t="s">
        <v>491</v>
      </c>
      <c r="E20" s="150">
        <f>+IF(L3=6,1,0)</f>
        <v>0</v>
      </c>
      <c r="F20" s="177"/>
      <c r="G20" s="177"/>
      <c r="H20" s="151">
        <f>IF(H5=6,80000,0)</f>
        <v>0</v>
      </c>
      <c r="I20" s="152"/>
      <c r="J20" s="152"/>
    </row>
    <row r="21" spans="2:14" ht="35.1" customHeight="1" thickBot="1" x14ac:dyDescent="0.3">
      <c r="B21" s="178"/>
      <c r="C21" s="179"/>
      <c r="D21" s="179"/>
      <c r="E21" s="180"/>
      <c r="F21" s="180"/>
      <c r="G21" s="180"/>
      <c r="H21" s="159"/>
      <c r="I21" s="152"/>
      <c r="J21" s="152"/>
    </row>
    <row r="22" spans="2:14" ht="35.1" customHeight="1" thickBot="1" x14ac:dyDescent="0.3">
      <c r="B22" s="181" t="s">
        <v>492</v>
      </c>
      <c r="C22" s="182" t="s">
        <v>478</v>
      </c>
      <c r="D22" s="183" t="s">
        <v>486</v>
      </c>
      <c r="E22" s="182" t="s">
        <v>479</v>
      </c>
      <c r="F22" s="182"/>
      <c r="G22" s="182"/>
      <c r="H22" s="184" t="s">
        <v>480</v>
      </c>
      <c r="I22" s="164"/>
      <c r="J22" s="164"/>
    </row>
    <row r="23" spans="2:14" ht="35.1" customHeight="1" x14ac:dyDescent="0.25">
      <c r="B23" s="174" t="s">
        <v>493</v>
      </c>
      <c r="C23" s="717">
        <v>100000</v>
      </c>
      <c r="D23" s="176" t="s">
        <v>491</v>
      </c>
      <c r="E23" s="155">
        <f>IF($L$3=2,1,0)</f>
        <v>0</v>
      </c>
      <c r="F23" s="177"/>
      <c r="G23" s="1080">
        <f>IF($L$3=6,'2016-17 Nursery Budget Final'!AK55,0)</f>
        <v>0</v>
      </c>
      <c r="H23" s="151">
        <f>$E23*$C23+G23</f>
        <v>0</v>
      </c>
      <c r="I23" s="152"/>
      <c r="J23" s="152"/>
    </row>
    <row r="24" spans="2:14" ht="35.1" customHeight="1" x14ac:dyDescent="0.25">
      <c r="B24" s="178" t="s">
        <v>494</v>
      </c>
      <c r="C24" s="717">
        <f>SUMIF('ERS 2015-16'!$B:$B,$F$5,'ERS 2015-16'!$AE:$AE)</f>
        <v>0</v>
      </c>
      <c r="D24" s="716"/>
      <c r="E24" s="185">
        <v>1</v>
      </c>
      <c r="F24" s="180"/>
      <c r="G24" s="1080">
        <f>IF($L$3=6,'2016-17 Nursery Budget Final'!AC55,0)</f>
        <v>0</v>
      </c>
      <c r="H24" s="151">
        <f>$E24*$C24+G24</f>
        <v>0</v>
      </c>
      <c r="I24" s="152"/>
      <c r="J24" s="152"/>
      <c r="K24" s="186"/>
    </row>
    <row r="25" spans="2:14" ht="35.1" customHeight="1" thickBot="1" x14ac:dyDescent="0.3">
      <c r="B25" s="178" t="s">
        <v>495</v>
      </c>
      <c r="C25" s="719">
        <f>IF($L$3=2,K25,0)</f>
        <v>0</v>
      </c>
      <c r="D25" s="169"/>
      <c r="E25" s="185">
        <v>1</v>
      </c>
      <c r="F25" s="180"/>
      <c r="G25" s="1080">
        <f>IF($L$3=6,'2016-17 Nursery Budget Final'!AG55,0)</f>
        <v>0</v>
      </c>
      <c r="H25" s="151">
        <f>$E25*$C25+G25</f>
        <v>0</v>
      </c>
      <c r="I25" s="152"/>
      <c r="J25" s="152"/>
      <c r="K25" s="718">
        <f>SUMIF('Summary for Prints'!B:B,F5,'Summary for Prints'!U:U)</f>
        <v>0</v>
      </c>
    </row>
    <row r="26" spans="2:14" ht="35.1" customHeight="1" thickBot="1" x14ac:dyDescent="0.35">
      <c r="B26" s="187" t="s">
        <v>831</v>
      </c>
      <c r="C26" s="188"/>
      <c r="D26" s="189"/>
      <c r="E26" s="189"/>
      <c r="F26" s="189"/>
      <c r="G26" s="189"/>
      <c r="H26" s="190">
        <f>H11+H12+H13++H14+H16+H17+H18+H20+H21+H23+H24+H25</f>
        <v>0</v>
      </c>
      <c r="I26" s="191"/>
      <c r="J26" s="191"/>
    </row>
    <row r="27" spans="2:14" ht="27" customHeight="1" thickBot="1" x14ac:dyDescent="0.3">
      <c r="B27" s="1188" t="s">
        <v>579</v>
      </c>
      <c r="C27" s="1189"/>
      <c r="D27" s="1189"/>
      <c r="E27" s="1189"/>
      <c r="F27" s="1189"/>
      <c r="G27" s="1189"/>
      <c r="H27" s="1190"/>
      <c r="I27" s="1166"/>
      <c r="J27" s="123"/>
    </row>
    <row r="28" spans="2:14" ht="27" customHeight="1" x14ac:dyDescent="0.25">
      <c r="B28" s="126"/>
      <c r="C28" s="127"/>
      <c r="D28" s="127"/>
      <c r="E28" s="127"/>
      <c r="F28" s="127"/>
      <c r="G28" s="127"/>
      <c r="H28" s="128"/>
      <c r="I28" s="123"/>
      <c r="J28" s="123"/>
    </row>
    <row r="29" spans="2:14" ht="15.75" customHeight="1" x14ac:dyDescent="0.25">
      <c r="B29" s="126"/>
      <c r="C29" s="1196" t="s">
        <v>1466</v>
      </c>
      <c r="D29" s="1196"/>
      <c r="E29" s="1196"/>
      <c r="F29" s="127"/>
      <c r="G29" s="127"/>
      <c r="H29" s="128"/>
      <c r="I29" s="123"/>
      <c r="J29" s="123"/>
    </row>
    <row r="30" spans="2:14" ht="15.75" customHeight="1" x14ac:dyDescent="0.25">
      <c r="B30" s="126"/>
      <c r="C30" s="1196"/>
      <c r="D30" s="1196"/>
      <c r="E30" s="1196"/>
      <c r="F30" s="127"/>
      <c r="G30" s="127"/>
      <c r="H30" s="128"/>
      <c r="I30" s="123"/>
      <c r="J30" s="123"/>
    </row>
    <row r="31" spans="2:14" ht="27" customHeight="1" x14ac:dyDescent="0.25">
      <c r="B31" s="126"/>
      <c r="C31" s="192"/>
      <c r="D31" s="192"/>
      <c r="E31" s="192"/>
      <c r="F31" s="127"/>
      <c r="G31" s="127"/>
      <c r="H31" s="128"/>
      <c r="I31" s="123"/>
      <c r="J31" s="123"/>
    </row>
    <row r="32" spans="2:14" ht="27" customHeight="1" thickBot="1" x14ac:dyDescent="0.3">
      <c r="B32" s="126"/>
      <c r="C32" s="127"/>
      <c r="D32" s="127"/>
      <c r="E32" s="127"/>
      <c r="F32" s="127"/>
      <c r="G32" s="127"/>
      <c r="H32" s="128"/>
      <c r="I32" s="123"/>
      <c r="J32" s="123"/>
    </row>
    <row r="33" spans="2:17" ht="12.75" customHeight="1" x14ac:dyDescent="0.25">
      <c r="B33" s="193"/>
      <c r="C33" s="194"/>
      <c r="D33" s="1187" t="s">
        <v>474</v>
      </c>
      <c r="E33" s="1187"/>
      <c r="F33" s="1187"/>
      <c r="G33" s="195" t="s">
        <v>465</v>
      </c>
      <c r="H33" s="196" t="s">
        <v>455</v>
      </c>
      <c r="I33" s="197"/>
      <c r="J33" s="197"/>
    </row>
    <row r="34" spans="2:17" s="206" customFormat="1" ht="50.1" customHeight="1" thickBot="1" x14ac:dyDescent="0.3">
      <c r="B34" s="198" t="s">
        <v>604</v>
      </c>
      <c r="C34" s="199" t="s">
        <v>542</v>
      </c>
      <c r="D34" s="200"/>
      <c r="E34" s="201" t="e">
        <f>VLOOKUP($F$5,'Summary for Prints'!B:AC,20,FALSE)-H25</f>
        <v>#N/A</v>
      </c>
      <c r="F34" s="202"/>
      <c r="G34" s="203">
        <v>1</v>
      </c>
      <c r="H34" s="204" t="e">
        <f>$G34*$E34</f>
        <v>#N/A</v>
      </c>
      <c r="I34" s="205"/>
      <c r="J34" s="205"/>
    </row>
    <row r="35" spans="2:17" ht="12.75" customHeight="1" x14ac:dyDescent="0.25">
      <c r="B35" s="193"/>
      <c r="C35" s="194"/>
      <c r="D35" s="1173" t="s">
        <v>475</v>
      </c>
      <c r="E35" s="1173"/>
      <c r="F35" s="1173"/>
      <c r="G35" s="207" t="s">
        <v>465</v>
      </c>
      <c r="H35" s="208" t="s">
        <v>455</v>
      </c>
      <c r="I35" s="209"/>
      <c r="J35" s="209"/>
    </row>
    <row r="36" spans="2:17" ht="50.1" customHeight="1" thickBot="1" x14ac:dyDescent="0.35">
      <c r="B36" s="210" t="s">
        <v>551</v>
      </c>
      <c r="C36" s="199" t="s">
        <v>542</v>
      </c>
      <c r="D36" s="211"/>
      <c r="E36" s="201">
        <v>10000</v>
      </c>
      <c r="F36" s="212"/>
      <c r="G36" s="213">
        <f>(SUMIF('ERS 2015-16'!B$5:B$21,F5,'ERS 2015-16'!Y$5:Y$21)/10000)+IF(H5=6,245,0)</f>
        <v>0</v>
      </c>
      <c r="H36" s="204">
        <f>$G36*$E36</f>
        <v>0</v>
      </c>
      <c r="I36" s="205"/>
      <c r="J36" s="205"/>
    </row>
    <row r="37" spans="2:17" ht="12.75" customHeight="1" x14ac:dyDescent="0.25">
      <c r="B37" s="193"/>
      <c r="C37" s="194"/>
      <c r="D37" s="1173" t="s">
        <v>550</v>
      </c>
      <c r="E37" s="1173"/>
      <c r="F37" s="1173"/>
      <c r="G37" s="207" t="s">
        <v>499</v>
      </c>
      <c r="H37" s="208" t="s">
        <v>455</v>
      </c>
      <c r="I37" s="209"/>
      <c r="J37" s="209"/>
    </row>
    <row r="38" spans="2:17" ht="50.1" customHeight="1" thickBot="1" x14ac:dyDescent="0.35">
      <c r="B38" s="210" t="s">
        <v>552</v>
      </c>
      <c r="C38" s="199" t="s">
        <v>542</v>
      </c>
      <c r="D38" s="211"/>
      <c r="E38" s="201">
        <v>10000</v>
      </c>
      <c r="F38" s="212"/>
      <c r="G38" s="213">
        <f>(SUMIF('ERS 2015-16'!B$25:B$26,F5,'ERS 2015-16'!Y$25:Y$26)/10000)+IF(H5=6,11,0)</f>
        <v>0</v>
      </c>
      <c r="H38" s="204">
        <f>$G38*$E38</f>
        <v>0</v>
      </c>
      <c r="I38" s="205"/>
      <c r="J38" s="205"/>
    </row>
    <row r="39" spans="2:17" ht="12.75" customHeight="1" x14ac:dyDescent="0.25">
      <c r="B39" s="193"/>
      <c r="C39" s="194"/>
      <c r="D39" s="1173" t="s">
        <v>549</v>
      </c>
      <c r="E39" s="1173"/>
      <c r="F39" s="1173"/>
      <c r="G39" s="207" t="s">
        <v>465</v>
      </c>
      <c r="H39" s="208" t="s">
        <v>455</v>
      </c>
      <c r="I39" s="209"/>
      <c r="J39" s="209"/>
    </row>
    <row r="40" spans="2:17" ht="50.1" customHeight="1" thickBot="1" x14ac:dyDescent="0.35">
      <c r="B40" s="210" t="s">
        <v>573</v>
      </c>
      <c r="C40" s="199" t="s">
        <v>542</v>
      </c>
      <c r="D40" s="211"/>
      <c r="E40" s="201">
        <f>SUMIF('ERS 2015-16'!B:B,F5,'ERS 2015-16'!Z:Z)+IF(H5=6,'ERS 2015-16'!Z30,0)</f>
        <v>0</v>
      </c>
      <c r="F40" s="212"/>
      <c r="G40" s="213">
        <v>1</v>
      </c>
      <c r="H40" s="204">
        <f>$G40*$E40</f>
        <v>0</v>
      </c>
      <c r="I40" s="205"/>
      <c r="J40" s="205"/>
    </row>
    <row r="41" spans="2:17" ht="12.75" customHeight="1" x14ac:dyDescent="0.25">
      <c r="B41" s="193"/>
      <c r="C41" s="194"/>
      <c r="D41" s="1173" t="s">
        <v>522</v>
      </c>
      <c r="E41" s="1173"/>
      <c r="F41" s="1173"/>
      <c r="G41" s="207" t="s">
        <v>465</v>
      </c>
      <c r="H41" s="208" t="s">
        <v>455</v>
      </c>
      <c r="I41" s="209"/>
      <c r="J41" s="209"/>
    </row>
    <row r="42" spans="2:17" ht="50.1" customHeight="1" thickBot="1" x14ac:dyDescent="0.35">
      <c r="B42" s="210" t="s">
        <v>537</v>
      </c>
      <c r="C42" s="199" t="s">
        <v>542</v>
      </c>
      <c r="D42" s="211"/>
      <c r="E42" s="201">
        <f>SUMIF('ERS 2015-16'!$B:$B,$F$5,'ERS 2015-16'!$AA:$AA)+IF(H5=6,'ERS 2015-16'!AA30,0)</f>
        <v>0</v>
      </c>
      <c r="F42" s="212"/>
      <c r="G42" s="213">
        <v>1</v>
      </c>
      <c r="H42" s="204">
        <f>$G42*$E42</f>
        <v>0</v>
      </c>
      <c r="I42" s="205"/>
      <c r="J42" s="205"/>
    </row>
    <row r="43" spans="2:17" ht="13.8" thickBot="1" x14ac:dyDescent="0.3">
      <c r="B43" s="193"/>
      <c r="C43" s="194"/>
      <c r="D43" s="1173"/>
      <c r="E43" s="1173"/>
      <c r="F43" s="1173"/>
      <c r="G43" s="207" t="s">
        <v>465</v>
      </c>
      <c r="H43" s="208" t="s">
        <v>455</v>
      </c>
      <c r="I43" s="209"/>
      <c r="J43" s="209"/>
    </row>
    <row r="44" spans="2:17" ht="50.1" customHeight="1" thickBot="1" x14ac:dyDescent="0.35">
      <c r="B44" s="215" t="s">
        <v>571</v>
      </c>
      <c r="C44" s="1214" t="s">
        <v>553</v>
      </c>
      <c r="D44" s="1215"/>
      <c r="E44" s="1215"/>
      <c r="F44" s="1216"/>
      <c r="G44" s="216"/>
      <c r="H44" s="217" t="e">
        <f>H36+H38+H40+H42+H34</f>
        <v>#N/A</v>
      </c>
      <c r="I44" s="191"/>
      <c r="J44" s="191"/>
      <c r="K44" s="218"/>
    </row>
    <row r="45" spans="2:17" s="223" customFormat="1" ht="12.75" customHeight="1" x14ac:dyDescent="0.25">
      <c r="B45" s="384"/>
      <c r="C45" s="219"/>
      <c r="D45" s="1182"/>
      <c r="E45" s="1182"/>
      <c r="F45" s="1182"/>
      <c r="G45" s="220"/>
      <c r="H45" s="221"/>
      <c r="I45" s="209"/>
      <c r="J45" s="209"/>
      <c r="K45" s="222"/>
      <c r="L45" s="222"/>
      <c r="M45" s="222"/>
      <c r="N45" s="222"/>
      <c r="O45" s="222"/>
      <c r="P45" s="222"/>
      <c r="Q45" s="222"/>
    </row>
    <row r="46" spans="2:17" s="223" customFormat="1" ht="15" customHeight="1" x14ac:dyDescent="0.25">
      <c r="B46" s="385"/>
      <c r="C46" s="224"/>
      <c r="D46" s="1217" t="s">
        <v>554</v>
      </c>
      <c r="E46" s="1217"/>
      <c r="F46" s="1217"/>
      <c r="G46" s="225" t="s">
        <v>465</v>
      </c>
      <c r="H46" s="386" t="s">
        <v>455</v>
      </c>
      <c r="I46" s="209"/>
      <c r="J46" s="209"/>
      <c r="K46" s="222"/>
      <c r="L46" s="222"/>
      <c r="M46" s="222"/>
      <c r="N46" s="222"/>
      <c r="O46" s="222"/>
      <c r="P46" s="222"/>
      <c r="Q46" s="222"/>
    </row>
    <row r="47" spans="2:17" ht="50.1" customHeight="1" thickBot="1" x14ac:dyDescent="0.35">
      <c r="B47" s="226" t="s">
        <v>572</v>
      </c>
      <c r="C47" s="227" t="s">
        <v>542</v>
      </c>
      <c r="D47" s="228"/>
      <c r="E47" s="229">
        <f>SUMIF('ERS 2015-16'!B:B,F5,'ERS 2015-16'!AC:AC)+IF(H5=6,'ERS 2015-16'!AC30,0)</f>
        <v>0</v>
      </c>
      <c r="F47" s="230"/>
      <c r="G47" s="231">
        <v>1</v>
      </c>
      <c r="H47" s="232">
        <f>$G47*$E47</f>
        <v>0</v>
      </c>
      <c r="I47" s="214"/>
      <c r="J47" s="214"/>
    </row>
    <row r="48" spans="2:17" s="223" customFormat="1" ht="15" customHeight="1" thickBot="1" x14ac:dyDescent="0.35">
      <c r="B48" s="387"/>
      <c r="C48" s="233"/>
      <c r="D48" s="234"/>
      <c r="E48" s="235"/>
      <c r="F48" s="236"/>
      <c r="G48" s="237"/>
      <c r="H48" s="238"/>
      <c r="I48" s="205"/>
      <c r="J48" s="205"/>
      <c r="K48" s="222"/>
      <c r="L48" s="222"/>
      <c r="M48" s="222"/>
      <c r="N48" s="222"/>
      <c r="O48" s="222"/>
      <c r="P48" s="222"/>
      <c r="Q48" s="222"/>
    </row>
    <row r="49" spans="2:17" ht="13.8" thickBot="1" x14ac:dyDescent="0.3">
      <c r="B49" s="239"/>
      <c r="C49" s="240"/>
      <c r="D49" s="1218"/>
      <c r="E49" s="1218"/>
      <c r="F49" s="1218"/>
      <c r="G49" s="241"/>
      <c r="H49" s="242"/>
      <c r="I49" s="197"/>
      <c r="J49" s="197"/>
    </row>
    <row r="50" spans="2:17" s="223" customFormat="1" ht="19.5" customHeight="1" thickBot="1" x14ac:dyDescent="0.35">
      <c r="B50" s="1183" t="s">
        <v>570</v>
      </c>
      <c r="C50" s="1184"/>
      <c r="D50" s="1184"/>
      <c r="E50" s="1184"/>
      <c r="F50" s="1184"/>
      <c r="G50" s="1184"/>
      <c r="H50" s="1185"/>
      <c r="I50" s="191"/>
      <c r="J50" s="191"/>
      <c r="K50" s="243"/>
      <c r="L50" s="222"/>
      <c r="M50" s="222"/>
      <c r="N50" s="222"/>
      <c r="O50" s="222"/>
      <c r="P50" s="222"/>
      <c r="Q50" s="222"/>
    </row>
    <row r="51" spans="2:17" s="223" customFormat="1" ht="50.1" customHeight="1" thickBot="1" x14ac:dyDescent="0.35">
      <c r="B51" s="244"/>
      <c r="C51" s="245"/>
      <c r="D51" s="246"/>
      <c r="E51" s="191"/>
      <c r="F51" s="247"/>
      <c r="G51" s="248"/>
      <c r="H51" s="191"/>
      <c r="I51" s="191"/>
      <c r="J51" s="191"/>
      <c r="K51" s="243"/>
      <c r="L51" s="222"/>
      <c r="M51" s="222"/>
      <c r="N51" s="222"/>
      <c r="O51" s="222"/>
      <c r="P51" s="222"/>
      <c r="Q51" s="222"/>
    </row>
    <row r="52" spans="2:17" s="223" customFormat="1" ht="15" customHeight="1" thickBot="1" x14ac:dyDescent="0.35">
      <c r="B52" s="1055"/>
      <c r="C52" s="121"/>
      <c r="D52" s="121"/>
      <c r="E52" s="121"/>
      <c r="F52" s="1056"/>
      <c r="G52" s="1057"/>
      <c r="H52" s="235"/>
      <c r="I52" s="235"/>
      <c r="J52" s="1058"/>
      <c r="K52" s="243"/>
      <c r="L52" s="222"/>
      <c r="M52" s="222"/>
      <c r="N52" s="222"/>
      <c r="O52" s="222"/>
      <c r="P52" s="222"/>
      <c r="Q52" s="222"/>
    </row>
    <row r="53" spans="2:17" s="223" customFormat="1" ht="15" customHeight="1" thickBot="1" x14ac:dyDescent="0.35">
      <c r="B53" s="1221" t="str">
        <f>B5</f>
        <v>CLICK ON THE ARROW BUTTON TO SELECT YOUR SCHOOL FROM THE LIST</v>
      </c>
      <c r="C53" s="1222"/>
      <c r="D53" s="1223"/>
      <c r="E53" s="127"/>
      <c r="F53" s="390">
        <f>F5</f>
        <v>12345</v>
      </c>
      <c r="G53" s="389"/>
      <c r="H53" s="391">
        <f>H5</f>
        <v>0</v>
      </c>
      <c r="I53" s="191"/>
      <c r="J53" s="1059"/>
      <c r="K53" s="243"/>
      <c r="L53" s="222"/>
      <c r="M53" s="222"/>
      <c r="N53" s="222"/>
      <c r="O53" s="222"/>
      <c r="P53" s="222"/>
      <c r="Q53" s="222"/>
    </row>
    <row r="54" spans="2:17" ht="15.75" customHeight="1" x14ac:dyDescent="0.25">
      <c r="B54" s="126"/>
      <c r="C54" s="127"/>
      <c r="D54" s="127"/>
      <c r="E54" s="127"/>
      <c r="F54" s="127"/>
      <c r="G54" s="127"/>
      <c r="H54" s="249"/>
      <c r="I54" s="249"/>
      <c r="J54" s="128"/>
      <c r="K54" s="130"/>
    </row>
    <row r="55" spans="2:17" ht="15.75" customHeight="1" x14ac:dyDescent="0.25">
      <c r="B55" s="126"/>
      <c r="C55" s="1196" t="s">
        <v>1464</v>
      </c>
      <c r="D55" s="1196"/>
      <c r="E55" s="1196"/>
      <c r="F55" s="127"/>
      <c r="G55" s="127"/>
      <c r="H55" s="249"/>
      <c r="I55" s="249"/>
      <c r="J55" s="128"/>
    </row>
    <row r="56" spans="2:17" ht="15.75" customHeight="1" x14ac:dyDescent="0.25">
      <c r="B56" s="126"/>
      <c r="C56" s="1196"/>
      <c r="D56" s="1196"/>
      <c r="E56" s="1196"/>
      <c r="F56" s="127"/>
      <c r="G56" s="127"/>
      <c r="H56" s="249"/>
      <c r="I56" s="249"/>
      <c r="J56" s="128"/>
    </row>
    <row r="57" spans="2:17" ht="13.8" thickBot="1" x14ac:dyDescent="0.3">
      <c r="B57" s="1060"/>
      <c r="C57" s="127"/>
      <c r="D57" s="127"/>
      <c r="E57" s="127"/>
      <c r="F57" s="127"/>
      <c r="G57" s="127"/>
      <c r="H57" s="249"/>
      <c r="I57" s="249"/>
      <c r="J57" s="128"/>
    </row>
    <row r="58" spans="2:17" x14ac:dyDescent="0.25">
      <c r="B58" s="394"/>
      <c r="C58" s="395"/>
      <c r="D58" s="395"/>
      <c r="E58" s="395"/>
      <c r="F58" s="395"/>
      <c r="G58" s="395"/>
      <c r="H58" s="396"/>
      <c r="I58" s="396"/>
      <c r="J58" s="397"/>
    </row>
    <row r="59" spans="2:17" s="252" customFormat="1" ht="65.099999999999994" customHeight="1" x14ac:dyDescent="0.25">
      <c r="B59" s="267" t="s">
        <v>442</v>
      </c>
      <c r="C59" s="224" t="s">
        <v>443</v>
      </c>
      <c r="D59" s="268" t="s">
        <v>448</v>
      </c>
      <c r="E59" s="268" t="s">
        <v>582</v>
      </c>
      <c r="F59" s="268" t="s">
        <v>583</v>
      </c>
      <c r="G59" s="393" t="s">
        <v>538</v>
      </c>
      <c r="H59" s="392" t="s">
        <v>445</v>
      </c>
      <c r="I59" s="356" t="s">
        <v>586</v>
      </c>
      <c r="J59" s="358" t="s">
        <v>587</v>
      </c>
      <c r="K59" s="251"/>
      <c r="L59" s="251"/>
      <c r="M59" s="251"/>
      <c r="N59" s="251"/>
      <c r="O59" s="251"/>
      <c r="P59" s="251"/>
      <c r="Q59" s="251"/>
    </row>
    <row r="60" spans="2:17" ht="27" customHeight="1" x14ac:dyDescent="0.25">
      <c r="B60" s="1180" t="s">
        <v>446</v>
      </c>
      <c r="C60" s="253" t="s">
        <v>447</v>
      </c>
      <c r="D60" s="254">
        <v>2655.1425679999998</v>
      </c>
      <c r="E60" s="250"/>
      <c r="F60" s="250"/>
      <c r="G60" s="255" t="e">
        <f>VLOOKUP($F$5,AWPU!$B:$M,9,FALSE)</f>
        <v>#N/A</v>
      </c>
      <c r="H60" s="256" t="e">
        <f>G60*D60</f>
        <v>#N/A</v>
      </c>
      <c r="I60" s="257">
        <v>0.11996825711963002</v>
      </c>
      <c r="J60" s="258" t="e">
        <f>D60*G60*I60</f>
        <v>#N/A</v>
      </c>
    </row>
    <row r="61" spans="2:17" ht="27" customHeight="1" x14ac:dyDescent="0.25">
      <c r="B61" s="1200"/>
      <c r="C61" s="253" t="s">
        <v>558</v>
      </c>
      <c r="D61" s="250"/>
      <c r="E61" s="254">
        <v>3719.2088960000001</v>
      </c>
      <c r="F61" s="250"/>
      <c r="G61" s="255" t="e">
        <f>VLOOKUP($F$5,AWPU!$B:$M,10,FALSE)</f>
        <v>#N/A</v>
      </c>
      <c r="H61" s="256" t="e">
        <f>G61*E61</f>
        <v>#N/A</v>
      </c>
      <c r="I61" s="257">
        <v>9.6990121973435081E-2</v>
      </c>
      <c r="J61" s="258" t="e">
        <f>E61*G61*I61</f>
        <v>#N/A</v>
      </c>
    </row>
    <row r="62" spans="2:17" ht="27" customHeight="1" x14ac:dyDescent="0.25">
      <c r="B62" s="1201"/>
      <c r="C62" s="253" t="s">
        <v>559</v>
      </c>
      <c r="D62" s="250"/>
      <c r="E62" s="250"/>
      <c r="F62" s="254">
        <v>4163.9819520000001</v>
      </c>
      <c r="G62" s="255" t="e">
        <f>VLOOKUP($F$5,AWPU!$B:$M,11,FALSE)</f>
        <v>#N/A</v>
      </c>
      <c r="H62" s="256" t="e">
        <f>G62*F62</f>
        <v>#N/A</v>
      </c>
      <c r="I62" s="257">
        <v>8.6334900283922683E-2</v>
      </c>
      <c r="J62" s="258" t="e">
        <f>F62*G62*I62</f>
        <v>#N/A</v>
      </c>
      <c r="L62" s="124" t="s">
        <v>970</v>
      </c>
      <c r="M62" s="124" t="s">
        <v>971</v>
      </c>
    </row>
    <row r="63" spans="2:17" ht="16.2" thickBot="1" x14ac:dyDescent="0.35">
      <c r="B63" s="259"/>
      <c r="C63" s="260"/>
      <c r="D63" s="261"/>
      <c r="E63" s="261"/>
      <c r="F63" s="262" t="s">
        <v>147</v>
      </c>
      <c r="G63" s="263" t="e">
        <f>SUM(G60:G62)</f>
        <v>#N/A</v>
      </c>
      <c r="H63" s="264" t="e">
        <f>SUM(H60:H62)</f>
        <v>#N/A</v>
      </c>
      <c r="I63" s="284"/>
      <c r="J63" s="265"/>
      <c r="L63" s="297" t="e">
        <f>G63</f>
        <v>#N/A</v>
      </c>
      <c r="M63" s="297" t="e">
        <f>G61+G62</f>
        <v>#N/A</v>
      </c>
    </row>
    <row r="64" spans="2:17" s="266" customFormat="1" ht="12.75" customHeight="1" thickBot="1" x14ac:dyDescent="0.3">
      <c r="B64" s="1219"/>
      <c r="C64" s="1220"/>
      <c r="D64" s="1220"/>
      <c r="E64" s="1220"/>
      <c r="F64" s="1220"/>
      <c r="G64" s="1220"/>
      <c r="H64" s="1220"/>
      <c r="I64" s="357"/>
      <c r="J64" s="381"/>
      <c r="L64" s="1050"/>
    </row>
    <row r="65" spans="2:21" s="222" customFormat="1" ht="36" customHeight="1" x14ac:dyDescent="0.3">
      <c r="B65" s="359" t="s">
        <v>1290</v>
      </c>
      <c r="C65" s="1079" t="s">
        <v>447</v>
      </c>
      <c r="D65" s="254">
        <v>-67.33</v>
      </c>
      <c r="E65" s="250"/>
      <c r="F65" s="250"/>
      <c r="G65" s="255" t="e">
        <f>VLOOKUP($F$5,'DE-DEL'!$B:$M,9,FALSE)</f>
        <v>#N/A</v>
      </c>
      <c r="H65" s="256" t="e">
        <f>G65*D65</f>
        <v>#N/A</v>
      </c>
      <c r="I65" s="257"/>
      <c r="J65" s="257"/>
      <c r="N65" s="255"/>
    </row>
    <row r="66" spans="2:21" s="222" customFormat="1" ht="36" customHeight="1" thickBot="1" x14ac:dyDescent="0.35">
      <c r="B66" s="359"/>
      <c r="C66" s="1079" t="s">
        <v>1</v>
      </c>
      <c r="D66" s="361"/>
      <c r="E66" s="362">
        <v>-60.85</v>
      </c>
      <c r="F66" s="362">
        <v>-60.85</v>
      </c>
      <c r="G66" s="255" t="e">
        <f>VLOOKUP($F$5,'DE-DEL'!$B:$M,10,FALSE)+VLOOKUP($F$5,'DE-DEL'!$B:$M,11,FALSE)</f>
        <v>#N/A</v>
      </c>
      <c r="H66" s="324" t="e">
        <f>G66*F66</f>
        <v>#N/A</v>
      </c>
      <c r="I66" s="257"/>
      <c r="J66" s="257"/>
      <c r="N66" s="363"/>
    </row>
    <row r="67" spans="2:21" ht="16.2" thickBot="1" x14ac:dyDescent="0.35">
      <c r="B67" s="364"/>
      <c r="C67" s="1078"/>
      <c r="D67" s="365"/>
      <c r="E67" s="365"/>
      <c r="F67" s="366" t="s">
        <v>147</v>
      </c>
      <c r="G67" s="367" t="e">
        <f>SUM(G65:G66)</f>
        <v>#N/A</v>
      </c>
      <c r="H67" s="368" t="e">
        <f>SUM(H65:H66)</f>
        <v>#N/A</v>
      </c>
      <c r="I67" s="360"/>
      <c r="J67" s="382"/>
    </row>
    <row r="68" spans="2:21" ht="52.5" customHeight="1" x14ac:dyDescent="0.25">
      <c r="B68" s="267"/>
      <c r="C68" s="224"/>
      <c r="D68" s="268" t="s">
        <v>448</v>
      </c>
      <c r="E68" s="268" t="s">
        <v>449</v>
      </c>
      <c r="F68" s="268" t="s">
        <v>450</v>
      </c>
      <c r="G68" s="269" t="s">
        <v>451</v>
      </c>
      <c r="H68" s="270" t="s">
        <v>445</v>
      </c>
      <c r="I68" s="356" t="s">
        <v>540</v>
      </c>
      <c r="J68" s="358" t="s">
        <v>541</v>
      </c>
      <c r="K68" s="271"/>
      <c r="L68" s="271"/>
      <c r="M68" s="271"/>
    </row>
    <row r="69" spans="2:21" ht="27" customHeight="1" x14ac:dyDescent="0.25">
      <c r="B69" s="1197" t="s">
        <v>452</v>
      </c>
      <c r="C69" s="272"/>
      <c r="D69" s="273"/>
      <c r="E69" s="273"/>
      <c r="F69" s="274"/>
      <c r="G69" s="274"/>
      <c r="H69" s="1037"/>
      <c r="I69" s="276"/>
      <c r="J69" s="277"/>
      <c r="K69" s="271"/>
      <c r="L69" s="271"/>
      <c r="M69" s="271"/>
      <c r="N69" s="275" t="e">
        <f>SUM(E11+F11+G11)*"C11"</f>
        <v>#VALUE!</v>
      </c>
      <c r="Q69" s="1038">
        <v>17742138.391672775</v>
      </c>
      <c r="R69" s="124" t="s">
        <v>692</v>
      </c>
      <c r="T69" s="124" t="s">
        <v>1249</v>
      </c>
    </row>
    <row r="70" spans="2:21" ht="27" customHeight="1" x14ac:dyDescent="0.25">
      <c r="B70" s="1198"/>
      <c r="C70" s="278" t="s">
        <v>453</v>
      </c>
      <c r="D70" s="254">
        <v>933.86172170858913</v>
      </c>
      <c r="E70" s="254">
        <v>715.21270513666468</v>
      </c>
      <c r="F70" s="1036" t="e">
        <f>VLOOKUP($F$5,DEP!$B:$AE,17,FALSE)</f>
        <v>#N/A</v>
      </c>
      <c r="G70" s="1036" t="e">
        <f>VLOOKUP($F$5,DEP!$B:$AE,18,FALSE)+IF(F5=4177,S70)</f>
        <v>#N/A</v>
      </c>
      <c r="H70" s="279" t="e">
        <f>$D70*$F70+($E70*$G70)</f>
        <v>#N/A</v>
      </c>
      <c r="I70" s="257">
        <v>0.35251785880652542</v>
      </c>
      <c r="J70" s="258" t="e">
        <f t="shared" ref="J70:J75" si="3">I70*H70</f>
        <v>#N/A</v>
      </c>
      <c r="K70" s="271"/>
      <c r="L70" s="1040">
        <f>DEP!R108</f>
        <v>6838.2621573270962</v>
      </c>
      <c r="M70" s="1040">
        <f>DEP!S108</f>
        <v>4651.9294785836628</v>
      </c>
      <c r="O70" s="297"/>
      <c r="P70" s="297"/>
      <c r="R70" s="355">
        <f>DEP!U108</f>
        <v>42.916666666666671</v>
      </c>
      <c r="S70" s="355">
        <f>DEP!V108</f>
        <v>378.67889908256882</v>
      </c>
      <c r="T70" s="1156">
        <v>306.62764227642276</v>
      </c>
      <c r="U70" s="1157">
        <f>S70-T70</f>
        <v>72.051256806146057</v>
      </c>
    </row>
    <row r="71" spans="2:21" ht="27" customHeight="1" x14ac:dyDescent="0.25">
      <c r="B71" s="1198"/>
      <c r="C71" s="280" t="s">
        <v>120</v>
      </c>
      <c r="D71" s="254">
        <v>117.30841547807324</v>
      </c>
      <c r="E71" s="254">
        <v>93.126835011549474</v>
      </c>
      <c r="F71" s="1036" t="e">
        <f>VLOOKUP(F$5,DEP!B:AE,19,FALSE)</f>
        <v>#N/A</v>
      </c>
      <c r="G71" s="1036" t="e">
        <f>VLOOKUP($F$5,DEP!$B:$AE,20,FALSE)+IF(F5=4177,S71)</f>
        <v>#N/A</v>
      </c>
      <c r="H71" s="279" t="e">
        <f t="shared" ref="H71:H76" si="4">$D71*$F71+($E71*$G71)</f>
        <v>#N/A</v>
      </c>
      <c r="I71" s="257">
        <v>0.35251785880652542</v>
      </c>
      <c r="J71" s="258" t="e">
        <f t="shared" si="3"/>
        <v>#N/A</v>
      </c>
      <c r="K71" s="271"/>
      <c r="L71" s="1040">
        <f>DEP!R109</f>
        <v>2106.2153084754332</v>
      </c>
      <c r="M71" s="1040">
        <f>DEP!S109</f>
        <v>1341.7659087937636</v>
      </c>
      <c r="O71" s="297"/>
      <c r="P71" s="297"/>
      <c r="R71" s="355">
        <f>DEP!U109</f>
        <v>15.862</v>
      </c>
      <c r="S71" s="355">
        <f>DEP!V109</f>
        <v>48.485407066052197</v>
      </c>
      <c r="T71" s="1156">
        <v>9.2962356792144245</v>
      </c>
      <c r="U71" s="1157">
        <f t="shared" ref="U71:U76" si="5">S71-T71</f>
        <v>39.189171386837771</v>
      </c>
    </row>
    <row r="72" spans="2:21" ht="27" customHeight="1" x14ac:dyDescent="0.25">
      <c r="B72" s="1198"/>
      <c r="C72" s="280" t="s">
        <v>121</v>
      </c>
      <c r="D72" s="254">
        <v>234.6255044064591</v>
      </c>
      <c r="E72" s="254">
        <v>186.68734253409619</v>
      </c>
      <c r="F72" s="1036" t="e">
        <f>VLOOKUP(F$5,DEP!B:AE,21,FALSE)</f>
        <v>#N/A</v>
      </c>
      <c r="G72" s="1036" t="e">
        <f>VLOOKUP($F$5,DEP!$B:$AE,22,FALSE)+IF(F5=4177,S72)</f>
        <v>#N/A</v>
      </c>
      <c r="H72" s="279" t="e">
        <f t="shared" si="4"/>
        <v>#N/A</v>
      </c>
      <c r="I72" s="257">
        <v>0.35251785880652542</v>
      </c>
      <c r="J72" s="258" t="e">
        <f t="shared" si="3"/>
        <v>#N/A</v>
      </c>
      <c r="K72" s="271"/>
      <c r="L72" s="1040">
        <f>DEP!R110</f>
        <v>1895.4002109168202</v>
      </c>
      <c r="M72" s="1040">
        <f>DEP!S110</f>
        <v>1176.867844151823</v>
      </c>
      <c r="O72" s="297"/>
      <c r="P72" s="297"/>
      <c r="R72" s="355">
        <f>DEP!U110</f>
        <v>19.261000000000003</v>
      </c>
      <c r="S72" s="355">
        <f>DEP!V110</f>
        <v>27.039938556067586</v>
      </c>
      <c r="T72" s="1156">
        <v>109.69558101472998</v>
      </c>
      <c r="U72" s="1157">
        <f t="shared" si="5"/>
        <v>-82.655642458662399</v>
      </c>
    </row>
    <row r="73" spans="2:21" ht="27" customHeight="1" x14ac:dyDescent="0.25">
      <c r="B73" s="1198"/>
      <c r="C73" s="280" t="s">
        <v>122</v>
      </c>
      <c r="D73" s="254">
        <v>352.38493930078818</v>
      </c>
      <c r="E73" s="254">
        <v>279.82285099586556</v>
      </c>
      <c r="F73" s="1036" t="e">
        <f>VLOOKUP(F$5,DEP!B:AE,23,FALSE)</f>
        <v>#N/A</v>
      </c>
      <c r="G73" s="1036" t="e">
        <f>VLOOKUP($F$5,DEP!$B:$AE,24,FALSE)+IF(F5=4177,S73)</f>
        <v>#N/A</v>
      </c>
      <c r="H73" s="279" t="e">
        <f t="shared" si="4"/>
        <v>#N/A</v>
      </c>
      <c r="I73" s="257">
        <v>0.35251785880652542</v>
      </c>
      <c r="J73" s="258" t="e">
        <f t="shared" si="3"/>
        <v>#N/A</v>
      </c>
      <c r="K73" s="271"/>
      <c r="L73" s="1040">
        <f>DEP!R111</f>
        <v>4914.3706565536022</v>
      </c>
      <c r="M73" s="1040">
        <f>DEP!S111</f>
        <v>2615.2011434555639</v>
      </c>
      <c r="O73" s="297"/>
      <c r="P73" s="297"/>
      <c r="R73" s="355">
        <f>DEP!U111</f>
        <v>49.851999999999997</v>
      </c>
      <c r="S73" s="355">
        <f>DEP!V111</f>
        <v>268.53456221198138</v>
      </c>
      <c r="T73" s="1156">
        <v>158.03600654664464</v>
      </c>
      <c r="U73" s="1157">
        <f t="shared" si="5"/>
        <v>110.49855566533674</v>
      </c>
    </row>
    <row r="74" spans="2:21" ht="27" customHeight="1" x14ac:dyDescent="0.25">
      <c r="B74" s="1198"/>
      <c r="C74" s="280" t="s">
        <v>123</v>
      </c>
      <c r="D74" s="254">
        <v>469.69335477886142</v>
      </c>
      <c r="E74" s="254">
        <v>372.9496860074151</v>
      </c>
      <c r="F74" s="1036" t="e">
        <f>VLOOKUP(F$5,DEP!B:AE,25,FALSE)</f>
        <v>#N/A</v>
      </c>
      <c r="G74" s="1036" t="e">
        <f>VLOOKUP($F$5,DEP!$B:$AE,26,FALSE)+IF(F5=4177,S74)</f>
        <v>#N/A</v>
      </c>
      <c r="H74" s="279" t="e">
        <f t="shared" si="4"/>
        <v>#N/A</v>
      </c>
      <c r="I74" s="257">
        <v>0.35251785880652542</v>
      </c>
      <c r="J74" s="258" t="e">
        <f t="shared" si="3"/>
        <v>#N/A</v>
      </c>
      <c r="K74" s="271"/>
      <c r="L74" s="1040">
        <f>DEP!R112</f>
        <v>3802.7914275303679</v>
      </c>
      <c r="M74" s="1040">
        <f>DEP!S112</f>
        <v>1964.4301041534138</v>
      </c>
      <c r="O74" s="297"/>
      <c r="P74" s="297"/>
      <c r="R74" s="355">
        <f>DEP!U112</f>
        <v>19.261000000000003</v>
      </c>
      <c r="S74" s="355">
        <f>DEP!V112</f>
        <v>197.6712749615975</v>
      </c>
      <c r="T74" s="1156">
        <v>153.38788870703772</v>
      </c>
      <c r="U74" s="1157">
        <f t="shared" si="5"/>
        <v>44.283386254559787</v>
      </c>
    </row>
    <row r="75" spans="2:21" ht="27" customHeight="1" x14ac:dyDescent="0.25">
      <c r="B75" s="1198"/>
      <c r="C75" s="280" t="s">
        <v>124</v>
      </c>
      <c r="D75" s="254">
        <v>939.39538300803542</v>
      </c>
      <c r="E75" s="254">
        <v>746.33304452582729</v>
      </c>
      <c r="F75" s="1036" t="e">
        <f>VLOOKUP(F$5,DEP!B:AE,27,FALSE)</f>
        <v>#N/A</v>
      </c>
      <c r="G75" s="1036" t="e">
        <f>VLOOKUP($F$5,DEP!$B:$AE,28,FALSE)+IF(F5=4177,S75)</f>
        <v>#N/A</v>
      </c>
      <c r="H75" s="279" t="e">
        <f t="shared" si="4"/>
        <v>#N/A</v>
      </c>
      <c r="I75" s="257">
        <v>0.35251785880652542</v>
      </c>
      <c r="J75" s="258" t="e">
        <f t="shared" si="3"/>
        <v>#N/A</v>
      </c>
      <c r="K75" s="271"/>
      <c r="L75" s="1040">
        <f>DEP!R113</f>
        <v>1241.9277915815194</v>
      </c>
      <c r="M75" s="1040">
        <f>DEP!S113</f>
        <v>676.89855628248176</v>
      </c>
      <c r="O75" s="297"/>
      <c r="P75" s="297"/>
      <c r="R75" s="355">
        <f>DEP!U113</f>
        <v>9.0640000000000001</v>
      </c>
      <c r="S75" s="355">
        <f>DEP!V113</f>
        <v>32.634408602150565</v>
      </c>
      <c r="T75" s="1156">
        <v>56.707037643207876</v>
      </c>
      <c r="U75" s="1157">
        <f t="shared" si="5"/>
        <v>-24.072629041057311</v>
      </c>
    </row>
    <row r="76" spans="2:21" ht="27" customHeight="1" x14ac:dyDescent="0.25">
      <c r="B76" s="1199"/>
      <c r="C76" s="280" t="s">
        <v>125</v>
      </c>
      <c r="D76" s="254">
        <v>939.39538300803542</v>
      </c>
      <c r="E76" s="254">
        <v>746.33304452582729</v>
      </c>
      <c r="F76" s="1036" t="e">
        <f>VLOOKUP(F$5,DEP!B:AE,29,FALSE)</f>
        <v>#N/A</v>
      </c>
      <c r="G76" s="1036" t="e">
        <f>VLOOKUP($F$5,DEP!$B:$AE,30,FALSE)+IF(F5=4177,S76)</f>
        <v>#N/A</v>
      </c>
      <c r="H76" s="279" t="e">
        <f t="shared" si="4"/>
        <v>#N/A</v>
      </c>
      <c r="I76" s="257">
        <v>0.35251785880652542</v>
      </c>
      <c r="J76" s="258" t="e">
        <f>I76*H76</f>
        <v>#N/A</v>
      </c>
      <c r="K76" s="271"/>
      <c r="L76" s="1040">
        <f>DEP!R114</f>
        <v>0</v>
      </c>
      <c r="M76" s="1040">
        <f>DEP!S114</f>
        <v>0</v>
      </c>
      <c r="O76" s="297"/>
      <c r="P76" s="297"/>
      <c r="R76" s="355">
        <f>DEP!U114</f>
        <v>0</v>
      </c>
      <c r="S76" s="355">
        <f>DEP!V114</f>
        <v>0</v>
      </c>
      <c r="T76" s="1156">
        <v>46.481178396072011</v>
      </c>
      <c r="U76" s="1157">
        <f t="shared" si="5"/>
        <v>-46.481178396072011</v>
      </c>
    </row>
    <row r="77" spans="2:21" ht="16.2" thickBot="1" x14ac:dyDescent="0.35">
      <c r="B77" s="281"/>
      <c r="C77" s="282"/>
      <c r="D77" s="283"/>
      <c r="E77" s="262" t="s">
        <v>147</v>
      </c>
      <c r="F77" s="263" t="e">
        <f>SUM(F69:F76)</f>
        <v>#N/A</v>
      </c>
      <c r="G77" s="263" t="e">
        <f>SUM(G69:G76)</f>
        <v>#N/A</v>
      </c>
      <c r="H77" s="264" t="e">
        <f>SUM(H69:H76)</f>
        <v>#N/A</v>
      </c>
      <c r="I77" s="284"/>
      <c r="J77" s="285" t="e">
        <f>IF(J70+J71+J72+J73+J74+J76+J75=0,H77*I76,"0")</f>
        <v>#N/A</v>
      </c>
      <c r="K77" s="271"/>
      <c r="L77" s="271"/>
      <c r="M77" s="271"/>
      <c r="R77" s="355"/>
      <c r="S77" s="355"/>
    </row>
    <row r="78" spans="2:21" x14ac:dyDescent="0.25">
      <c r="B78" s="193"/>
      <c r="C78" s="194"/>
      <c r="D78" s="1173" t="s">
        <v>454</v>
      </c>
      <c r="E78" s="1173"/>
      <c r="F78" s="1173"/>
      <c r="G78" s="286" t="s">
        <v>444</v>
      </c>
      <c r="H78" s="287" t="s">
        <v>455</v>
      </c>
      <c r="I78" s="288"/>
      <c r="J78" s="289" t="s">
        <v>455</v>
      </c>
      <c r="K78" s="271"/>
      <c r="L78" s="271"/>
      <c r="M78" s="271"/>
    </row>
    <row r="79" spans="2:21" ht="50.1" customHeight="1" thickBot="1" x14ac:dyDescent="0.3">
      <c r="B79" s="198" t="s">
        <v>456</v>
      </c>
      <c r="C79" s="290" t="s">
        <v>543</v>
      </c>
      <c r="D79" s="211"/>
      <c r="E79" s="291">
        <v>1353.2166999999999</v>
      </c>
      <c r="F79" s="212"/>
      <c r="G79" s="1036" t="e">
        <f>VLOOKUP($F$5,LAC!B:D,2,FALSE)</f>
        <v>#N/A</v>
      </c>
      <c r="H79" s="279" t="e">
        <f>$G79*$E79</f>
        <v>#N/A</v>
      </c>
      <c r="I79" s="257">
        <v>0.99999997536733509</v>
      </c>
      <c r="J79" s="258" t="e">
        <f>I79*H79</f>
        <v>#N/A</v>
      </c>
      <c r="K79" s="271"/>
      <c r="L79" s="271"/>
      <c r="M79" s="271"/>
    </row>
    <row r="80" spans="2:21" ht="15.6" x14ac:dyDescent="0.25">
      <c r="B80" s="292"/>
      <c r="C80" s="293"/>
      <c r="D80" s="1173" t="s">
        <v>454</v>
      </c>
      <c r="E80" s="1173"/>
      <c r="F80" s="1173"/>
      <c r="G80" s="294" t="s">
        <v>444</v>
      </c>
      <c r="H80" s="287" t="s">
        <v>455</v>
      </c>
      <c r="I80" s="288"/>
      <c r="J80" s="289" t="s">
        <v>455</v>
      </c>
    </row>
    <row r="81" spans="2:11" ht="50.1" customHeight="1" thickBot="1" x14ac:dyDescent="0.3">
      <c r="B81" s="295" t="s">
        <v>457</v>
      </c>
      <c r="C81" s="296" t="s">
        <v>544</v>
      </c>
      <c r="D81" s="211"/>
      <c r="E81" s="291">
        <v>859.16</v>
      </c>
      <c r="F81" s="212"/>
      <c r="G81" s="1036" t="e">
        <f>VLOOKUP($F$5,LCHI!B:C,2,FALSE)</f>
        <v>#N/A</v>
      </c>
      <c r="H81" s="279" t="e">
        <f>$G81*$E81</f>
        <v>#N/A</v>
      </c>
      <c r="I81" s="257">
        <v>0.352517575306113</v>
      </c>
      <c r="J81" s="258" t="e">
        <f>I81*H81</f>
        <v>#N/A</v>
      </c>
    </row>
    <row r="82" spans="2:11" ht="15.6" x14ac:dyDescent="0.25">
      <c r="B82" s="292"/>
      <c r="C82" s="293"/>
      <c r="D82" s="1173" t="s">
        <v>454</v>
      </c>
      <c r="E82" s="1173"/>
      <c r="F82" s="1173"/>
      <c r="G82" s="294" t="s">
        <v>444</v>
      </c>
      <c r="H82" s="287" t="s">
        <v>455</v>
      </c>
      <c r="I82" s="288"/>
      <c r="J82" s="289" t="s">
        <v>455</v>
      </c>
    </row>
    <row r="83" spans="2:11" ht="46.5" customHeight="1" x14ac:dyDescent="0.25">
      <c r="B83" s="1180" t="s">
        <v>458</v>
      </c>
      <c r="C83" s="296" t="s">
        <v>459</v>
      </c>
      <c r="D83" s="211"/>
      <c r="E83" s="291">
        <v>855.73379999999997</v>
      </c>
      <c r="F83" s="212"/>
      <c r="G83" s="1036" t="e">
        <f>VLOOKUP($F$5,EAL!B:D,2,FALSE)</f>
        <v>#N/A</v>
      </c>
      <c r="H83" s="279" t="e">
        <f>$G83*$E83</f>
        <v>#N/A</v>
      </c>
      <c r="I83" s="257">
        <v>0.40054506899453624</v>
      </c>
      <c r="J83" s="258" t="e">
        <f>I83*H83</f>
        <v>#N/A</v>
      </c>
    </row>
    <row r="84" spans="2:11" ht="46.5" customHeight="1" thickBot="1" x14ac:dyDescent="0.3">
      <c r="B84" s="1181"/>
      <c r="C84" s="296" t="s">
        <v>460</v>
      </c>
      <c r="D84" s="211"/>
      <c r="E84" s="291">
        <v>2512.7556999999997</v>
      </c>
      <c r="F84" s="212"/>
      <c r="G84" s="1036" t="e">
        <f>VLOOKUP($F$5,EAL!B:D,3,FALSE)</f>
        <v>#N/A</v>
      </c>
      <c r="H84" s="279" t="e">
        <f>$G84*$E84</f>
        <v>#N/A</v>
      </c>
      <c r="I84" s="257">
        <v>0.40054506899453624</v>
      </c>
      <c r="J84" s="258" t="e">
        <f>I84*H84</f>
        <v>#N/A</v>
      </c>
      <c r="K84" s="297"/>
    </row>
    <row r="85" spans="2:11" ht="15.6" x14ac:dyDescent="0.25">
      <c r="B85" s="292"/>
      <c r="C85" s="293"/>
      <c r="D85" s="369" t="s">
        <v>588</v>
      </c>
      <c r="E85" s="369" t="s">
        <v>454</v>
      </c>
      <c r="F85" s="370"/>
      <c r="G85" s="298" t="s">
        <v>444</v>
      </c>
      <c r="H85" s="287" t="s">
        <v>455</v>
      </c>
      <c r="I85" s="288"/>
      <c r="J85" s="289" t="s">
        <v>455</v>
      </c>
    </row>
    <row r="86" spans="2:11" ht="78" customHeight="1" x14ac:dyDescent="0.25">
      <c r="B86" s="371" t="s">
        <v>461</v>
      </c>
      <c r="C86" s="299" t="s">
        <v>462</v>
      </c>
      <c r="D86" s="1076" t="e">
        <f>VLOOKUP($F$5,'2015 Factor % to units'!B:BY,62,FALSE)</f>
        <v>#N/A</v>
      </c>
      <c r="E86" s="291">
        <v>1199.68</v>
      </c>
      <c r="F86" s="300"/>
      <c r="G86" s="1036" t="e">
        <f>VLOOKUP($F$5,MOB!$B:$D,2,FALSE)</f>
        <v>#N/A</v>
      </c>
      <c r="H86" s="279" t="e">
        <f>$G86*$E86</f>
        <v>#N/A</v>
      </c>
      <c r="I86" s="257">
        <v>1</v>
      </c>
      <c r="J86" s="258" t="e">
        <f>I86*H86</f>
        <v>#N/A</v>
      </c>
    </row>
    <row r="87" spans="2:11" ht="78" customHeight="1" thickBot="1" x14ac:dyDescent="0.3">
      <c r="B87" s="372" t="s">
        <v>589</v>
      </c>
      <c r="C87" s="299" t="s">
        <v>463</v>
      </c>
      <c r="D87" s="1076" t="e">
        <f>VLOOKUP($F$5,'2015 Factor % to units'!B:BY,63,FALSE)</f>
        <v>#N/A</v>
      </c>
      <c r="E87" s="291">
        <v>2020.6040999999998</v>
      </c>
      <c r="F87" s="300"/>
      <c r="G87" s="1036" t="e">
        <f>VLOOKUP($F$5,MOB!B:D,3,FALSE)</f>
        <v>#N/A</v>
      </c>
      <c r="H87" s="279" t="e">
        <f>$G87*$E87</f>
        <v>#N/A</v>
      </c>
      <c r="I87" s="257">
        <v>1</v>
      </c>
      <c r="J87" s="258" t="e">
        <f>I87*H87</f>
        <v>#N/A</v>
      </c>
      <c r="K87" s="297"/>
    </row>
    <row r="88" spans="2:11" ht="12.75" customHeight="1" x14ac:dyDescent="0.25">
      <c r="B88" s="193"/>
      <c r="C88" s="194"/>
      <c r="D88" s="1173" t="s">
        <v>464</v>
      </c>
      <c r="E88" s="1173"/>
      <c r="F88" s="1173"/>
      <c r="G88" s="207" t="s">
        <v>465</v>
      </c>
      <c r="H88" s="287" t="s">
        <v>455</v>
      </c>
      <c r="I88" s="288"/>
      <c r="J88" s="289"/>
    </row>
    <row r="89" spans="2:11" ht="35.1" customHeight="1" thickBot="1" x14ac:dyDescent="0.3">
      <c r="B89" s="198" t="s">
        <v>466</v>
      </c>
      <c r="C89" s="290" t="s">
        <v>545</v>
      </c>
      <c r="D89" s="211"/>
      <c r="E89" s="291" t="e">
        <f>VLOOKUP($F$5,'Summary for Prints'!B:AB,8,FALSE)</f>
        <v>#N/A</v>
      </c>
      <c r="F89" s="212"/>
      <c r="G89" s="203">
        <v>1</v>
      </c>
      <c r="H89" s="301" t="e">
        <f>$G89*$E89</f>
        <v>#N/A</v>
      </c>
      <c r="I89" s="302"/>
      <c r="J89" s="303"/>
    </row>
    <row r="90" spans="2:11" ht="12.75" customHeight="1" x14ac:dyDescent="0.25">
      <c r="B90" s="292"/>
      <c r="C90" s="194"/>
      <c r="D90" s="1173" t="s">
        <v>467</v>
      </c>
      <c r="E90" s="1173"/>
      <c r="F90" s="1173"/>
      <c r="G90" s="207" t="s">
        <v>465</v>
      </c>
      <c r="H90" s="287" t="s">
        <v>455</v>
      </c>
      <c r="I90" s="288"/>
      <c r="J90" s="289"/>
    </row>
    <row r="91" spans="2:11" ht="35.1" customHeight="1" thickBot="1" x14ac:dyDescent="0.35">
      <c r="B91" s="210" t="s">
        <v>468</v>
      </c>
      <c r="C91" s="304"/>
      <c r="D91" s="211"/>
      <c r="E91" s="291" t="e">
        <f>VLOOKUP($F$5,'Summary for Prints'!B:AB,9,FALSE)</f>
        <v>#N/A</v>
      </c>
      <c r="F91" s="212"/>
      <c r="G91" s="213">
        <v>1</v>
      </c>
      <c r="H91" s="301" t="e">
        <f>$G91*$E91</f>
        <v>#N/A</v>
      </c>
      <c r="I91" s="305"/>
      <c r="J91" s="306"/>
    </row>
    <row r="92" spans="2:11" ht="12.75" customHeight="1" x14ac:dyDescent="0.25">
      <c r="B92" s="292"/>
      <c r="C92" s="194"/>
      <c r="D92" s="1173" t="s">
        <v>469</v>
      </c>
      <c r="E92" s="1173"/>
      <c r="F92" s="1173"/>
      <c r="G92" s="207" t="s">
        <v>465</v>
      </c>
      <c r="H92" s="287" t="s">
        <v>455</v>
      </c>
      <c r="I92" s="288"/>
      <c r="J92" s="289"/>
    </row>
    <row r="93" spans="2:11" ht="35.1" customHeight="1" thickBot="1" x14ac:dyDescent="0.35">
      <c r="B93" s="210" t="s">
        <v>547</v>
      </c>
      <c r="C93" s="307"/>
      <c r="D93" s="211"/>
      <c r="E93" s="291" t="e">
        <f>VLOOKUP($F$5,'Summary for Prints'!B:AB,11,FALSE)</f>
        <v>#N/A</v>
      </c>
      <c r="F93" s="212"/>
      <c r="G93" s="213">
        <v>1</v>
      </c>
      <c r="H93" s="301" t="e">
        <f>$G93*$E93</f>
        <v>#N/A</v>
      </c>
      <c r="I93" s="302"/>
      <c r="J93" s="303"/>
    </row>
    <row r="94" spans="2:11" ht="12.75" customHeight="1" x14ac:dyDescent="0.25">
      <c r="B94" s="292"/>
      <c r="C94" s="194"/>
      <c r="D94" s="1173" t="s">
        <v>470</v>
      </c>
      <c r="E94" s="1173"/>
      <c r="F94" s="1173"/>
      <c r="G94" s="207" t="s">
        <v>465</v>
      </c>
      <c r="H94" s="287" t="s">
        <v>455</v>
      </c>
      <c r="I94" s="288"/>
      <c r="J94" s="289"/>
    </row>
    <row r="95" spans="2:11" ht="44.25" customHeight="1" thickBot="1" x14ac:dyDescent="0.35">
      <c r="B95" s="210" t="s">
        <v>471</v>
      </c>
      <c r="C95" s="307"/>
      <c r="D95" s="211"/>
      <c r="E95" s="291" t="e">
        <f>VLOOKUP($F$5,'Summary for Prints'!B:AB,13,FALSE)</f>
        <v>#N/A</v>
      </c>
      <c r="F95" s="212"/>
      <c r="G95" s="213">
        <v>1</v>
      </c>
      <c r="H95" s="301" t="e">
        <f>$G95*$E95</f>
        <v>#N/A</v>
      </c>
      <c r="I95" s="302"/>
      <c r="J95" s="373" t="s">
        <v>581</v>
      </c>
    </row>
    <row r="96" spans="2:11" ht="12.75" customHeight="1" thickBot="1" x14ac:dyDescent="0.3">
      <c r="B96" s="292"/>
      <c r="C96" s="194"/>
      <c r="D96" s="1173" t="s">
        <v>472</v>
      </c>
      <c r="E96" s="1173"/>
      <c r="F96" s="1173"/>
      <c r="G96" s="207" t="s">
        <v>465</v>
      </c>
      <c r="H96" s="287" t="s">
        <v>455</v>
      </c>
      <c r="I96" s="374"/>
      <c r="J96" s="383"/>
    </row>
    <row r="97" spans="2:13" ht="30" customHeight="1" thickBot="1" x14ac:dyDescent="0.35">
      <c r="B97" s="308" t="s">
        <v>1250</v>
      </c>
      <c r="C97" s="309"/>
      <c r="D97" s="309"/>
      <c r="E97" s="310"/>
      <c r="F97" s="311"/>
      <c r="G97" s="312"/>
      <c r="H97" s="313" t="e">
        <f>H63+H77+H79+H81+H83+H84+H86+H87+H89+H91+H93+H95+H67</f>
        <v>#N/A</v>
      </c>
      <c r="I97" s="314"/>
      <c r="J97" s="375" t="e">
        <f>J60+J61+J62+J70+J71+J72+J73+J74+J75+J76+J79+J81+J83+J84+J86+J87+J77</f>
        <v>#N/A</v>
      </c>
    </row>
    <row r="98" spans="2:13" x14ac:dyDescent="0.25">
      <c r="B98" s="120"/>
      <c r="C98" s="315"/>
      <c r="D98" s="121"/>
      <c r="E98" s="121"/>
      <c r="F98" s="121"/>
      <c r="G98" s="121"/>
      <c r="H98" s="316"/>
      <c r="I98" s="317"/>
      <c r="J98" s="318"/>
    </row>
    <row r="99" spans="2:13" ht="15.6" x14ac:dyDescent="0.3">
      <c r="B99" s="319" t="s">
        <v>473</v>
      </c>
      <c r="C99" s="1178" t="s">
        <v>141</v>
      </c>
      <c r="D99" s="1178"/>
      <c r="E99" s="1178"/>
      <c r="F99" s="127"/>
      <c r="G99" s="127"/>
      <c r="H99" s="320"/>
      <c r="I99" s="123"/>
      <c r="J99" s="321"/>
    </row>
    <row r="100" spans="2:13" ht="13.8" thickBot="1" x14ac:dyDescent="0.3">
      <c r="B100" s="126"/>
      <c r="C100" s="127"/>
      <c r="D100" s="127"/>
      <c r="E100" s="127"/>
      <c r="F100" s="127"/>
      <c r="G100" s="127"/>
      <c r="H100" s="320"/>
      <c r="I100" s="123"/>
      <c r="J100" s="321"/>
    </row>
    <row r="101" spans="2:13" x14ac:dyDescent="0.25">
      <c r="B101" s="193"/>
      <c r="C101" s="194"/>
      <c r="D101" s="1173"/>
      <c r="E101" s="1173"/>
      <c r="F101" s="1173"/>
      <c r="G101" s="225" t="s">
        <v>465</v>
      </c>
      <c r="H101" s="322" t="s">
        <v>455</v>
      </c>
      <c r="I101" s="1041"/>
      <c r="J101" s="323"/>
    </row>
    <row r="102" spans="2:13" ht="27" customHeight="1" x14ac:dyDescent="0.25">
      <c r="B102" s="198" t="s">
        <v>546</v>
      </c>
      <c r="C102" s="304"/>
      <c r="D102" s="211"/>
      <c r="E102" s="291" t="e">
        <f>VLOOKUP($F$5,'Summary for Prints'!B:AB,18,FALSE)</f>
        <v>#N/A</v>
      </c>
      <c r="F102" s="212"/>
      <c r="G102" s="203">
        <v>1</v>
      </c>
      <c r="H102" s="324" t="e">
        <f>$G102*$E102</f>
        <v>#N/A</v>
      </c>
      <c r="I102" s="205"/>
      <c r="J102" s="325"/>
    </row>
    <row r="103" spans="2:13" x14ac:dyDescent="0.25">
      <c r="B103" s="126"/>
      <c r="C103" s="127"/>
      <c r="D103" s="127"/>
      <c r="E103" s="127"/>
      <c r="F103" s="127"/>
      <c r="G103" s="127"/>
      <c r="H103" s="320"/>
      <c r="I103" s="123"/>
      <c r="J103" s="321"/>
    </row>
    <row r="104" spans="2:13" ht="15.75" customHeight="1" x14ac:dyDescent="0.3">
      <c r="B104" s="326"/>
      <c r="C104" s="1178" t="s">
        <v>521</v>
      </c>
      <c r="D104" s="1178"/>
      <c r="E104" s="1178"/>
      <c r="F104" s="328"/>
      <c r="G104" s="329"/>
      <c r="H104" s="205"/>
      <c r="I104" s="205"/>
      <c r="J104" s="325"/>
    </row>
    <row r="105" spans="2:13" ht="15.75" customHeight="1" x14ac:dyDescent="0.25">
      <c r="B105" s="126"/>
      <c r="C105" s="327"/>
      <c r="D105" s="327"/>
      <c r="E105" s="327"/>
      <c r="F105" s="327"/>
      <c r="G105" s="127"/>
      <c r="H105" s="320"/>
      <c r="I105" s="123"/>
      <c r="J105" s="321"/>
    </row>
    <row r="106" spans="2:13" x14ac:dyDescent="0.25">
      <c r="B106" s="330"/>
      <c r="C106" s="331"/>
      <c r="D106" s="1173"/>
      <c r="E106" s="1173"/>
      <c r="F106" s="1173"/>
      <c r="G106" s="225" t="s">
        <v>465</v>
      </c>
      <c r="H106" s="322" t="s">
        <v>455</v>
      </c>
      <c r="I106" s="1041"/>
      <c r="J106" s="323"/>
    </row>
    <row r="107" spans="2:13" ht="27" customHeight="1" x14ac:dyDescent="0.25">
      <c r="B107" s="198" t="s">
        <v>1467</v>
      </c>
      <c r="C107" s="304"/>
      <c r="D107" s="211"/>
      <c r="E107" s="291" t="e">
        <f>VLOOKUP($F$5,'Summary for Prints'!B:AB,10,FALSE)</f>
        <v>#N/A</v>
      </c>
      <c r="F107" s="212"/>
      <c r="G107" s="203">
        <v>1</v>
      </c>
      <c r="H107" s="324" t="e">
        <f>$G107*$E107</f>
        <v>#N/A</v>
      </c>
      <c r="I107" s="214"/>
      <c r="J107" s="332"/>
      <c r="K107" s="333"/>
      <c r="L107" s="334"/>
      <c r="M107" s="334"/>
    </row>
    <row r="108" spans="2:13" x14ac:dyDescent="0.25">
      <c r="B108" s="335"/>
      <c r="C108" s="336"/>
      <c r="D108" s="1179"/>
      <c r="E108" s="1179"/>
      <c r="F108" s="1179"/>
      <c r="G108" s="248"/>
      <c r="H108" s="197"/>
      <c r="I108" s="1041"/>
      <c r="J108" s="323"/>
    </row>
    <row r="109" spans="2:13" ht="13.8" thickBot="1" x14ac:dyDescent="0.3">
      <c r="B109" s="335"/>
      <c r="C109" s="336"/>
      <c r="D109" s="1041"/>
      <c r="E109" s="1041"/>
      <c r="F109" s="1041"/>
      <c r="G109" s="248"/>
      <c r="H109" s="197"/>
      <c r="I109" s="1041"/>
      <c r="J109" s="323"/>
    </row>
    <row r="110" spans="2:13" ht="30" customHeight="1" thickBot="1" x14ac:dyDescent="0.35">
      <c r="B110" s="1174" t="s">
        <v>1251</v>
      </c>
      <c r="C110" s="1175"/>
      <c r="D110" s="1175"/>
      <c r="E110" s="1175"/>
      <c r="F110" s="1175"/>
      <c r="G110" s="1175"/>
      <c r="H110" s="337"/>
      <c r="I110" s="1210" t="e">
        <f>$H26+$H44+$H97+$H102+$H107</f>
        <v>#N/A</v>
      </c>
      <c r="J110" s="1211"/>
      <c r="K110" s="1163">
        <f>'Summary for Prints'!AK154+'Summary for Prints'!AK506</f>
        <v>171200556.35207176</v>
      </c>
      <c r="L110" s="334" t="e">
        <f>K110-I110</f>
        <v>#N/A</v>
      </c>
      <c r="M110" s="334"/>
    </row>
    <row r="111" spans="2:13" ht="15" customHeight="1" thickBot="1" x14ac:dyDescent="0.35">
      <c r="B111" s="338"/>
      <c r="C111" s="339"/>
      <c r="D111" s="339"/>
      <c r="E111" s="339"/>
      <c r="F111" s="340"/>
      <c r="G111" s="340"/>
      <c r="H111" s="341"/>
      <c r="I111" s="341"/>
      <c r="J111" s="342"/>
    </row>
    <row r="112" spans="2:13" ht="30" customHeight="1" thickBot="1" x14ac:dyDescent="0.35">
      <c r="B112" s="1176" t="s">
        <v>1252</v>
      </c>
      <c r="C112" s="1177"/>
      <c r="D112" s="1177"/>
      <c r="E112" s="1177"/>
      <c r="F112" s="1177"/>
      <c r="G112" s="1177"/>
      <c r="H112" s="343"/>
      <c r="I112" s="1212" t="e">
        <f>I110-H107</f>
        <v>#N/A</v>
      </c>
      <c r="J112" s="1213"/>
      <c r="K112" s="1163">
        <f>'Summary for Prints'!AJ154+'Summary for Prints'!AJ506</f>
        <v>169630697.49687177</v>
      </c>
      <c r="L112" s="334" t="e">
        <f>K112-I112</f>
        <v>#N/A</v>
      </c>
    </row>
    <row r="113" spans="2:17" x14ac:dyDescent="0.25">
      <c r="B113" s="126"/>
      <c r="C113" s="127"/>
      <c r="D113" s="127"/>
      <c r="E113" s="127"/>
      <c r="F113" s="127"/>
      <c r="G113" s="127"/>
      <c r="H113" s="249"/>
      <c r="I113" s="123"/>
      <c r="J113" s="321"/>
    </row>
    <row r="114" spans="2:17" ht="15.6" x14ac:dyDescent="0.3">
      <c r="B114" s="126"/>
      <c r="C114" s="1178" t="s">
        <v>144</v>
      </c>
      <c r="D114" s="1178"/>
      <c r="E114" s="1178"/>
      <c r="F114" s="127"/>
      <c r="G114" s="127"/>
      <c r="H114" s="249"/>
      <c r="I114" s="123"/>
      <c r="J114" s="321"/>
    </row>
    <row r="115" spans="2:17" x14ac:dyDescent="0.25">
      <c r="B115" s="126"/>
      <c r="C115" s="127"/>
      <c r="D115" s="127"/>
      <c r="E115" s="127"/>
      <c r="F115" s="127"/>
      <c r="G115" s="127"/>
      <c r="H115" s="249"/>
      <c r="I115" s="123"/>
      <c r="J115" s="321"/>
    </row>
    <row r="116" spans="2:17" x14ac:dyDescent="0.25">
      <c r="B116" s="344"/>
      <c r="C116" s="331"/>
      <c r="D116" s="1173" t="s">
        <v>496</v>
      </c>
      <c r="E116" s="1173"/>
      <c r="F116" s="1173"/>
      <c r="G116" s="207" t="s">
        <v>465</v>
      </c>
      <c r="H116" s="345" t="s">
        <v>455</v>
      </c>
      <c r="I116" s="1041"/>
      <c r="J116" s="323"/>
    </row>
    <row r="117" spans="2:17" ht="27" customHeight="1" x14ac:dyDescent="0.25">
      <c r="B117" s="198" t="s">
        <v>580</v>
      </c>
      <c r="C117" s="199" t="s">
        <v>520</v>
      </c>
      <c r="D117" s="211"/>
      <c r="E117" s="291" t="e">
        <f>VLOOKUP($F$5,'Summary for Prints'!B:AB,22,FALSE)</f>
        <v>#N/A</v>
      </c>
      <c r="F117" s="212"/>
      <c r="G117" s="203">
        <v>1</v>
      </c>
      <c r="H117" s="324" t="e">
        <f>E117*G117</f>
        <v>#N/A</v>
      </c>
      <c r="I117" s="209"/>
      <c r="J117" s="1172"/>
    </row>
    <row r="118" spans="2:17" ht="30" customHeight="1" thickBot="1" x14ac:dyDescent="0.3">
      <c r="B118" s="346"/>
      <c r="C118" s="347"/>
      <c r="D118" s="348"/>
      <c r="E118" s="349"/>
      <c r="F118" s="350"/>
      <c r="G118" s="351"/>
      <c r="H118" s="352"/>
      <c r="I118" s="349"/>
      <c r="J118" s="353"/>
    </row>
    <row r="119" spans="2:17" s="223" customFormat="1" ht="50.1" customHeight="1" thickBot="1" x14ac:dyDescent="0.35">
      <c r="C119" s="1207" t="s">
        <v>1465</v>
      </c>
      <c r="D119" s="1208"/>
      <c r="E119" s="1208"/>
      <c r="F119" s="1208"/>
      <c r="G119" s="1208"/>
      <c r="H119" s="1209"/>
      <c r="I119" s="354"/>
      <c r="J119" s="354"/>
      <c r="K119" s="222"/>
      <c r="L119" s="222"/>
      <c r="M119" s="222"/>
      <c r="N119" s="222"/>
      <c r="O119" s="222"/>
      <c r="P119" s="222"/>
      <c r="Q119" s="222"/>
    </row>
    <row r="120" spans="2:17" s="223" customFormat="1" ht="30.6" thickBot="1" x14ac:dyDescent="0.3">
      <c r="C120" s="102"/>
      <c r="D120" s="72" t="s">
        <v>590</v>
      </c>
      <c r="E120" s="93" t="s">
        <v>591</v>
      </c>
      <c r="F120" s="72" t="s">
        <v>600</v>
      </c>
      <c r="G120" s="93" t="s">
        <v>601</v>
      </c>
      <c r="H120" s="87" t="s">
        <v>455</v>
      </c>
      <c r="I120" s="354"/>
      <c r="J120" s="354"/>
      <c r="K120" s="222"/>
      <c r="L120" s="222"/>
      <c r="M120" s="222"/>
      <c r="N120" s="222"/>
      <c r="O120" s="222"/>
      <c r="P120" s="222"/>
      <c r="Q120" s="222"/>
    </row>
    <row r="121" spans="2:17" s="223" customFormat="1" ht="50.1" customHeight="1" thickBot="1" x14ac:dyDescent="0.3">
      <c r="B121" s="1165" t="s">
        <v>1469</v>
      </c>
      <c r="C121" s="379" t="s">
        <v>592</v>
      </c>
      <c r="D121" s="1064">
        <v>-6.01</v>
      </c>
      <c r="E121" s="1069">
        <v>-6.01</v>
      </c>
      <c r="F121" s="1062" t="e">
        <f>VLOOKUP($F$5,'DE-DEL'!$B:$M,9,FALSE)</f>
        <v>#N/A</v>
      </c>
      <c r="G121" s="1061" t="e">
        <f>VLOOKUP($F$5,'DE-DEL'!$B:$M,10,FALSE)+VLOOKUP($F$5,'DE-DEL'!$B:$M,11,FALSE)</f>
        <v>#N/A</v>
      </c>
      <c r="H121" s="88" t="e">
        <f>D121*F121+E121*G121</f>
        <v>#N/A</v>
      </c>
      <c r="I121" s="354"/>
      <c r="J121" s="354"/>
      <c r="K121" s="222"/>
      <c r="L121" s="222"/>
      <c r="M121" s="222"/>
      <c r="N121" s="222"/>
      <c r="O121" s="222"/>
      <c r="P121" s="222"/>
      <c r="Q121" s="222"/>
    </row>
    <row r="122" spans="2:17" s="223" customFormat="1" ht="25.5" customHeight="1" thickBot="1" x14ac:dyDescent="0.3">
      <c r="C122" s="103"/>
      <c r="D122" s="89" t="s">
        <v>500</v>
      </c>
      <c r="E122" s="90" t="s">
        <v>500</v>
      </c>
      <c r="F122" s="1063" t="s">
        <v>1291</v>
      </c>
      <c r="G122" s="90" t="s">
        <v>1292</v>
      </c>
      <c r="H122" s="87" t="s">
        <v>455</v>
      </c>
      <c r="I122" s="354"/>
      <c r="J122" s="354"/>
      <c r="K122" s="222"/>
      <c r="L122" s="222"/>
      <c r="M122" s="222"/>
      <c r="N122" s="222"/>
      <c r="O122" s="222"/>
      <c r="P122" s="222"/>
      <c r="Q122" s="222"/>
    </row>
    <row r="123" spans="2:17" s="223" customFormat="1" ht="50.1" customHeight="1" thickBot="1" x14ac:dyDescent="0.3">
      <c r="B123" s="1165" t="s">
        <v>1470</v>
      </c>
      <c r="C123" s="379" t="s">
        <v>593</v>
      </c>
      <c r="D123" s="1065">
        <v>-3.5</v>
      </c>
      <c r="E123" s="1070">
        <v>-3.5</v>
      </c>
      <c r="F123" s="1062" t="e">
        <f>VLOOKUP($F$5,'DE-DEL'!$B:$M,9,FALSE)</f>
        <v>#N/A</v>
      </c>
      <c r="G123" s="1061" t="e">
        <f>VLOOKUP($F$5,'DE-DEL'!$B:$M,10,FALSE)+VLOOKUP($F$5,'DE-DEL'!$B:$M,11,FALSE)</f>
        <v>#N/A</v>
      </c>
      <c r="H123" s="88" t="e">
        <f>D123*F123+E123*G123</f>
        <v>#N/A</v>
      </c>
      <c r="I123" s="354"/>
      <c r="J123" s="354"/>
      <c r="K123" s="222"/>
      <c r="L123" s="222"/>
      <c r="M123" s="222"/>
      <c r="N123" s="222"/>
      <c r="O123" s="222"/>
      <c r="P123" s="222"/>
      <c r="Q123" s="222"/>
    </row>
    <row r="124" spans="2:17" s="223" customFormat="1" ht="25.5" customHeight="1" thickBot="1" x14ac:dyDescent="0.3">
      <c r="C124" s="89"/>
      <c r="D124" s="89" t="s">
        <v>500</v>
      </c>
      <c r="E124" s="90" t="s">
        <v>500</v>
      </c>
      <c r="F124" s="1063" t="s">
        <v>1291</v>
      </c>
      <c r="G124" s="90" t="s">
        <v>1292</v>
      </c>
      <c r="H124" s="87" t="s">
        <v>455</v>
      </c>
      <c r="I124" s="354"/>
      <c r="J124" s="354"/>
      <c r="K124" s="222"/>
      <c r="L124" s="222"/>
      <c r="M124" s="222"/>
      <c r="N124" s="222"/>
      <c r="O124" s="222"/>
      <c r="P124" s="222"/>
      <c r="Q124" s="222"/>
    </row>
    <row r="125" spans="2:17" s="223" customFormat="1" ht="50.1" customHeight="1" thickBot="1" x14ac:dyDescent="0.3">
      <c r="B125" s="1165" t="s">
        <v>1469</v>
      </c>
      <c r="C125" s="379" t="s">
        <v>594</v>
      </c>
      <c r="D125" s="1065">
        <v>-10.01</v>
      </c>
      <c r="E125" s="1070">
        <v>-10.01</v>
      </c>
      <c r="F125" s="1062" t="e">
        <f>VLOOKUP($F$5,'DE-DEL'!$B:$M,9,FALSE)</f>
        <v>#N/A</v>
      </c>
      <c r="G125" s="1061" t="e">
        <f>VLOOKUP($F$5,'DE-DEL'!$B:$M,10,FALSE)+VLOOKUP($F$5,'DE-DEL'!$B:$M,11,FALSE)</f>
        <v>#N/A</v>
      </c>
      <c r="H125" s="88" t="e">
        <f>D125*F125+E125*G125</f>
        <v>#N/A</v>
      </c>
      <c r="I125" s="354"/>
      <c r="J125" s="354"/>
      <c r="K125" s="222"/>
      <c r="L125" s="222"/>
      <c r="M125" s="222"/>
      <c r="N125" s="222"/>
      <c r="O125" s="222"/>
      <c r="P125" s="222"/>
      <c r="Q125" s="222"/>
    </row>
    <row r="126" spans="2:17" s="223" customFormat="1" ht="25.5" customHeight="1" thickBot="1" x14ac:dyDescent="0.3">
      <c r="C126" s="103"/>
      <c r="D126" s="89" t="s">
        <v>500</v>
      </c>
      <c r="E126" s="90" t="s">
        <v>500</v>
      </c>
      <c r="F126" s="1063" t="s">
        <v>1291</v>
      </c>
      <c r="G126" s="90" t="s">
        <v>1292</v>
      </c>
      <c r="H126" s="87" t="s">
        <v>455</v>
      </c>
      <c r="I126" s="354"/>
      <c r="J126" s="354"/>
      <c r="K126" s="222"/>
      <c r="L126" s="222"/>
      <c r="M126" s="222"/>
      <c r="N126" s="222"/>
      <c r="O126" s="222"/>
      <c r="P126" s="222"/>
      <c r="Q126" s="222"/>
    </row>
    <row r="127" spans="2:17" s="223" customFormat="1" ht="50.1" customHeight="1" thickBot="1" x14ac:dyDescent="0.3">
      <c r="B127" s="1165" t="s">
        <v>1471</v>
      </c>
      <c r="C127" s="379" t="s">
        <v>595</v>
      </c>
      <c r="D127" s="1065">
        <v>-3</v>
      </c>
      <c r="E127" s="1070">
        <v>-3</v>
      </c>
      <c r="F127" s="1062" t="e">
        <f>VLOOKUP($F$5,'DE-DEL'!$B:$M,9,FALSE)</f>
        <v>#N/A</v>
      </c>
      <c r="G127" s="1061" t="e">
        <f>VLOOKUP($F$5,'DE-DEL'!$B:$M,10,FALSE)+VLOOKUP($F$5,'DE-DEL'!$B:$M,11,FALSE)</f>
        <v>#N/A</v>
      </c>
      <c r="H127" s="88" t="e">
        <f>D127*F127+E127*G127</f>
        <v>#N/A</v>
      </c>
      <c r="I127" s="354"/>
      <c r="J127" s="354"/>
      <c r="K127" s="222"/>
      <c r="L127" s="222"/>
      <c r="M127" s="222"/>
      <c r="N127" s="222"/>
      <c r="O127" s="222"/>
      <c r="P127" s="222"/>
      <c r="Q127" s="222"/>
    </row>
    <row r="128" spans="2:17" s="223" customFormat="1" ht="25.5" customHeight="1" thickBot="1" x14ac:dyDescent="0.3">
      <c r="C128" s="89"/>
      <c r="D128" s="89" t="s">
        <v>500</v>
      </c>
      <c r="E128" s="90" t="s">
        <v>500</v>
      </c>
      <c r="F128" s="1063" t="s">
        <v>1291</v>
      </c>
      <c r="G128" s="90" t="s">
        <v>1292</v>
      </c>
      <c r="H128" s="87" t="s">
        <v>455</v>
      </c>
      <c r="I128" s="354"/>
      <c r="J128" s="354"/>
      <c r="K128" s="222"/>
      <c r="L128" s="222"/>
      <c r="M128" s="222"/>
      <c r="N128" s="222"/>
      <c r="O128" s="222"/>
      <c r="P128" s="222"/>
      <c r="Q128" s="222"/>
    </row>
    <row r="129" spans="2:17" s="223" customFormat="1" ht="50.1" customHeight="1" thickBot="1" x14ac:dyDescent="0.3">
      <c r="B129" s="1165" t="s">
        <v>1471</v>
      </c>
      <c r="C129" s="379" t="s">
        <v>596</v>
      </c>
      <c r="D129" s="1065">
        <v>-21.14</v>
      </c>
      <c r="E129" s="1070">
        <v>-21.14</v>
      </c>
      <c r="F129" s="1062" t="e">
        <f>VLOOKUP($F$5,'DE-DEL'!$B:$M,9,FALSE)</f>
        <v>#N/A</v>
      </c>
      <c r="G129" s="1061" t="e">
        <f>VLOOKUP($F$5,'DE-DEL'!$B:$M,10,FALSE)+VLOOKUP($F$5,'DE-DEL'!$B:$M,11,FALSE)</f>
        <v>#N/A</v>
      </c>
      <c r="H129" s="88" t="e">
        <f>D129*F129+E129*G129</f>
        <v>#N/A</v>
      </c>
      <c r="I129" s="354"/>
      <c r="J129" s="354"/>
      <c r="K129" s="222"/>
      <c r="L129" s="222"/>
      <c r="M129" s="222"/>
      <c r="N129" s="222"/>
      <c r="O129" s="222"/>
      <c r="P129" s="222"/>
      <c r="Q129" s="222"/>
    </row>
    <row r="130" spans="2:17" s="223" customFormat="1" ht="25.5" customHeight="1" thickBot="1" x14ac:dyDescent="0.3">
      <c r="C130" s="89"/>
      <c r="D130" s="89" t="s">
        <v>500</v>
      </c>
      <c r="E130" s="90" t="s">
        <v>500</v>
      </c>
      <c r="F130" s="1063" t="s">
        <v>1291</v>
      </c>
      <c r="G130" s="90" t="s">
        <v>1292</v>
      </c>
      <c r="H130" s="87" t="s">
        <v>455</v>
      </c>
      <c r="I130" s="354"/>
      <c r="J130" s="354"/>
      <c r="K130" s="222"/>
      <c r="L130" s="222"/>
      <c r="M130" s="222"/>
      <c r="N130" s="222"/>
      <c r="O130" s="222"/>
      <c r="P130" s="222"/>
      <c r="Q130" s="222"/>
    </row>
    <row r="131" spans="2:17" s="223" customFormat="1" ht="50.1" customHeight="1" thickBot="1" x14ac:dyDescent="0.3">
      <c r="B131" s="1165" t="s">
        <v>1472</v>
      </c>
      <c r="C131" s="379" t="s">
        <v>599</v>
      </c>
      <c r="D131" s="1065">
        <v>-9.6999999999999993</v>
      </c>
      <c r="E131" s="1070">
        <v>-9.6999999999999993</v>
      </c>
      <c r="F131" s="1062" t="e">
        <f>VLOOKUP($F$5,'DE-DEL'!$B:$M,9,FALSE)</f>
        <v>#N/A</v>
      </c>
      <c r="G131" s="1061" t="e">
        <f>VLOOKUP($F$5,'DE-DEL'!$B:$M,10,FALSE)+VLOOKUP($F$5,'DE-DEL'!$B:$M,11,FALSE)</f>
        <v>#N/A</v>
      </c>
      <c r="H131" s="88" t="e">
        <f>D131*F131+E131*G131</f>
        <v>#N/A</v>
      </c>
      <c r="I131" s="354"/>
      <c r="J131" s="354"/>
      <c r="K131" s="222"/>
      <c r="L131" s="222"/>
      <c r="M131" s="222"/>
      <c r="N131" s="222"/>
      <c r="O131" s="222"/>
      <c r="P131" s="222"/>
      <c r="Q131" s="222"/>
    </row>
    <row r="132" spans="2:17" s="223" customFormat="1" ht="25.5" customHeight="1" thickBot="1" x14ac:dyDescent="0.3">
      <c r="C132" s="103"/>
      <c r="D132" s="89" t="s">
        <v>500</v>
      </c>
      <c r="E132" s="90" t="s">
        <v>500</v>
      </c>
      <c r="F132" s="1063" t="s">
        <v>1291</v>
      </c>
      <c r="G132" s="90" t="s">
        <v>1292</v>
      </c>
      <c r="H132" s="87" t="s">
        <v>455</v>
      </c>
      <c r="I132" s="354"/>
      <c r="J132" s="354"/>
      <c r="K132" s="222"/>
      <c r="L132" s="222"/>
      <c r="M132" s="222"/>
      <c r="N132" s="222"/>
      <c r="O132" s="222"/>
      <c r="P132" s="222"/>
      <c r="Q132" s="222"/>
    </row>
    <row r="133" spans="2:17" s="223" customFormat="1" ht="50.1" customHeight="1" thickBot="1" x14ac:dyDescent="0.3">
      <c r="B133" s="1165" t="s">
        <v>1472</v>
      </c>
      <c r="C133" s="379" t="s">
        <v>597</v>
      </c>
      <c r="D133" s="1065">
        <v>-12.58</v>
      </c>
      <c r="E133" s="1070">
        <v>-7.49</v>
      </c>
      <c r="F133" s="1062" t="e">
        <f>VLOOKUP($F$5,'DE-DEL'!$B:$M,9,FALSE)</f>
        <v>#N/A</v>
      </c>
      <c r="G133" s="1061" t="e">
        <f>VLOOKUP($F$5,'DE-DEL'!$B:$M,10,FALSE)+VLOOKUP($F$5,'DE-DEL'!$B:$M,11,FALSE)</f>
        <v>#N/A</v>
      </c>
      <c r="H133" s="88" t="e">
        <f>D133*F133+E133*G133</f>
        <v>#N/A</v>
      </c>
      <c r="I133" s="354"/>
      <c r="J133" s="354"/>
      <c r="K133" s="222"/>
      <c r="L133" s="222"/>
      <c r="M133" s="222"/>
      <c r="N133" s="222"/>
      <c r="O133" s="222"/>
      <c r="P133" s="222"/>
      <c r="Q133" s="222"/>
    </row>
    <row r="134" spans="2:17" s="223" customFormat="1" ht="25.5" customHeight="1" thickBot="1" x14ac:dyDescent="0.3">
      <c r="C134" s="89"/>
      <c r="D134" s="89" t="s">
        <v>500</v>
      </c>
      <c r="E134" s="90" t="s">
        <v>500</v>
      </c>
      <c r="F134" s="1063" t="s">
        <v>1291</v>
      </c>
      <c r="G134" s="90" t="s">
        <v>1292</v>
      </c>
      <c r="H134" s="87" t="s">
        <v>455</v>
      </c>
      <c r="I134" s="354"/>
      <c r="J134" s="354"/>
      <c r="K134" s="222"/>
      <c r="L134" s="222"/>
      <c r="M134" s="222"/>
      <c r="N134" s="222"/>
      <c r="O134" s="222"/>
      <c r="P134" s="222"/>
      <c r="Q134" s="222"/>
    </row>
    <row r="135" spans="2:17" s="223" customFormat="1" ht="50.1" customHeight="1" thickBot="1" x14ac:dyDescent="0.3">
      <c r="B135" s="1165" t="s">
        <v>1472</v>
      </c>
      <c r="C135" s="379" t="s">
        <v>598</v>
      </c>
      <c r="D135" s="1066">
        <v>-1.39</v>
      </c>
      <c r="E135" s="1071">
        <v>0</v>
      </c>
      <c r="F135" s="1062" t="e">
        <f>VLOOKUP($F$5,'DE-DEL'!$B:$M,9,FALSE)</f>
        <v>#N/A</v>
      </c>
      <c r="G135" s="1061" t="e">
        <f>VLOOKUP($F$5,'DE-DEL'!$B:$M,10,FALSE)+VLOOKUP($F$5,'DE-DEL'!$B:$M,11,FALSE)</f>
        <v>#N/A</v>
      </c>
      <c r="H135" s="88" t="e">
        <f>D135*F135+E135*G135</f>
        <v>#N/A</v>
      </c>
      <c r="I135" s="354"/>
      <c r="J135" s="354"/>
      <c r="K135" s="222"/>
      <c r="L135" s="222"/>
      <c r="M135" s="222"/>
      <c r="N135" s="222"/>
      <c r="O135" s="222"/>
      <c r="P135" s="222"/>
      <c r="Q135" s="222"/>
    </row>
    <row r="136" spans="2:17" s="223" customFormat="1" ht="25.5" customHeight="1" thickBot="1" x14ac:dyDescent="0.3">
      <c r="C136" s="102"/>
      <c r="D136" s="1068"/>
      <c r="E136" s="1067"/>
      <c r="F136" s="103"/>
      <c r="G136" s="104"/>
      <c r="H136" s="87" t="s">
        <v>455</v>
      </c>
      <c r="I136" s="354"/>
      <c r="J136" s="354"/>
      <c r="K136" s="222"/>
      <c r="L136" s="222"/>
      <c r="M136" s="222"/>
      <c r="N136" s="222"/>
      <c r="O136" s="222"/>
      <c r="P136" s="222"/>
      <c r="Q136" s="222"/>
    </row>
    <row r="137" spans="2:17" s="223" customFormat="1" ht="25.5" customHeight="1" thickBot="1" x14ac:dyDescent="0.35">
      <c r="B137" s="1165" t="s">
        <v>1473</v>
      </c>
      <c r="C137" s="100" t="s">
        <v>602</v>
      </c>
      <c r="D137" s="85"/>
      <c r="E137" s="86"/>
      <c r="F137" s="85"/>
      <c r="G137" s="86"/>
      <c r="H137" s="84" t="e">
        <f>H121+H123+H125+H127+H129+H131+H133+H135</f>
        <v>#N/A</v>
      </c>
      <c r="I137" s="354"/>
      <c r="J137" s="354"/>
      <c r="K137" s="222"/>
      <c r="L137" s="222"/>
      <c r="M137" s="222"/>
      <c r="N137" s="222"/>
      <c r="O137" s="222"/>
      <c r="P137" s="222"/>
      <c r="Q137" s="222"/>
    </row>
    <row r="138" spans="2:17" s="223" customFormat="1" x14ac:dyDescent="0.25">
      <c r="C138" s="59"/>
      <c r="D138" s="59"/>
      <c r="E138" s="59"/>
      <c r="F138" s="59"/>
      <c r="G138" s="59"/>
      <c r="H138" s="68"/>
      <c r="I138" s="354"/>
      <c r="J138" s="354"/>
      <c r="K138" s="222"/>
      <c r="L138" s="222"/>
      <c r="M138" s="222"/>
      <c r="N138" s="222"/>
      <c r="O138" s="222"/>
      <c r="P138" s="222"/>
      <c r="Q138" s="222"/>
    </row>
    <row r="139" spans="2:17" s="223" customFormat="1" x14ac:dyDescent="0.25">
      <c r="C139" s="59"/>
      <c r="D139" s="59"/>
      <c r="E139" s="59"/>
      <c r="F139" s="59"/>
      <c r="G139" s="59"/>
      <c r="H139" s="68"/>
      <c r="I139" s="354"/>
      <c r="J139" s="354"/>
      <c r="K139" s="222"/>
      <c r="L139" s="222"/>
      <c r="M139" s="222"/>
      <c r="N139" s="222"/>
      <c r="O139" s="222"/>
      <c r="P139" s="222"/>
      <c r="Q139" s="222"/>
    </row>
    <row r="140" spans="2:17" s="223" customFormat="1" x14ac:dyDescent="0.25">
      <c r="C140" s="59"/>
      <c r="D140" s="59"/>
      <c r="E140" s="59"/>
      <c r="F140" s="59"/>
      <c r="G140" s="59"/>
      <c r="H140" s="68"/>
      <c r="I140" s="354"/>
      <c r="J140" s="354"/>
      <c r="K140" s="222"/>
      <c r="L140" s="222"/>
      <c r="M140" s="222"/>
      <c r="N140" s="222"/>
      <c r="O140" s="222"/>
      <c r="P140" s="222"/>
      <c r="Q140" s="222"/>
    </row>
    <row r="141" spans="2:17" s="223" customFormat="1" x14ac:dyDescent="0.25">
      <c r="C141" s="59"/>
      <c r="D141" s="59"/>
      <c r="E141" s="59"/>
      <c r="F141" s="59"/>
      <c r="G141" s="59"/>
      <c r="H141" s="68"/>
      <c r="I141" s="354"/>
      <c r="J141" s="354"/>
      <c r="K141" s="222"/>
      <c r="L141" s="222"/>
      <c r="M141" s="222"/>
      <c r="N141" s="222"/>
      <c r="O141" s="222"/>
      <c r="P141" s="222"/>
      <c r="Q141" s="222"/>
    </row>
    <row r="142" spans="2:17" s="223" customFormat="1" ht="50.1" hidden="1" customHeight="1" thickBot="1" x14ac:dyDescent="0.3">
      <c r="C142" s="1207" t="s">
        <v>1241</v>
      </c>
      <c r="D142" s="1208"/>
      <c r="E142" s="1208"/>
      <c r="F142" s="1208"/>
      <c r="G142" s="1208"/>
      <c r="H142" s="1209"/>
      <c r="I142" s="354"/>
      <c r="J142" s="354"/>
      <c r="K142" s="222"/>
      <c r="L142" s="222"/>
      <c r="M142" s="222"/>
      <c r="N142" s="222"/>
      <c r="O142" s="222"/>
      <c r="P142" s="222"/>
      <c r="Q142" s="222"/>
    </row>
    <row r="143" spans="2:17" s="223" customFormat="1" ht="30.75" hidden="1" thickBot="1" x14ac:dyDescent="0.25">
      <c r="C143" s="102"/>
      <c r="D143" s="72" t="s">
        <v>590</v>
      </c>
      <c r="E143" s="93" t="s">
        <v>591</v>
      </c>
      <c r="F143" s="72" t="s">
        <v>600</v>
      </c>
      <c r="G143" s="93" t="s">
        <v>601</v>
      </c>
      <c r="H143" s="87" t="s">
        <v>455</v>
      </c>
      <c r="I143" s="354"/>
      <c r="J143" s="354"/>
      <c r="K143" s="222"/>
      <c r="L143" s="222"/>
      <c r="M143" s="222"/>
      <c r="N143" s="222"/>
      <c r="O143" s="222"/>
      <c r="P143" s="222"/>
      <c r="Q143" s="222"/>
    </row>
    <row r="144" spans="2:17" s="223" customFormat="1" ht="50.1" hidden="1" customHeight="1" thickBot="1" x14ac:dyDescent="0.25">
      <c r="C144" s="379" t="s">
        <v>596</v>
      </c>
      <c r="D144" s="1064">
        <v>-21.14</v>
      </c>
      <c r="E144" s="1069">
        <v>-21.14</v>
      </c>
      <c r="F144" s="1072" t="e">
        <f>IF($H$137&gt;0,,L$63)</f>
        <v>#N/A</v>
      </c>
      <c r="G144" s="1049" t="e">
        <f>IF($H$137&gt;0,,M$63)</f>
        <v>#N/A</v>
      </c>
      <c r="H144" s="88" t="e">
        <f>D144*F144+E144*G144</f>
        <v>#N/A</v>
      </c>
      <c r="I144" s="354"/>
      <c r="J144" s="354"/>
      <c r="K144" s="222"/>
      <c r="L144" s="222"/>
      <c r="M144" s="222"/>
      <c r="N144" s="222"/>
      <c r="O144" s="222"/>
      <c r="P144" s="222"/>
      <c r="Q144" s="222"/>
    </row>
    <row r="145" spans="3:17" s="223" customFormat="1" ht="25.5" hidden="1" customHeight="1" thickBot="1" x14ac:dyDescent="0.25">
      <c r="C145" s="89"/>
      <c r="D145" s="89" t="s">
        <v>500</v>
      </c>
      <c r="E145" s="90" t="s">
        <v>500</v>
      </c>
      <c r="F145" s="1063" t="s">
        <v>1291</v>
      </c>
      <c r="G145" s="90" t="s">
        <v>1292</v>
      </c>
      <c r="H145" s="87" t="s">
        <v>455</v>
      </c>
      <c r="I145" s="354"/>
      <c r="J145" s="354"/>
      <c r="K145" s="222"/>
      <c r="L145" s="222"/>
      <c r="M145" s="222"/>
      <c r="N145" s="222"/>
      <c r="O145" s="222"/>
      <c r="P145" s="222"/>
      <c r="Q145" s="222"/>
    </row>
    <row r="146" spans="3:17" s="223" customFormat="1" ht="50.1" hidden="1" customHeight="1" thickBot="1" x14ac:dyDescent="0.25">
      <c r="C146" s="379" t="s">
        <v>599</v>
      </c>
      <c r="D146" s="1065">
        <v>-9.6999999999999993</v>
      </c>
      <c r="E146" s="1070">
        <v>-11.93</v>
      </c>
      <c r="F146" s="1072" t="e">
        <f>IF($H$137&gt;0,,L$63)</f>
        <v>#N/A</v>
      </c>
      <c r="G146" s="1049" t="e">
        <f>IF($H$137&gt;0,,M$63)</f>
        <v>#N/A</v>
      </c>
      <c r="H146" s="88" t="e">
        <f>D146*F146+E146*G146</f>
        <v>#N/A</v>
      </c>
      <c r="I146" s="354"/>
      <c r="J146" s="354"/>
      <c r="K146" s="222"/>
      <c r="L146" s="222"/>
      <c r="M146" s="222"/>
      <c r="N146" s="222"/>
      <c r="O146" s="222"/>
      <c r="P146" s="222"/>
      <c r="Q146" s="222"/>
    </row>
    <row r="147" spans="3:17" s="223" customFormat="1" ht="25.5" hidden="1" customHeight="1" thickBot="1" x14ac:dyDescent="0.25">
      <c r="C147" s="103"/>
      <c r="D147" s="89" t="s">
        <v>500</v>
      </c>
      <c r="E147" s="90" t="s">
        <v>500</v>
      </c>
      <c r="F147" s="1063" t="s">
        <v>1291</v>
      </c>
      <c r="G147" s="90" t="s">
        <v>1292</v>
      </c>
      <c r="H147" s="87" t="s">
        <v>455</v>
      </c>
      <c r="I147" s="354"/>
      <c r="J147" s="354"/>
      <c r="K147" s="222"/>
      <c r="L147" s="222"/>
      <c r="M147" s="222"/>
      <c r="N147" s="222"/>
      <c r="O147" s="222"/>
      <c r="P147" s="222"/>
      <c r="Q147" s="222"/>
    </row>
    <row r="148" spans="3:17" s="223" customFormat="1" ht="50.1" hidden="1" customHeight="1" thickBot="1" x14ac:dyDescent="0.25">
      <c r="C148" s="379" t="s">
        <v>1293</v>
      </c>
      <c r="D148" s="1066">
        <v>-21.89</v>
      </c>
      <c r="E148" s="1071">
        <v>-16.8</v>
      </c>
      <c r="F148" s="1072" t="e">
        <f>IF($H$137&gt;0,,L$63)</f>
        <v>#N/A</v>
      </c>
      <c r="G148" s="1049" t="e">
        <f>IF($H$137&gt;0,,M$63)</f>
        <v>#N/A</v>
      </c>
      <c r="H148" s="88" t="e">
        <f>D148*F148+E148*G148</f>
        <v>#N/A</v>
      </c>
      <c r="I148" s="354"/>
      <c r="J148" s="354"/>
      <c r="K148" s="222"/>
      <c r="L148" s="222"/>
      <c r="M148" s="222"/>
      <c r="N148" s="222"/>
      <c r="O148" s="222"/>
      <c r="P148" s="222"/>
      <c r="Q148" s="222"/>
    </row>
    <row r="149" spans="3:17" s="223" customFormat="1" ht="25.5" hidden="1" customHeight="1" thickBot="1" x14ac:dyDescent="0.25">
      <c r="C149" s="101"/>
      <c r="D149" s="1074"/>
      <c r="E149" s="1073"/>
      <c r="F149" s="89"/>
      <c r="G149" s="90"/>
      <c r="H149" s="87" t="s">
        <v>455</v>
      </c>
      <c r="I149" s="354"/>
      <c r="J149" s="354"/>
      <c r="K149" s="222"/>
      <c r="L149" s="222"/>
      <c r="M149" s="222"/>
      <c r="N149" s="222"/>
      <c r="O149" s="222"/>
      <c r="P149" s="222"/>
      <c r="Q149" s="222"/>
    </row>
    <row r="150" spans="3:17" s="223" customFormat="1" ht="25.5" hidden="1" customHeight="1" thickBot="1" x14ac:dyDescent="0.3">
      <c r="C150" s="100" t="s">
        <v>603</v>
      </c>
      <c r="D150" s="85"/>
      <c r="E150" s="86"/>
      <c r="F150" s="85"/>
      <c r="G150" s="86"/>
      <c r="H150" s="84" t="e">
        <f>H148+H146+H144</f>
        <v>#N/A</v>
      </c>
      <c r="I150" s="354"/>
      <c r="J150" s="354"/>
      <c r="K150" s="222"/>
      <c r="L150" s="222"/>
      <c r="M150" s="222"/>
      <c r="N150" s="222"/>
      <c r="O150" s="222"/>
      <c r="P150" s="222"/>
      <c r="Q150" s="222"/>
    </row>
    <row r="151" spans="3:17" s="223" customFormat="1" ht="12.75" hidden="1" x14ac:dyDescent="0.2">
      <c r="H151" s="354"/>
      <c r="I151" s="354"/>
      <c r="J151" s="354"/>
      <c r="K151" s="222"/>
      <c r="L151" s="222"/>
      <c r="M151" s="222"/>
      <c r="N151" s="222"/>
      <c r="O151" s="222"/>
      <c r="P151" s="222"/>
      <c r="Q151" s="222"/>
    </row>
    <row r="152" spans="3:17" s="223" customFormat="1" x14ac:dyDescent="0.25">
      <c r="H152" s="354"/>
      <c r="I152" s="354"/>
      <c r="J152" s="354"/>
      <c r="K152" s="222"/>
      <c r="L152" s="222"/>
      <c r="M152" s="222"/>
      <c r="N152" s="222"/>
      <c r="O152" s="222"/>
      <c r="P152" s="222"/>
      <c r="Q152" s="222"/>
    </row>
    <row r="153" spans="3:17" s="223" customFormat="1" x14ac:dyDescent="0.25">
      <c r="H153" s="354"/>
      <c r="I153" s="354"/>
      <c r="J153" s="354"/>
      <c r="K153" s="222"/>
      <c r="L153" s="222"/>
      <c r="M153" s="222"/>
      <c r="N153" s="222"/>
      <c r="O153" s="222"/>
      <c r="P153" s="222"/>
      <c r="Q153" s="222"/>
    </row>
    <row r="154" spans="3:17" s="223" customFormat="1" x14ac:dyDescent="0.25">
      <c r="H154" s="354"/>
      <c r="I154" s="354"/>
      <c r="J154" s="354"/>
      <c r="K154" s="222"/>
      <c r="L154" s="222"/>
      <c r="M154" s="222"/>
      <c r="N154" s="222"/>
      <c r="O154" s="222"/>
      <c r="P154" s="222"/>
      <c r="Q154" s="222"/>
    </row>
    <row r="155" spans="3:17" s="223" customFormat="1" x14ac:dyDescent="0.25">
      <c r="H155" s="354"/>
      <c r="I155" s="354"/>
      <c r="J155" s="354"/>
      <c r="K155" s="222"/>
      <c r="L155" s="222"/>
      <c r="M155" s="222"/>
      <c r="N155" s="222"/>
      <c r="O155" s="222"/>
      <c r="P155" s="222"/>
      <c r="Q155" s="222"/>
    </row>
    <row r="156" spans="3:17" s="223" customFormat="1" x14ac:dyDescent="0.25">
      <c r="H156" s="354"/>
      <c r="I156" s="354"/>
      <c r="J156" s="354"/>
      <c r="K156" s="222"/>
      <c r="L156" s="222"/>
      <c r="M156" s="222"/>
      <c r="N156" s="222"/>
      <c r="O156" s="222"/>
      <c r="P156" s="222"/>
      <c r="Q156" s="222"/>
    </row>
    <row r="157" spans="3:17" s="223" customFormat="1" x14ac:dyDescent="0.25">
      <c r="H157" s="354"/>
      <c r="I157" s="354"/>
      <c r="J157" s="354"/>
      <c r="K157" s="222"/>
      <c r="L157" s="222"/>
      <c r="M157" s="222"/>
      <c r="N157" s="222"/>
      <c r="O157" s="222"/>
      <c r="P157" s="222"/>
      <c r="Q157" s="222"/>
    </row>
    <row r="158" spans="3:17" s="223" customFormat="1" x14ac:dyDescent="0.25">
      <c r="H158" s="354"/>
      <c r="I158" s="354"/>
      <c r="J158" s="354"/>
      <c r="K158" s="222"/>
      <c r="L158" s="222"/>
      <c r="M158" s="222"/>
      <c r="N158" s="222"/>
      <c r="O158" s="222"/>
      <c r="P158" s="222"/>
      <c r="Q158" s="222"/>
    </row>
    <row r="159" spans="3:17" s="223" customFormat="1" x14ac:dyDescent="0.25">
      <c r="H159" s="354"/>
      <c r="I159" s="354"/>
      <c r="J159" s="354"/>
      <c r="K159" s="222"/>
      <c r="L159" s="222"/>
      <c r="M159" s="222"/>
      <c r="N159" s="222"/>
      <c r="O159" s="222"/>
      <c r="P159" s="222"/>
      <c r="Q159" s="222"/>
    </row>
    <row r="160" spans="3:17" s="223" customFormat="1" x14ac:dyDescent="0.25">
      <c r="H160" s="354"/>
      <c r="I160" s="354"/>
      <c r="J160" s="354"/>
      <c r="K160" s="222"/>
      <c r="L160" s="222"/>
      <c r="M160" s="222"/>
      <c r="N160" s="222"/>
      <c r="O160" s="222"/>
      <c r="P160" s="222"/>
      <c r="Q160" s="222"/>
    </row>
    <row r="161" spans="8:17" s="223" customFormat="1" x14ac:dyDescent="0.25">
      <c r="H161" s="354"/>
      <c r="I161" s="354"/>
      <c r="J161" s="354"/>
      <c r="K161" s="222"/>
      <c r="L161" s="222"/>
      <c r="M161" s="222"/>
      <c r="N161" s="222"/>
      <c r="O161" s="222"/>
      <c r="P161" s="222"/>
      <c r="Q161" s="222"/>
    </row>
    <row r="162" spans="8:17" s="223" customFormat="1" x14ac:dyDescent="0.25">
      <c r="H162" s="354"/>
      <c r="I162" s="354"/>
      <c r="J162" s="354"/>
      <c r="K162" s="222"/>
      <c r="L162" s="222"/>
      <c r="M162" s="222"/>
      <c r="N162" s="222"/>
      <c r="O162" s="222"/>
      <c r="P162" s="222"/>
      <c r="Q162" s="222"/>
    </row>
    <row r="163" spans="8:17" s="223" customFormat="1" x14ac:dyDescent="0.25">
      <c r="H163" s="354"/>
      <c r="I163" s="354"/>
      <c r="J163" s="354"/>
      <c r="K163" s="222"/>
      <c r="L163" s="222"/>
      <c r="M163" s="222"/>
      <c r="N163" s="222"/>
      <c r="O163" s="222"/>
      <c r="P163" s="222"/>
      <c r="Q163" s="222"/>
    </row>
    <row r="164" spans="8:17" s="223" customFormat="1" x14ac:dyDescent="0.25">
      <c r="H164" s="354"/>
      <c r="I164" s="354"/>
      <c r="J164" s="354"/>
      <c r="K164" s="222"/>
      <c r="L164" s="222"/>
      <c r="M164" s="222"/>
      <c r="N164" s="222"/>
      <c r="O164" s="222"/>
      <c r="P164" s="222"/>
      <c r="Q164" s="222"/>
    </row>
    <row r="165" spans="8:17" s="223" customFormat="1" x14ac:dyDescent="0.25">
      <c r="H165" s="354"/>
      <c r="I165" s="354"/>
      <c r="J165" s="354"/>
      <c r="K165" s="222"/>
      <c r="L165" s="222"/>
      <c r="M165" s="222"/>
      <c r="N165" s="222"/>
      <c r="O165" s="222"/>
      <c r="P165" s="222"/>
      <c r="Q165" s="222"/>
    </row>
    <row r="166" spans="8:17" s="223" customFormat="1" x14ac:dyDescent="0.25">
      <c r="H166" s="354"/>
      <c r="I166" s="354"/>
      <c r="J166" s="354"/>
      <c r="K166" s="222"/>
      <c r="L166" s="222"/>
      <c r="M166" s="222"/>
      <c r="N166" s="222"/>
      <c r="O166" s="222"/>
      <c r="P166" s="222"/>
      <c r="Q166" s="222"/>
    </row>
    <row r="167" spans="8:17" s="223" customFormat="1" x14ac:dyDescent="0.25">
      <c r="H167" s="354"/>
      <c r="I167" s="354"/>
      <c r="J167" s="354"/>
      <c r="K167" s="222"/>
      <c r="L167" s="222"/>
      <c r="M167" s="222"/>
      <c r="N167" s="222"/>
      <c r="O167" s="222"/>
      <c r="P167" s="222"/>
      <c r="Q167" s="222"/>
    </row>
    <row r="168" spans="8:17" s="223" customFormat="1" x14ac:dyDescent="0.25">
      <c r="H168" s="354"/>
      <c r="I168" s="354"/>
      <c r="J168" s="354"/>
      <c r="K168" s="222"/>
      <c r="L168" s="222"/>
      <c r="M168" s="222"/>
      <c r="N168" s="222"/>
      <c r="O168" s="222"/>
      <c r="P168" s="222"/>
      <c r="Q168" s="222"/>
    </row>
    <row r="169" spans="8:17" s="223" customFormat="1" x14ac:dyDescent="0.25">
      <c r="H169" s="354"/>
      <c r="I169" s="354"/>
      <c r="J169" s="354"/>
      <c r="K169" s="222"/>
      <c r="L169" s="222"/>
      <c r="M169" s="222"/>
      <c r="N169" s="222"/>
      <c r="O169" s="222"/>
      <c r="P169" s="222"/>
      <c r="Q169" s="222"/>
    </row>
    <row r="170" spans="8:17" s="223" customFormat="1" x14ac:dyDescent="0.25">
      <c r="H170" s="354"/>
      <c r="I170" s="354"/>
      <c r="J170" s="354"/>
      <c r="K170" s="222"/>
      <c r="L170" s="222"/>
      <c r="M170" s="222"/>
      <c r="N170" s="222"/>
      <c r="O170" s="222"/>
      <c r="P170" s="222"/>
      <c r="Q170" s="222"/>
    </row>
    <row r="171" spans="8:17" s="223" customFormat="1" x14ac:dyDescent="0.25">
      <c r="H171" s="354"/>
      <c r="I171" s="354"/>
      <c r="J171" s="354"/>
      <c r="K171" s="222"/>
      <c r="L171" s="222"/>
      <c r="M171" s="222"/>
      <c r="N171" s="222"/>
      <c r="O171" s="222"/>
      <c r="P171" s="222"/>
      <c r="Q171" s="222"/>
    </row>
    <row r="172" spans="8:17" s="223" customFormat="1" x14ac:dyDescent="0.25">
      <c r="H172" s="354"/>
      <c r="I172" s="354"/>
      <c r="J172" s="354"/>
      <c r="K172" s="222"/>
      <c r="L172" s="222"/>
      <c r="M172" s="222"/>
      <c r="N172" s="222"/>
      <c r="O172" s="222"/>
      <c r="P172" s="222"/>
      <c r="Q172" s="222"/>
    </row>
    <row r="173" spans="8:17" s="223" customFormat="1" x14ac:dyDescent="0.25">
      <c r="H173" s="354"/>
      <c r="I173" s="354"/>
      <c r="J173" s="354"/>
      <c r="K173" s="222"/>
      <c r="L173" s="222"/>
      <c r="M173" s="222"/>
      <c r="N173" s="222"/>
      <c r="O173" s="222"/>
      <c r="P173" s="222"/>
      <c r="Q173" s="222"/>
    </row>
    <row r="174" spans="8:17" s="223" customFormat="1" x14ac:dyDescent="0.25">
      <c r="H174" s="354"/>
      <c r="I174" s="354"/>
      <c r="J174" s="354"/>
      <c r="K174" s="222"/>
      <c r="L174" s="222"/>
      <c r="M174" s="222"/>
      <c r="N174" s="222"/>
      <c r="O174" s="222"/>
      <c r="P174" s="222"/>
      <c r="Q174" s="222"/>
    </row>
    <row r="175" spans="8:17" s="223" customFormat="1" x14ac:dyDescent="0.25">
      <c r="H175" s="354"/>
      <c r="I175" s="354"/>
      <c r="J175" s="354"/>
      <c r="K175" s="222"/>
      <c r="L175" s="222"/>
      <c r="M175" s="222"/>
      <c r="N175" s="222"/>
      <c r="O175" s="222"/>
      <c r="P175" s="222"/>
      <c r="Q175" s="222"/>
    </row>
    <row r="176" spans="8:17" s="223" customFormat="1" x14ac:dyDescent="0.25">
      <c r="H176" s="354"/>
      <c r="I176" s="354"/>
      <c r="J176" s="354"/>
      <c r="K176" s="222"/>
      <c r="L176" s="222"/>
      <c r="M176" s="222"/>
      <c r="N176" s="222"/>
      <c r="O176" s="222"/>
      <c r="P176" s="222"/>
      <c r="Q176" s="222"/>
    </row>
    <row r="177" spans="8:17" s="223" customFormat="1" x14ac:dyDescent="0.25">
      <c r="H177" s="354"/>
      <c r="I177" s="354"/>
      <c r="J177" s="354"/>
      <c r="K177" s="222"/>
      <c r="L177" s="222"/>
      <c r="M177" s="222"/>
      <c r="N177" s="222"/>
      <c r="O177" s="222"/>
      <c r="P177" s="222"/>
      <c r="Q177" s="222"/>
    </row>
    <row r="178" spans="8:17" s="223" customFormat="1" x14ac:dyDescent="0.25">
      <c r="H178" s="354"/>
      <c r="I178" s="354"/>
      <c r="J178" s="354"/>
      <c r="K178" s="222"/>
      <c r="L178" s="222"/>
      <c r="M178" s="222"/>
      <c r="N178" s="222"/>
      <c r="O178" s="222"/>
      <c r="P178" s="222"/>
      <c r="Q178" s="222"/>
    </row>
    <row r="179" spans="8:17" s="223" customFormat="1" x14ac:dyDescent="0.25">
      <c r="H179" s="354"/>
      <c r="I179" s="354"/>
      <c r="J179" s="354"/>
      <c r="K179" s="222"/>
      <c r="L179" s="222"/>
      <c r="M179" s="222"/>
      <c r="N179" s="222"/>
      <c r="O179" s="222"/>
      <c r="P179" s="222"/>
      <c r="Q179" s="222"/>
    </row>
    <row r="180" spans="8:17" s="223" customFormat="1" x14ac:dyDescent="0.25">
      <c r="H180" s="354"/>
      <c r="I180" s="354"/>
      <c r="J180" s="354"/>
      <c r="K180" s="222"/>
      <c r="L180" s="222"/>
      <c r="M180" s="222"/>
      <c r="N180" s="222"/>
      <c r="O180" s="222"/>
      <c r="P180" s="222"/>
      <c r="Q180" s="222"/>
    </row>
    <row r="181" spans="8:17" s="223" customFormat="1" x14ac:dyDescent="0.25">
      <c r="H181" s="354"/>
      <c r="I181" s="354"/>
      <c r="J181" s="354"/>
      <c r="K181" s="222"/>
      <c r="L181" s="222"/>
      <c r="M181" s="222"/>
      <c r="N181" s="222"/>
      <c r="O181" s="222"/>
      <c r="P181" s="222"/>
      <c r="Q181" s="222"/>
    </row>
    <row r="182" spans="8:17" s="223" customFormat="1" x14ac:dyDescent="0.25">
      <c r="H182" s="354"/>
      <c r="I182" s="354"/>
      <c r="J182" s="354"/>
      <c r="K182" s="222"/>
      <c r="L182" s="222"/>
      <c r="M182" s="222"/>
      <c r="N182" s="222"/>
      <c r="O182" s="222"/>
      <c r="P182" s="222"/>
      <c r="Q182" s="222"/>
    </row>
    <row r="183" spans="8:17" s="223" customFormat="1" x14ac:dyDescent="0.25">
      <c r="H183" s="354"/>
      <c r="I183" s="354"/>
      <c r="J183" s="354"/>
      <c r="K183" s="222"/>
      <c r="L183" s="222"/>
      <c r="M183" s="222"/>
      <c r="N183" s="222"/>
      <c r="O183" s="222"/>
      <c r="P183" s="222"/>
      <c r="Q183" s="222"/>
    </row>
    <row r="184" spans="8:17" s="223" customFormat="1" x14ac:dyDescent="0.25">
      <c r="H184" s="354"/>
      <c r="I184" s="354"/>
      <c r="J184" s="354"/>
      <c r="K184" s="222"/>
      <c r="L184" s="222"/>
      <c r="M184" s="222"/>
      <c r="N184" s="222"/>
      <c r="O184" s="222"/>
      <c r="P184" s="222"/>
      <c r="Q184" s="222"/>
    </row>
    <row r="185" spans="8:17" s="223" customFormat="1" x14ac:dyDescent="0.25">
      <c r="H185" s="354"/>
      <c r="I185" s="354"/>
      <c r="J185" s="354"/>
      <c r="K185" s="222"/>
      <c r="L185" s="222"/>
      <c r="M185" s="222"/>
      <c r="N185" s="222"/>
      <c r="O185" s="222"/>
      <c r="P185" s="222"/>
      <c r="Q185" s="222"/>
    </row>
    <row r="186" spans="8:17" s="223" customFormat="1" x14ac:dyDescent="0.25">
      <c r="H186" s="354"/>
      <c r="I186" s="354"/>
      <c r="J186" s="354"/>
      <c r="K186" s="222"/>
      <c r="L186" s="222"/>
      <c r="M186" s="222"/>
      <c r="N186" s="222"/>
      <c r="O186" s="222"/>
      <c r="P186" s="222"/>
      <c r="Q186" s="222"/>
    </row>
    <row r="187" spans="8:17" s="223" customFormat="1" x14ac:dyDescent="0.25">
      <c r="H187" s="354"/>
      <c r="I187" s="354"/>
      <c r="J187" s="354"/>
      <c r="K187" s="222"/>
      <c r="L187" s="222"/>
      <c r="M187" s="222"/>
      <c r="N187" s="222"/>
      <c r="O187" s="222"/>
      <c r="P187" s="222"/>
      <c r="Q187" s="222"/>
    </row>
    <row r="188" spans="8:17" s="223" customFormat="1" x14ac:dyDescent="0.25">
      <c r="H188" s="354"/>
      <c r="I188" s="354"/>
      <c r="J188" s="354"/>
      <c r="K188" s="222"/>
      <c r="L188" s="222"/>
      <c r="M188" s="222"/>
      <c r="N188" s="222"/>
      <c r="O188" s="222"/>
      <c r="P188" s="222"/>
      <c r="Q188" s="222"/>
    </row>
    <row r="189" spans="8:17" s="223" customFormat="1" x14ac:dyDescent="0.25">
      <c r="H189" s="354"/>
      <c r="I189" s="354"/>
      <c r="J189" s="354"/>
      <c r="K189" s="222"/>
      <c r="L189" s="222"/>
      <c r="M189" s="222"/>
      <c r="N189" s="222"/>
      <c r="O189" s="222"/>
      <c r="P189" s="222"/>
      <c r="Q189" s="222"/>
    </row>
    <row r="190" spans="8:17" s="223" customFormat="1" x14ac:dyDescent="0.25">
      <c r="H190" s="354"/>
      <c r="I190" s="354"/>
      <c r="J190" s="354"/>
      <c r="K190" s="222"/>
      <c r="L190" s="222"/>
      <c r="M190" s="222"/>
      <c r="N190" s="222"/>
      <c r="O190" s="222"/>
      <c r="P190" s="222"/>
      <c r="Q190" s="222"/>
    </row>
    <row r="191" spans="8:17" s="223" customFormat="1" x14ac:dyDescent="0.25">
      <c r="H191" s="354"/>
      <c r="I191" s="354"/>
      <c r="J191" s="354"/>
      <c r="K191" s="222"/>
      <c r="L191" s="222"/>
      <c r="M191" s="222"/>
      <c r="N191" s="222"/>
      <c r="O191" s="222"/>
      <c r="P191" s="222"/>
      <c r="Q191" s="222"/>
    </row>
    <row r="192" spans="8:17" s="223" customFormat="1" x14ac:dyDescent="0.25">
      <c r="H192" s="354"/>
      <c r="I192" s="354"/>
      <c r="J192" s="354"/>
      <c r="K192" s="222"/>
      <c r="L192" s="222"/>
      <c r="M192" s="222"/>
      <c r="N192" s="222"/>
      <c r="O192" s="222"/>
      <c r="P192" s="222"/>
      <c r="Q192" s="222"/>
    </row>
    <row r="193" spans="8:17" s="223" customFormat="1" x14ac:dyDescent="0.25">
      <c r="H193" s="354"/>
      <c r="I193" s="354"/>
      <c r="J193" s="354"/>
      <c r="K193" s="222"/>
      <c r="L193" s="222"/>
      <c r="M193" s="222"/>
      <c r="N193" s="222"/>
      <c r="O193" s="222"/>
      <c r="P193" s="222"/>
      <c r="Q193" s="222"/>
    </row>
    <row r="194" spans="8:17" s="223" customFormat="1" x14ac:dyDescent="0.25">
      <c r="H194" s="354"/>
      <c r="I194" s="354"/>
      <c r="J194" s="354"/>
      <c r="K194" s="222"/>
      <c r="L194" s="222"/>
      <c r="M194" s="222"/>
      <c r="N194" s="222"/>
      <c r="O194" s="222"/>
      <c r="P194" s="222"/>
      <c r="Q194" s="222"/>
    </row>
    <row r="195" spans="8:17" s="223" customFormat="1" x14ac:dyDescent="0.25">
      <c r="H195" s="354"/>
      <c r="I195" s="354"/>
      <c r="J195" s="354"/>
      <c r="K195" s="222"/>
      <c r="L195" s="222"/>
      <c r="M195" s="222"/>
      <c r="N195" s="222"/>
      <c r="O195" s="222"/>
      <c r="P195" s="222"/>
      <c r="Q195" s="222"/>
    </row>
    <row r="196" spans="8:17" s="223" customFormat="1" x14ac:dyDescent="0.25">
      <c r="H196" s="354"/>
      <c r="I196" s="354"/>
      <c r="J196" s="354"/>
      <c r="K196" s="222"/>
      <c r="L196" s="222"/>
      <c r="M196" s="222"/>
      <c r="N196" s="222"/>
      <c r="O196" s="222"/>
      <c r="P196" s="222"/>
      <c r="Q196" s="222"/>
    </row>
    <row r="197" spans="8:17" s="223" customFormat="1" x14ac:dyDescent="0.25">
      <c r="H197" s="354"/>
      <c r="I197" s="354"/>
      <c r="J197" s="354"/>
      <c r="K197" s="222"/>
      <c r="L197" s="222"/>
      <c r="M197" s="222"/>
      <c r="N197" s="222"/>
      <c r="O197" s="222"/>
      <c r="P197" s="222"/>
      <c r="Q197" s="222"/>
    </row>
    <row r="198" spans="8:17" s="223" customFormat="1" x14ac:dyDescent="0.25">
      <c r="H198" s="354"/>
      <c r="I198" s="354"/>
      <c r="J198" s="354"/>
      <c r="K198" s="222"/>
      <c r="L198" s="222"/>
      <c r="M198" s="222"/>
      <c r="N198" s="222"/>
      <c r="O198" s="222"/>
      <c r="P198" s="222"/>
      <c r="Q198" s="222"/>
    </row>
    <row r="199" spans="8:17" s="223" customFormat="1" x14ac:dyDescent="0.25">
      <c r="H199" s="354"/>
      <c r="I199" s="354"/>
      <c r="J199" s="354"/>
      <c r="K199" s="222"/>
      <c r="L199" s="222"/>
      <c r="M199" s="222"/>
      <c r="N199" s="222"/>
      <c r="O199" s="222"/>
      <c r="P199" s="222"/>
      <c r="Q199" s="222"/>
    </row>
    <row r="200" spans="8:17" s="223" customFormat="1" x14ac:dyDescent="0.25">
      <c r="H200" s="354"/>
      <c r="I200" s="354"/>
      <c r="J200" s="354"/>
      <c r="K200" s="222"/>
      <c r="L200" s="222"/>
      <c r="M200" s="222"/>
      <c r="N200" s="222"/>
      <c r="O200" s="222"/>
      <c r="P200" s="222"/>
      <c r="Q200" s="222"/>
    </row>
    <row r="201" spans="8:17" s="223" customFormat="1" x14ac:dyDescent="0.25">
      <c r="H201" s="354"/>
      <c r="I201" s="354"/>
      <c r="J201" s="354"/>
      <c r="K201" s="222"/>
      <c r="L201" s="222"/>
      <c r="M201" s="222"/>
      <c r="N201" s="222"/>
      <c r="O201" s="222"/>
      <c r="P201" s="222"/>
      <c r="Q201" s="222"/>
    </row>
    <row r="202" spans="8:17" s="223" customFormat="1" x14ac:dyDescent="0.25">
      <c r="H202" s="354"/>
      <c r="I202" s="354"/>
      <c r="J202" s="354"/>
      <c r="K202" s="222"/>
      <c r="L202" s="222"/>
      <c r="M202" s="222"/>
      <c r="N202" s="222"/>
      <c r="O202" s="222"/>
      <c r="P202" s="222"/>
      <c r="Q202" s="222"/>
    </row>
    <row r="203" spans="8:17" s="223" customFormat="1" x14ac:dyDescent="0.25">
      <c r="H203" s="354"/>
      <c r="I203" s="354"/>
      <c r="J203" s="354"/>
      <c r="K203" s="222"/>
      <c r="L203" s="222"/>
      <c r="M203" s="222"/>
      <c r="N203" s="222"/>
      <c r="O203" s="222"/>
      <c r="P203" s="222"/>
      <c r="Q203" s="222"/>
    </row>
    <row r="204" spans="8:17" s="223" customFormat="1" x14ac:dyDescent="0.25">
      <c r="H204" s="354"/>
      <c r="I204" s="354"/>
      <c r="J204" s="354"/>
      <c r="K204" s="222"/>
      <c r="L204" s="222"/>
      <c r="M204" s="222"/>
      <c r="N204" s="222"/>
      <c r="O204" s="222"/>
      <c r="P204" s="222"/>
      <c r="Q204" s="222"/>
    </row>
    <row r="205" spans="8:17" s="223" customFormat="1" x14ac:dyDescent="0.25">
      <c r="H205" s="354"/>
      <c r="I205" s="354"/>
      <c r="J205" s="354"/>
      <c r="K205" s="222"/>
      <c r="L205" s="222"/>
      <c r="M205" s="222"/>
      <c r="N205" s="222"/>
      <c r="O205" s="222"/>
      <c r="P205" s="222"/>
      <c r="Q205" s="222"/>
    </row>
    <row r="206" spans="8:17" s="223" customFormat="1" x14ac:dyDescent="0.25">
      <c r="H206" s="354"/>
      <c r="I206" s="354"/>
      <c r="J206" s="354"/>
      <c r="K206" s="222"/>
      <c r="L206" s="222"/>
      <c r="M206" s="222"/>
      <c r="N206" s="222"/>
      <c r="O206" s="222"/>
      <c r="P206" s="222"/>
      <c r="Q206" s="222"/>
    </row>
    <row r="207" spans="8:17" s="223" customFormat="1" x14ac:dyDescent="0.25">
      <c r="H207" s="354"/>
      <c r="I207" s="354"/>
      <c r="J207" s="354"/>
      <c r="K207" s="222"/>
      <c r="L207" s="222"/>
      <c r="M207" s="222"/>
      <c r="N207" s="222"/>
      <c r="O207" s="222"/>
      <c r="P207" s="222"/>
      <c r="Q207" s="222"/>
    </row>
    <row r="208" spans="8:17" s="223" customFormat="1" x14ac:dyDescent="0.25">
      <c r="H208" s="354"/>
      <c r="I208" s="354"/>
      <c r="J208" s="354"/>
      <c r="K208" s="222"/>
      <c r="L208" s="222"/>
      <c r="M208" s="222"/>
      <c r="N208" s="222"/>
      <c r="O208" s="222"/>
      <c r="P208" s="222"/>
      <c r="Q208" s="222"/>
    </row>
    <row r="209" spans="8:17" s="223" customFormat="1" x14ac:dyDescent="0.25">
      <c r="H209" s="354"/>
      <c r="I209" s="354"/>
      <c r="J209" s="354"/>
      <c r="K209" s="222"/>
      <c r="L209" s="222"/>
      <c r="M209" s="222"/>
      <c r="N209" s="222"/>
      <c r="O209" s="222"/>
      <c r="P209" s="222"/>
      <c r="Q209" s="222"/>
    </row>
    <row r="210" spans="8:17" s="223" customFormat="1" x14ac:dyDescent="0.25">
      <c r="H210" s="354"/>
      <c r="I210" s="354"/>
      <c r="J210" s="354"/>
      <c r="K210" s="222"/>
      <c r="L210" s="222"/>
      <c r="M210" s="222"/>
      <c r="N210" s="222"/>
      <c r="O210" s="222"/>
      <c r="P210" s="222"/>
      <c r="Q210" s="222"/>
    </row>
    <row r="211" spans="8:17" s="223" customFormat="1" x14ac:dyDescent="0.25">
      <c r="H211" s="354"/>
      <c r="I211" s="354"/>
      <c r="J211" s="354"/>
      <c r="K211" s="222"/>
      <c r="L211" s="222"/>
      <c r="M211" s="222"/>
      <c r="N211" s="222"/>
      <c r="O211" s="222"/>
      <c r="P211" s="222"/>
      <c r="Q211" s="222"/>
    </row>
    <row r="212" spans="8:17" s="223" customFormat="1" x14ac:dyDescent="0.25">
      <c r="H212" s="354"/>
      <c r="I212" s="354"/>
      <c r="J212" s="354"/>
      <c r="K212" s="222"/>
      <c r="L212" s="222"/>
      <c r="M212" s="222"/>
      <c r="N212" s="222"/>
      <c r="O212" s="222"/>
      <c r="P212" s="222"/>
      <c r="Q212" s="222"/>
    </row>
    <row r="213" spans="8:17" s="223" customFormat="1" x14ac:dyDescent="0.25">
      <c r="H213" s="354"/>
      <c r="I213" s="354"/>
      <c r="J213" s="354"/>
      <c r="K213" s="222"/>
      <c r="L213" s="222"/>
      <c r="M213" s="222"/>
      <c r="N213" s="222"/>
      <c r="O213" s="222"/>
      <c r="P213" s="222"/>
      <c r="Q213" s="222"/>
    </row>
    <row r="214" spans="8:17" s="223" customFormat="1" x14ac:dyDescent="0.25">
      <c r="H214" s="354"/>
      <c r="I214" s="354"/>
      <c r="J214" s="354"/>
      <c r="K214" s="222"/>
      <c r="L214" s="222"/>
      <c r="M214" s="222"/>
      <c r="N214" s="222"/>
      <c r="O214" s="222"/>
      <c r="P214" s="222"/>
      <c r="Q214" s="222"/>
    </row>
    <row r="215" spans="8:17" s="223" customFormat="1" x14ac:dyDescent="0.25">
      <c r="H215" s="354"/>
      <c r="I215" s="354"/>
      <c r="J215" s="354"/>
      <c r="K215" s="222"/>
      <c r="L215" s="222"/>
      <c r="M215" s="222"/>
      <c r="N215" s="222"/>
      <c r="O215" s="222"/>
      <c r="P215" s="222"/>
      <c r="Q215" s="222"/>
    </row>
    <row r="216" spans="8:17" s="223" customFormat="1" x14ac:dyDescent="0.25">
      <c r="H216" s="354"/>
      <c r="I216" s="354"/>
      <c r="J216" s="354"/>
      <c r="K216" s="222"/>
      <c r="L216" s="222"/>
      <c r="M216" s="222"/>
      <c r="N216" s="222"/>
      <c r="O216" s="222"/>
      <c r="P216" s="222"/>
      <c r="Q216" s="222"/>
    </row>
    <row r="217" spans="8:17" s="223" customFormat="1" x14ac:dyDescent="0.25">
      <c r="H217" s="354"/>
      <c r="I217" s="354"/>
      <c r="J217" s="354"/>
      <c r="K217" s="222"/>
      <c r="L217" s="222"/>
      <c r="M217" s="222"/>
      <c r="N217" s="222"/>
      <c r="O217" s="222"/>
      <c r="P217" s="222"/>
      <c r="Q217" s="222"/>
    </row>
    <row r="218" spans="8:17" s="223" customFormat="1" x14ac:dyDescent="0.25">
      <c r="H218" s="354"/>
      <c r="I218" s="354"/>
      <c r="J218" s="354"/>
      <c r="K218" s="222"/>
      <c r="L218" s="222"/>
      <c r="M218" s="222"/>
      <c r="N218" s="222"/>
      <c r="O218" s="222"/>
      <c r="P218" s="222"/>
      <c r="Q218" s="222"/>
    </row>
    <row r="219" spans="8:17" s="223" customFormat="1" x14ac:dyDescent="0.25">
      <c r="H219" s="354"/>
      <c r="I219" s="354"/>
      <c r="J219" s="354"/>
      <c r="K219" s="222"/>
      <c r="L219" s="222"/>
      <c r="M219" s="222"/>
      <c r="N219" s="222"/>
      <c r="O219" s="222"/>
      <c r="P219" s="222"/>
      <c r="Q219" s="222"/>
    </row>
    <row r="220" spans="8:17" s="223" customFormat="1" x14ac:dyDescent="0.25">
      <c r="H220" s="354"/>
      <c r="I220" s="354"/>
      <c r="J220" s="354"/>
      <c r="K220" s="222"/>
      <c r="L220" s="222"/>
      <c r="M220" s="222"/>
      <c r="N220" s="222"/>
      <c r="O220" s="222"/>
      <c r="P220" s="222"/>
      <c r="Q220" s="222"/>
    </row>
    <row r="221" spans="8:17" s="223" customFormat="1" x14ac:dyDescent="0.25">
      <c r="H221" s="354"/>
      <c r="I221" s="354"/>
      <c r="J221" s="354"/>
      <c r="K221" s="222"/>
      <c r="L221" s="222"/>
      <c r="M221" s="222"/>
      <c r="N221" s="222"/>
      <c r="O221" s="222"/>
      <c r="P221" s="222"/>
      <c r="Q221" s="222"/>
    </row>
    <row r="222" spans="8:17" s="223" customFormat="1" x14ac:dyDescent="0.25">
      <c r="H222" s="354"/>
      <c r="I222" s="354"/>
      <c r="J222" s="354"/>
      <c r="K222" s="222"/>
      <c r="L222" s="222"/>
      <c r="M222" s="222"/>
      <c r="N222" s="222"/>
      <c r="O222" s="222"/>
      <c r="P222" s="222"/>
      <c r="Q222" s="222"/>
    </row>
    <row r="223" spans="8:17" s="223" customFormat="1" x14ac:dyDescent="0.25">
      <c r="H223" s="354"/>
      <c r="I223" s="354"/>
      <c r="J223" s="354"/>
      <c r="K223" s="222"/>
      <c r="L223" s="222"/>
      <c r="M223" s="222"/>
      <c r="N223" s="222"/>
      <c r="O223" s="222"/>
      <c r="P223" s="222"/>
      <c r="Q223" s="222"/>
    </row>
    <row r="224" spans="8:17" s="223" customFormat="1" x14ac:dyDescent="0.25">
      <c r="H224" s="354"/>
      <c r="I224" s="354"/>
      <c r="J224" s="354"/>
      <c r="K224" s="222"/>
      <c r="L224" s="222"/>
      <c r="M224" s="222"/>
      <c r="N224" s="222"/>
      <c r="O224" s="222"/>
      <c r="P224" s="222"/>
      <c r="Q224" s="222"/>
    </row>
    <row r="225" spans="8:17" s="223" customFormat="1" x14ac:dyDescent="0.25">
      <c r="H225" s="354"/>
      <c r="I225" s="354"/>
      <c r="J225" s="354"/>
      <c r="K225" s="222"/>
      <c r="L225" s="222"/>
      <c r="M225" s="222"/>
      <c r="N225" s="222"/>
      <c r="O225" s="222"/>
      <c r="P225" s="222"/>
      <c r="Q225" s="222"/>
    </row>
    <row r="226" spans="8:17" s="223" customFormat="1" x14ac:dyDescent="0.25">
      <c r="H226" s="354"/>
      <c r="I226" s="354"/>
      <c r="J226" s="354"/>
      <c r="K226" s="222"/>
      <c r="L226" s="222"/>
      <c r="M226" s="222"/>
      <c r="N226" s="222"/>
      <c r="O226" s="222"/>
      <c r="P226" s="222"/>
      <c r="Q226" s="222"/>
    </row>
    <row r="227" spans="8:17" s="223" customFormat="1" x14ac:dyDescent="0.25">
      <c r="H227" s="354"/>
      <c r="I227" s="354"/>
      <c r="J227" s="354"/>
      <c r="K227" s="222"/>
      <c r="L227" s="222"/>
      <c r="M227" s="222"/>
      <c r="N227" s="222"/>
      <c r="O227" s="222"/>
      <c r="P227" s="222"/>
      <c r="Q227" s="222"/>
    </row>
    <row r="228" spans="8:17" s="223" customFormat="1" x14ac:dyDescent="0.25">
      <c r="H228" s="354"/>
      <c r="I228" s="354"/>
      <c r="J228" s="354"/>
      <c r="K228" s="222"/>
      <c r="L228" s="222"/>
      <c r="M228" s="222"/>
      <c r="N228" s="222"/>
      <c r="O228" s="222"/>
      <c r="P228" s="222"/>
      <c r="Q228" s="222"/>
    </row>
    <row r="229" spans="8:17" s="223" customFormat="1" x14ac:dyDescent="0.25">
      <c r="H229" s="354"/>
      <c r="I229" s="354"/>
      <c r="J229" s="354"/>
      <c r="K229" s="222"/>
      <c r="L229" s="222"/>
      <c r="M229" s="222"/>
      <c r="N229" s="222"/>
      <c r="O229" s="222"/>
      <c r="P229" s="222"/>
      <c r="Q229" s="222"/>
    </row>
    <row r="230" spans="8:17" s="223" customFormat="1" x14ac:dyDescent="0.25">
      <c r="H230" s="354"/>
      <c r="I230" s="354"/>
      <c r="J230" s="354"/>
      <c r="K230" s="222"/>
      <c r="L230" s="222"/>
      <c r="M230" s="222"/>
      <c r="N230" s="222"/>
      <c r="O230" s="222"/>
      <c r="P230" s="222"/>
      <c r="Q230" s="222"/>
    </row>
    <row r="231" spans="8:17" s="223" customFormat="1" x14ac:dyDescent="0.25">
      <c r="H231" s="354"/>
      <c r="I231" s="354"/>
      <c r="J231" s="354"/>
      <c r="K231" s="222"/>
      <c r="L231" s="222"/>
      <c r="M231" s="222"/>
      <c r="N231" s="222"/>
      <c r="O231" s="222"/>
      <c r="P231" s="222"/>
      <c r="Q231" s="222"/>
    </row>
    <row r="232" spans="8:17" s="223" customFormat="1" x14ac:dyDescent="0.25">
      <c r="H232" s="354"/>
      <c r="I232" s="354"/>
      <c r="J232" s="354"/>
      <c r="K232" s="222"/>
      <c r="L232" s="222"/>
      <c r="M232" s="222"/>
      <c r="N232" s="222"/>
      <c r="O232" s="222"/>
      <c r="P232" s="222"/>
      <c r="Q232" s="222"/>
    </row>
    <row r="233" spans="8:17" s="223" customFormat="1" x14ac:dyDescent="0.25">
      <c r="H233" s="354"/>
      <c r="I233" s="354"/>
      <c r="J233" s="354"/>
      <c r="K233" s="222"/>
      <c r="L233" s="222"/>
      <c r="M233" s="222"/>
      <c r="N233" s="222"/>
      <c r="O233" s="222"/>
      <c r="P233" s="222"/>
      <c r="Q233" s="222"/>
    </row>
    <row r="234" spans="8:17" s="223" customFormat="1" x14ac:dyDescent="0.25">
      <c r="H234" s="354"/>
      <c r="I234" s="354"/>
      <c r="J234" s="354"/>
      <c r="K234" s="222"/>
      <c r="L234" s="222"/>
      <c r="M234" s="222"/>
      <c r="N234" s="222"/>
      <c r="O234" s="222"/>
      <c r="P234" s="222"/>
      <c r="Q234" s="222"/>
    </row>
    <row r="235" spans="8:17" s="223" customFormat="1" x14ac:dyDescent="0.25">
      <c r="H235" s="354"/>
      <c r="I235" s="354"/>
      <c r="J235" s="354"/>
      <c r="K235" s="222"/>
      <c r="L235" s="222"/>
      <c r="M235" s="222"/>
      <c r="N235" s="222"/>
      <c r="O235" s="222"/>
      <c r="P235" s="222"/>
      <c r="Q235" s="222"/>
    </row>
    <row r="236" spans="8:17" s="223" customFormat="1" x14ac:dyDescent="0.25">
      <c r="H236" s="354"/>
      <c r="I236" s="354"/>
      <c r="J236" s="354"/>
      <c r="K236" s="222"/>
      <c r="L236" s="222"/>
      <c r="M236" s="222"/>
      <c r="N236" s="222"/>
      <c r="O236" s="222"/>
      <c r="P236" s="222"/>
      <c r="Q236" s="222"/>
    </row>
    <row r="237" spans="8:17" s="223" customFormat="1" x14ac:dyDescent="0.25">
      <c r="H237" s="354"/>
      <c r="I237" s="354"/>
      <c r="J237" s="354"/>
      <c r="K237" s="222"/>
      <c r="L237" s="222"/>
      <c r="M237" s="222"/>
      <c r="N237" s="222"/>
      <c r="O237" s="222"/>
      <c r="P237" s="222"/>
      <c r="Q237" s="222"/>
    </row>
    <row r="238" spans="8:17" s="223" customFormat="1" x14ac:dyDescent="0.25">
      <c r="H238" s="354"/>
      <c r="I238" s="354"/>
      <c r="J238" s="354"/>
      <c r="K238" s="222"/>
      <c r="L238" s="222"/>
      <c r="M238" s="222"/>
      <c r="N238" s="222"/>
      <c r="O238" s="222"/>
      <c r="P238" s="222"/>
      <c r="Q238" s="222"/>
    </row>
    <row r="239" spans="8:17" s="223" customFormat="1" x14ac:dyDescent="0.25">
      <c r="H239" s="354"/>
      <c r="I239" s="354"/>
      <c r="J239" s="354"/>
      <c r="K239" s="222"/>
      <c r="L239" s="222"/>
      <c r="M239" s="222"/>
      <c r="N239" s="222"/>
      <c r="O239" s="222"/>
      <c r="P239" s="222"/>
      <c r="Q239" s="222"/>
    </row>
    <row r="240" spans="8:17" s="223" customFormat="1" x14ac:dyDescent="0.25">
      <c r="H240" s="354"/>
      <c r="I240" s="354"/>
      <c r="J240" s="354"/>
      <c r="K240" s="222"/>
      <c r="L240" s="222"/>
      <c r="M240" s="222"/>
      <c r="N240" s="222"/>
      <c r="O240" s="222"/>
      <c r="P240" s="222"/>
      <c r="Q240" s="222"/>
    </row>
    <row r="241" spans="8:17" s="223" customFormat="1" x14ac:dyDescent="0.25">
      <c r="H241" s="354"/>
      <c r="I241" s="354"/>
      <c r="J241" s="354"/>
      <c r="K241" s="222"/>
      <c r="L241" s="222"/>
      <c r="M241" s="222"/>
      <c r="N241" s="222"/>
      <c r="O241" s="222"/>
      <c r="P241" s="222"/>
      <c r="Q241" s="222"/>
    </row>
    <row r="242" spans="8:17" s="223" customFormat="1" x14ac:dyDescent="0.25">
      <c r="H242" s="354"/>
      <c r="I242" s="354"/>
      <c r="J242" s="354"/>
      <c r="K242" s="222"/>
      <c r="L242" s="222"/>
      <c r="M242" s="222"/>
      <c r="N242" s="222"/>
      <c r="O242" s="222"/>
      <c r="P242" s="222"/>
      <c r="Q242" s="222"/>
    </row>
    <row r="243" spans="8:17" s="223" customFormat="1" x14ac:dyDescent="0.25">
      <c r="H243" s="354"/>
      <c r="I243" s="354"/>
      <c r="J243" s="354"/>
      <c r="K243" s="222"/>
      <c r="L243" s="222"/>
      <c r="M243" s="222"/>
      <c r="N243" s="222"/>
      <c r="O243" s="222"/>
      <c r="P243" s="222"/>
      <c r="Q243" s="222"/>
    </row>
    <row r="244" spans="8:17" s="223" customFormat="1" x14ac:dyDescent="0.25">
      <c r="H244" s="354"/>
      <c r="I244" s="354"/>
      <c r="J244" s="354"/>
      <c r="K244" s="222"/>
      <c r="L244" s="222"/>
      <c r="M244" s="222"/>
      <c r="N244" s="222"/>
      <c r="O244" s="222"/>
      <c r="P244" s="222"/>
      <c r="Q244" s="222"/>
    </row>
    <row r="245" spans="8:17" s="223" customFormat="1" x14ac:dyDescent="0.25">
      <c r="H245" s="354"/>
      <c r="I245" s="354"/>
      <c r="J245" s="354"/>
      <c r="K245" s="222"/>
      <c r="L245" s="222"/>
      <c r="M245" s="222"/>
      <c r="N245" s="222"/>
      <c r="O245" s="222"/>
      <c r="P245" s="222"/>
      <c r="Q245" s="222"/>
    </row>
    <row r="246" spans="8:17" s="223" customFormat="1" x14ac:dyDescent="0.25">
      <c r="H246" s="354"/>
      <c r="I246" s="354"/>
      <c r="J246" s="354"/>
      <c r="K246" s="222"/>
      <c r="L246" s="222"/>
      <c r="M246" s="222"/>
      <c r="N246" s="222"/>
      <c r="O246" s="222"/>
      <c r="P246" s="222"/>
      <c r="Q246" s="222"/>
    </row>
    <row r="247" spans="8:17" s="223" customFormat="1" x14ac:dyDescent="0.25">
      <c r="H247" s="354"/>
      <c r="I247" s="354"/>
      <c r="J247" s="354"/>
      <c r="K247" s="222"/>
      <c r="L247" s="222"/>
      <c r="M247" s="222"/>
      <c r="N247" s="222"/>
      <c r="O247" s="222"/>
      <c r="P247" s="222"/>
      <c r="Q247" s="222"/>
    </row>
    <row r="248" spans="8:17" s="223" customFormat="1" x14ac:dyDescent="0.25">
      <c r="H248" s="354"/>
      <c r="I248" s="354"/>
      <c r="J248" s="354"/>
      <c r="K248" s="222"/>
      <c r="L248" s="222"/>
      <c r="M248" s="222"/>
      <c r="N248" s="222"/>
      <c r="O248" s="222"/>
      <c r="P248" s="222"/>
      <c r="Q248" s="222"/>
    </row>
    <row r="249" spans="8:17" s="223" customFormat="1" x14ac:dyDescent="0.25">
      <c r="H249" s="354"/>
      <c r="I249" s="354"/>
      <c r="J249" s="354"/>
      <c r="K249" s="222"/>
      <c r="L249" s="222"/>
      <c r="M249" s="222"/>
      <c r="N249" s="222"/>
      <c r="O249" s="222"/>
      <c r="P249" s="222"/>
      <c r="Q249" s="222"/>
    </row>
    <row r="250" spans="8:17" s="223" customFormat="1" x14ac:dyDescent="0.25">
      <c r="H250" s="354"/>
      <c r="I250" s="354"/>
      <c r="J250" s="354"/>
      <c r="K250" s="222"/>
      <c r="L250" s="222"/>
      <c r="M250" s="222"/>
      <c r="N250" s="222"/>
      <c r="O250" s="222"/>
      <c r="P250" s="222"/>
      <c r="Q250" s="222"/>
    </row>
    <row r="251" spans="8:17" s="223" customFormat="1" x14ac:dyDescent="0.25">
      <c r="H251" s="354"/>
      <c r="I251" s="354"/>
      <c r="J251" s="354"/>
      <c r="K251" s="222"/>
      <c r="L251" s="222"/>
      <c r="M251" s="222"/>
      <c r="N251" s="222"/>
      <c r="O251" s="222"/>
      <c r="P251" s="222"/>
      <c r="Q251" s="222"/>
    </row>
    <row r="252" spans="8:17" s="223" customFormat="1" x14ac:dyDescent="0.25">
      <c r="H252" s="354"/>
      <c r="I252" s="354"/>
      <c r="J252" s="354"/>
      <c r="K252" s="222"/>
      <c r="L252" s="222"/>
      <c r="M252" s="222"/>
      <c r="N252" s="222"/>
      <c r="O252" s="222"/>
      <c r="P252" s="222"/>
      <c r="Q252" s="222"/>
    </row>
    <row r="253" spans="8:17" s="223" customFormat="1" x14ac:dyDescent="0.25">
      <c r="H253" s="354"/>
      <c r="I253" s="354"/>
      <c r="J253" s="354"/>
      <c r="K253" s="222"/>
      <c r="L253" s="222"/>
      <c r="M253" s="222"/>
      <c r="N253" s="222"/>
      <c r="O253" s="222"/>
      <c r="P253" s="222"/>
      <c r="Q253" s="222"/>
    </row>
    <row r="254" spans="8:17" s="223" customFormat="1" x14ac:dyDescent="0.25">
      <c r="H254" s="354"/>
      <c r="I254" s="354"/>
      <c r="J254" s="354"/>
      <c r="K254" s="222"/>
      <c r="L254" s="222"/>
      <c r="M254" s="222"/>
      <c r="N254" s="222"/>
      <c r="O254" s="222"/>
      <c r="P254" s="222"/>
      <c r="Q254" s="222"/>
    </row>
    <row r="255" spans="8:17" s="223" customFormat="1" x14ac:dyDescent="0.25">
      <c r="H255" s="354"/>
      <c r="I255" s="354"/>
      <c r="J255" s="354"/>
      <c r="K255" s="222"/>
      <c r="L255" s="222"/>
      <c r="M255" s="222"/>
      <c r="N255" s="222"/>
      <c r="O255" s="222"/>
      <c r="P255" s="222"/>
      <c r="Q255" s="222"/>
    </row>
    <row r="256" spans="8:17" s="223" customFormat="1" x14ac:dyDescent="0.25">
      <c r="H256" s="354"/>
      <c r="I256" s="354"/>
      <c r="J256" s="354"/>
      <c r="K256" s="222"/>
      <c r="L256" s="222"/>
      <c r="M256" s="222"/>
      <c r="N256" s="222"/>
      <c r="O256" s="222"/>
      <c r="P256" s="222"/>
      <c r="Q256" s="222"/>
    </row>
    <row r="257" spans="8:17" s="223" customFormat="1" x14ac:dyDescent="0.25">
      <c r="H257" s="354"/>
      <c r="I257" s="354"/>
      <c r="J257" s="354"/>
      <c r="K257" s="222"/>
      <c r="L257" s="222"/>
      <c r="M257" s="222"/>
      <c r="N257" s="222"/>
      <c r="O257" s="222"/>
      <c r="P257" s="222"/>
      <c r="Q257" s="222"/>
    </row>
    <row r="258" spans="8:17" s="223" customFormat="1" x14ac:dyDescent="0.25">
      <c r="H258" s="354"/>
      <c r="I258" s="354"/>
      <c r="J258" s="354"/>
      <c r="K258" s="222"/>
      <c r="L258" s="222"/>
      <c r="M258" s="222"/>
      <c r="N258" s="222"/>
      <c r="O258" s="222"/>
      <c r="P258" s="222"/>
      <c r="Q258" s="222"/>
    </row>
    <row r="259" spans="8:17" s="223" customFormat="1" x14ac:dyDescent="0.25">
      <c r="H259" s="354"/>
      <c r="I259" s="354"/>
      <c r="J259" s="354"/>
      <c r="K259" s="222"/>
      <c r="L259" s="222"/>
      <c r="M259" s="222"/>
      <c r="N259" s="222"/>
      <c r="O259" s="222"/>
      <c r="P259" s="222"/>
      <c r="Q259" s="222"/>
    </row>
    <row r="260" spans="8:17" s="223" customFormat="1" x14ac:dyDescent="0.25">
      <c r="H260" s="354"/>
      <c r="I260" s="354"/>
      <c r="J260" s="354"/>
      <c r="K260" s="222"/>
      <c r="L260" s="222"/>
      <c r="M260" s="222"/>
      <c r="N260" s="222"/>
      <c r="O260" s="222"/>
      <c r="P260" s="222"/>
      <c r="Q260" s="222"/>
    </row>
    <row r="261" spans="8:17" s="223" customFormat="1" x14ac:dyDescent="0.25">
      <c r="H261" s="354"/>
      <c r="I261" s="354"/>
      <c r="J261" s="354"/>
      <c r="K261" s="222"/>
      <c r="L261" s="222"/>
      <c r="M261" s="222"/>
      <c r="N261" s="222"/>
      <c r="O261" s="222"/>
      <c r="P261" s="222"/>
      <c r="Q261" s="222"/>
    </row>
    <row r="262" spans="8:17" s="223" customFormat="1" x14ac:dyDescent="0.25">
      <c r="H262" s="354"/>
      <c r="I262" s="354"/>
      <c r="J262" s="354"/>
      <c r="K262" s="222"/>
      <c r="L262" s="222"/>
      <c r="M262" s="222"/>
      <c r="N262" s="222"/>
      <c r="O262" s="222"/>
      <c r="P262" s="222"/>
      <c r="Q262" s="222"/>
    </row>
    <row r="263" spans="8:17" s="223" customFormat="1" x14ac:dyDescent="0.25">
      <c r="H263" s="354"/>
      <c r="I263" s="354"/>
      <c r="J263" s="354"/>
      <c r="K263" s="222"/>
      <c r="L263" s="222"/>
      <c r="M263" s="222"/>
      <c r="N263" s="222"/>
      <c r="O263" s="222"/>
      <c r="P263" s="222"/>
      <c r="Q263" s="222"/>
    </row>
    <row r="264" spans="8:17" s="223" customFormat="1" x14ac:dyDescent="0.25">
      <c r="H264" s="354"/>
      <c r="I264" s="354"/>
      <c r="J264" s="354"/>
      <c r="K264" s="222"/>
      <c r="L264" s="222"/>
      <c r="M264" s="222"/>
      <c r="N264" s="222"/>
      <c r="O264" s="222"/>
      <c r="P264" s="222"/>
      <c r="Q264" s="222"/>
    </row>
    <row r="265" spans="8:17" s="223" customFormat="1" x14ac:dyDescent="0.25">
      <c r="H265" s="354"/>
      <c r="I265" s="354"/>
      <c r="J265" s="354"/>
      <c r="K265" s="222"/>
      <c r="L265" s="222"/>
      <c r="M265" s="222"/>
      <c r="N265" s="222"/>
      <c r="O265" s="222"/>
      <c r="P265" s="222"/>
      <c r="Q265" s="222"/>
    </row>
    <row r="266" spans="8:17" s="223" customFormat="1" x14ac:dyDescent="0.25">
      <c r="H266" s="354"/>
      <c r="I266" s="354"/>
      <c r="J266" s="354"/>
      <c r="K266" s="222"/>
      <c r="L266" s="222"/>
      <c r="M266" s="222"/>
      <c r="N266" s="222"/>
      <c r="O266" s="222"/>
      <c r="P266" s="222"/>
      <c r="Q266" s="222"/>
    </row>
    <row r="267" spans="8:17" s="223" customFormat="1" x14ac:dyDescent="0.25">
      <c r="H267" s="354"/>
      <c r="I267" s="354"/>
      <c r="J267" s="354"/>
      <c r="K267" s="222"/>
      <c r="L267" s="222"/>
      <c r="M267" s="222"/>
      <c r="N267" s="222"/>
      <c r="O267" s="222"/>
      <c r="P267" s="222"/>
      <c r="Q267" s="222"/>
    </row>
    <row r="268" spans="8:17" s="223" customFormat="1" x14ac:dyDescent="0.25">
      <c r="H268" s="354"/>
      <c r="I268" s="354"/>
      <c r="J268" s="354"/>
      <c r="K268" s="222"/>
      <c r="L268" s="222"/>
      <c r="M268" s="222"/>
      <c r="N268" s="222"/>
      <c r="O268" s="222"/>
      <c r="P268" s="222"/>
      <c r="Q268" s="222"/>
    </row>
    <row r="269" spans="8:17" s="223" customFormat="1" x14ac:dyDescent="0.25">
      <c r="H269" s="354"/>
      <c r="I269" s="354"/>
      <c r="J269" s="354"/>
      <c r="K269" s="222"/>
      <c r="L269" s="222"/>
      <c r="M269" s="222"/>
      <c r="N269" s="222"/>
      <c r="O269" s="222"/>
      <c r="P269" s="222"/>
      <c r="Q269" s="222"/>
    </row>
    <row r="270" spans="8:17" s="223" customFormat="1" x14ac:dyDescent="0.25">
      <c r="H270" s="354"/>
      <c r="I270" s="354"/>
      <c r="J270" s="354"/>
      <c r="K270" s="222"/>
      <c r="L270" s="222"/>
      <c r="M270" s="222"/>
      <c r="N270" s="222"/>
      <c r="O270" s="222"/>
      <c r="P270" s="222"/>
      <c r="Q270" s="222"/>
    </row>
    <row r="271" spans="8:17" s="223" customFormat="1" x14ac:dyDescent="0.25">
      <c r="H271" s="354"/>
      <c r="I271" s="354"/>
      <c r="J271" s="354"/>
      <c r="K271" s="222"/>
      <c r="L271" s="222"/>
      <c r="M271" s="222"/>
      <c r="N271" s="222"/>
      <c r="O271" s="222"/>
      <c r="P271" s="222"/>
      <c r="Q271" s="222"/>
    </row>
    <row r="272" spans="8:17" s="223" customFormat="1" x14ac:dyDescent="0.25">
      <c r="H272" s="354"/>
      <c r="I272" s="354"/>
      <c r="J272" s="354"/>
      <c r="K272" s="222"/>
      <c r="L272" s="222"/>
      <c r="M272" s="222"/>
      <c r="N272" s="222"/>
      <c r="O272" s="222"/>
      <c r="P272" s="222"/>
      <c r="Q272" s="222"/>
    </row>
    <row r="273" spans="8:17" s="223" customFormat="1" x14ac:dyDescent="0.25">
      <c r="H273" s="354"/>
      <c r="I273" s="354"/>
      <c r="J273" s="354"/>
      <c r="K273" s="222"/>
      <c r="L273" s="222"/>
      <c r="M273" s="222"/>
      <c r="N273" s="222"/>
      <c r="O273" s="222"/>
      <c r="P273" s="222"/>
      <c r="Q273" s="222"/>
    </row>
    <row r="274" spans="8:17" s="223" customFormat="1" x14ac:dyDescent="0.25">
      <c r="H274" s="354"/>
      <c r="I274" s="354"/>
      <c r="J274" s="354"/>
      <c r="K274" s="222"/>
      <c r="L274" s="222"/>
      <c r="M274" s="222"/>
      <c r="N274" s="222"/>
      <c r="O274" s="222"/>
      <c r="P274" s="222"/>
      <c r="Q274" s="222"/>
    </row>
    <row r="275" spans="8:17" s="223" customFormat="1" x14ac:dyDescent="0.25">
      <c r="H275" s="354"/>
      <c r="I275" s="354"/>
      <c r="J275" s="354"/>
      <c r="K275" s="222"/>
      <c r="L275" s="222"/>
      <c r="M275" s="222"/>
      <c r="N275" s="222"/>
      <c r="O275" s="222"/>
      <c r="P275" s="222"/>
      <c r="Q275" s="222"/>
    </row>
    <row r="276" spans="8:17" s="223" customFormat="1" x14ac:dyDescent="0.25">
      <c r="H276" s="354"/>
      <c r="I276" s="354"/>
      <c r="J276" s="354"/>
      <c r="K276" s="222"/>
      <c r="L276" s="222"/>
      <c r="M276" s="222"/>
      <c r="N276" s="222"/>
      <c r="O276" s="222"/>
      <c r="P276" s="222"/>
      <c r="Q276" s="222"/>
    </row>
    <row r="277" spans="8:17" s="223" customFormat="1" x14ac:dyDescent="0.25">
      <c r="H277" s="354"/>
      <c r="I277" s="354"/>
      <c r="J277" s="354"/>
      <c r="K277" s="222"/>
      <c r="L277" s="222"/>
      <c r="M277" s="222"/>
      <c r="N277" s="222"/>
      <c r="O277" s="222"/>
      <c r="P277" s="222"/>
      <c r="Q277" s="222"/>
    </row>
    <row r="278" spans="8:17" s="223" customFormat="1" x14ac:dyDescent="0.25">
      <c r="H278" s="354"/>
      <c r="I278" s="354"/>
      <c r="J278" s="354"/>
      <c r="K278" s="222"/>
      <c r="L278" s="222"/>
      <c r="M278" s="222"/>
      <c r="N278" s="222"/>
      <c r="O278" s="222"/>
      <c r="P278" s="222"/>
      <c r="Q278" s="222"/>
    </row>
    <row r="279" spans="8:17" s="223" customFormat="1" x14ac:dyDescent="0.25">
      <c r="H279" s="354"/>
      <c r="I279" s="354"/>
      <c r="J279" s="354"/>
      <c r="K279" s="222"/>
      <c r="L279" s="222"/>
      <c r="M279" s="222"/>
      <c r="N279" s="222"/>
      <c r="O279" s="222"/>
      <c r="P279" s="222"/>
      <c r="Q279" s="222"/>
    </row>
    <row r="280" spans="8:17" s="223" customFormat="1" x14ac:dyDescent="0.25">
      <c r="H280" s="354"/>
      <c r="I280" s="354"/>
      <c r="J280" s="354"/>
      <c r="K280" s="222"/>
      <c r="L280" s="222"/>
      <c r="M280" s="222"/>
      <c r="N280" s="222"/>
      <c r="O280" s="222"/>
      <c r="P280" s="222"/>
      <c r="Q280" s="222"/>
    </row>
    <row r="281" spans="8:17" s="223" customFormat="1" x14ac:dyDescent="0.25">
      <c r="H281" s="354"/>
      <c r="I281" s="354"/>
      <c r="J281" s="354"/>
      <c r="K281" s="222"/>
      <c r="L281" s="222"/>
      <c r="M281" s="222"/>
      <c r="N281" s="222"/>
      <c r="O281" s="222"/>
      <c r="P281" s="222"/>
      <c r="Q281" s="222"/>
    </row>
    <row r="282" spans="8:17" s="223" customFormat="1" x14ac:dyDescent="0.25">
      <c r="H282" s="354"/>
      <c r="I282" s="354"/>
      <c r="J282" s="354"/>
      <c r="K282" s="222"/>
      <c r="L282" s="222"/>
      <c r="M282" s="222"/>
      <c r="N282" s="222"/>
      <c r="O282" s="222"/>
      <c r="P282" s="222"/>
      <c r="Q282" s="222"/>
    </row>
    <row r="283" spans="8:17" s="223" customFormat="1" x14ac:dyDescent="0.25">
      <c r="H283" s="354"/>
      <c r="I283" s="354"/>
      <c r="J283" s="354"/>
      <c r="K283" s="222"/>
      <c r="L283" s="222"/>
      <c r="M283" s="222"/>
      <c r="N283" s="222"/>
      <c r="O283" s="222"/>
      <c r="P283" s="222"/>
      <c r="Q283" s="222"/>
    </row>
    <row r="284" spans="8:17" s="223" customFormat="1" x14ac:dyDescent="0.25">
      <c r="H284" s="354"/>
      <c r="I284" s="354"/>
      <c r="J284" s="354"/>
      <c r="K284" s="222"/>
      <c r="L284" s="222"/>
      <c r="M284" s="222"/>
      <c r="N284" s="222"/>
      <c r="O284" s="222"/>
      <c r="P284" s="222"/>
      <c r="Q284" s="222"/>
    </row>
    <row r="285" spans="8:17" s="223" customFormat="1" x14ac:dyDescent="0.25">
      <c r="H285" s="354"/>
      <c r="I285" s="354"/>
      <c r="J285" s="354"/>
      <c r="K285" s="222"/>
      <c r="L285" s="222"/>
      <c r="M285" s="222"/>
      <c r="N285" s="222"/>
      <c r="O285" s="222"/>
      <c r="P285" s="222"/>
      <c r="Q285" s="222"/>
    </row>
    <row r="286" spans="8:17" s="223" customFormat="1" x14ac:dyDescent="0.25">
      <c r="H286" s="354"/>
      <c r="I286" s="354"/>
      <c r="J286" s="354"/>
      <c r="K286" s="222"/>
      <c r="L286" s="222"/>
      <c r="M286" s="222"/>
      <c r="N286" s="222"/>
      <c r="O286" s="222"/>
      <c r="P286" s="222"/>
      <c r="Q286" s="222"/>
    </row>
    <row r="287" spans="8:17" s="223" customFormat="1" x14ac:dyDescent="0.25">
      <c r="H287" s="354"/>
      <c r="I287" s="354"/>
      <c r="J287" s="354"/>
      <c r="K287" s="222"/>
      <c r="L287" s="222"/>
      <c r="M287" s="222"/>
      <c r="N287" s="222"/>
      <c r="O287" s="222"/>
      <c r="P287" s="222"/>
      <c r="Q287" s="222"/>
    </row>
    <row r="288" spans="8:17" s="223" customFormat="1" x14ac:dyDescent="0.25">
      <c r="H288" s="354"/>
      <c r="I288" s="354"/>
      <c r="J288" s="354"/>
      <c r="K288" s="222"/>
      <c r="L288" s="222"/>
      <c r="M288" s="222"/>
      <c r="N288" s="222"/>
      <c r="O288" s="222"/>
      <c r="P288" s="222"/>
      <c r="Q288" s="222"/>
    </row>
    <row r="289" spans="8:17" s="223" customFormat="1" x14ac:dyDescent="0.25">
      <c r="H289" s="354"/>
      <c r="I289" s="354"/>
      <c r="J289" s="354"/>
      <c r="K289" s="222"/>
      <c r="L289" s="222"/>
      <c r="M289" s="222"/>
      <c r="N289" s="222"/>
      <c r="O289" s="222"/>
      <c r="P289" s="222"/>
      <c r="Q289" s="222"/>
    </row>
    <row r="290" spans="8:17" s="223" customFormat="1" x14ac:dyDescent="0.25">
      <c r="H290" s="354"/>
      <c r="I290" s="354"/>
      <c r="J290" s="354"/>
      <c r="K290" s="222"/>
      <c r="L290" s="222"/>
      <c r="M290" s="222"/>
      <c r="N290" s="222"/>
      <c r="O290" s="222"/>
      <c r="P290" s="222"/>
      <c r="Q290" s="222"/>
    </row>
    <row r="291" spans="8:17" s="223" customFormat="1" x14ac:dyDescent="0.25">
      <c r="H291" s="354"/>
      <c r="I291" s="354"/>
      <c r="J291" s="354"/>
      <c r="K291" s="222"/>
      <c r="L291" s="222"/>
      <c r="M291" s="222"/>
      <c r="N291" s="222"/>
      <c r="O291" s="222"/>
      <c r="P291" s="222"/>
      <c r="Q291" s="222"/>
    </row>
    <row r="292" spans="8:17" s="223" customFormat="1" x14ac:dyDescent="0.25">
      <c r="H292" s="354"/>
      <c r="I292" s="354"/>
      <c r="J292" s="354"/>
      <c r="K292" s="222"/>
      <c r="L292" s="222"/>
      <c r="M292" s="222"/>
      <c r="N292" s="222"/>
      <c r="O292" s="222"/>
      <c r="P292" s="222"/>
      <c r="Q292" s="222"/>
    </row>
    <row r="293" spans="8:17" s="223" customFormat="1" x14ac:dyDescent="0.25">
      <c r="H293" s="354"/>
      <c r="I293" s="354"/>
      <c r="J293" s="354"/>
      <c r="K293" s="222"/>
      <c r="L293" s="222"/>
      <c r="M293" s="222"/>
      <c r="N293" s="222"/>
      <c r="O293" s="222"/>
      <c r="P293" s="222"/>
      <c r="Q293" s="222"/>
    </row>
    <row r="294" spans="8:17" s="223" customFormat="1" x14ac:dyDescent="0.25">
      <c r="H294" s="354"/>
      <c r="I294" s="354"/>
      <c r="J294" s="354"/>
      <c r="K294" s="222"/>
      <c r="L294" s="222"/>
      <c r="M294" s="222"/>
      <c r="N294" s="222"/>
      <c r="O294" s="222"/>
      <c r="P294" s="222"/>
      <c r="Q294" s="222"/>
    </row>
    <row r="295" spans="8:17" s="223" customFormat="1" x14ac:dyDescent="0.25">
      <c r="H295" s="354"/>
      <c r="I295" s="354"/>
      <c r="J295" s="354"/>
      <c r="K295" s="222"/>
      <c r="L295" s="222"/>
      <c r="M295" s="222"/>
      <c r="N295" s="222"/>
      <c r="O295" s="222"/>
      <c r="P295" s="222"/>
      <c r="Q295" s="222"/>
    </row>
    <row r="296" spans="8:17" s="223" customFormat="1" x14ac:dyDescent="0.25">
      <c r="H296" s="354"/>
      <c r="I296" s="354"/>
      <c r="J296" s="354"/>
      <c r="K296" s="222"/>
      <c r="L296" s="222"/>
      <c r="M296" s="222"/>
      <c r="N296" s="222"/>
      <c r="O296" s="222"/>
      <c r="P296" s="222"/>
      <c r="Q296" s="222"/>
    </row>
    <row r="297" spans="8:17" s="223" customFormat="1" x14ac:dyDescent="0.25">
      <c r="H297" s="354"/>
      <c r="I297" s="354"/>
      <c r="J297" s="354"/>
      <c r="K297" s="222"/>
      <c r="L297" s="222"/>
      <c r="M297" s="222"/>
      <c r="N297" s="222"/>
      <c r="O297" s="222"/>
      <c r="P297" s="222"/>
      <c r="Q297" s="222"/>
    </row>
    <row r="298" spans="8:17" s="223" customFormat="1" x14ac:dyDescent="0.25">
      <c r="H298" s="354"/>
      <c r="I298" s="354"/>
      <c r="J298" s="354"/>
      <c r="K298" s="222"/>
      <c r="L298" s="222"/>
      <c r="M298" s="222"/>
      <c r="N298" s="222"/>
      <c r="O298" s="222"/>
      <c r="P298" s="222"/>
      <c r="Q298" s="222"/>
    </row>
    <row r="299" spans="8:17" s="223" customFormat="1" x14ac:dyDescent="0.25">
      <c r="H299" s="354"/>
      <c r="I299" s="354"/>
      <c r="J299" s="354"/>
      <c r="K299" s="222"/>
      <c r="L299" s="222"/>
      <c r="M299" s="222"/>
      <c r="N299" s="222"/>
      <c r="O299" s="222"/>
      <c r="P299" s="222"/>
      <c r="Q299" s="222"/>
    </row>
    <row r="300" spans="8:17" s="223" customFormat="1" x14ac:dyDescent="0.25">
      <c r="H300" s="354"/>
      <c r="I300" s="354"/>
      <c r="J300" s="354"/>
      <c r="K300" s="222"/>
      <c r="L300" s="222"/>
      <c r="M300" s="222"/>
      <c r="N300" s="222"/>
      <c r="O300" s="222"/>
      <c r="P300" s="222"/>
      <c r="Q300" s="222"/>
    </row>
    <row r="301" spans="8:17" s="223" customFormat="1" x14ac:dyDescent="0.25">
      <c r="H301" s="354"/>
      <c r="I301" s="354"/>
      <c r="J301" s="354"/>
      <c r="K301" s="222"/>
      <c r="L301" s="222"/>
      <c r="M301" s="222"/>
      <c r="N301" s="222"/>
      <c r="O301" s="222"/>
      <c r="P301" s="222"/>
      <c r="Q301" s="222"/>
    </row>
    <row r="302" spans="8:17" s="223" customFormat="1" x14ac:dyDescent="0.25">
      <c r="H302" s="354"/>
      <c r="I302" s="354"/>
      <c r="J302" s="354"/>
      <c r="K302" s="222"/>
      <c r="L302" s="222"/>
      <c r="M302" s="222"/>
      <c r="N302" s="222"/>
      <c r="O302" s="222"/>
      <c r="P302" s="222"/>
      <c r="Q302" s="222"/>
    </row>
    <row r="303" spans="8:17" s="223" customFormat="1" x14ac:dyDescent="0.25">
      <c r="H303" s="354"/>
      <c r="I303" s="354"/>
      <c r="J303" s="354"/>
      <c r="K303" s="222"/>
      <c r="L303" s="222"/>
      <c r="M303" s="222"/>
      <c r="N303" s="222"/>
      <c r="O303" s="222"/>
      <c r="P303" s="222"/>
      <c r="Q303" s="222"/>
    </row>
    <row r="304" spans="8:17" s="223" customFormat="1" x14ac:dyDescent="0.25">
      <c r="H304" s="354"/>
      <c r="I304" s="354"/>
      <c r="J304" s="354"/>
      <c r="K304" s="222"/>
      <c r="L304" s="222"/>
      <c r="M304" s="222"/>
      <c r="N304" s="222"/>
      <c r="O304" s="222"/>
      <c r="P304" s="222"/>
      <c r="Q304" s="222"/>
    </row>
    <row r="305" spans="8:17" s="223" customFormat="1" x14ac:dyDescent="0.25">
      <c r="H305" s="354"/>
      <c r="I305" s="354"/>
      <c r="J305" s="354"/>
      <c r="K305" s="222"/>
      <c r="L305" s="222"/>
      <c r="M305" s="222"/>
      <c r="N305" s="222"/>
      <c r="O305" s="222"/>
      <c r="P305" s="222"/>
      <c r="Q305" s="222"/>
    </row>
    <row r="306" spans="8:17" s="223" customFormat="1" x14ac:dyDescent="0.25">
      <c r="H306" s="354"/>
      <c r="I306" s="354"/>
      <c r="J306" s="354"/>
      <c r="K306" s="222"/>
      <c r="L306" s="222"/>
      <c r="M306" s="222"/>
      <c r="N306" s="222"/>
      <c r="O306" s="222"/>
      <c r="P306" s="222"/>
      <c r="Q306" s="222"/>
    </row>
    <row r="307" spans="8:17" s="223" customFormat="1" x14ac:dyDescent="0.25">
      <c r="H307" s="354"/>
      <c r="I307" s="354"/>
      <c r="J307" s="354"/>
      <c r="K307" s="222"/>
      <c r="L307" s="222"/>
      <c r="M307" s="222"/>
      <c r="N307" s="222"/>
      <c r="O307" s="222"/>
      <c r="P307" s="222"/>
      <c r="Q307" s="222"/>
    </row>
    <row r="308" spans="8:17" s="223" customFormat="1" x14ac:dyDescent="0.25">
      <c r="H308" s="354"/>
      <c r="I308" s="354"/>
      <c r="J308" s="354"/>
      <c r="K308" s="222"/>
      <c r="L308" s="222"/>
      <c r="M308" s="222"/>
      <c r="N308" s="222"/>
      <c r="O308" s="222"/>
      <c r="P308" s="222"/>
      <c r="Q308" s="222"/>
    </row>
    <row r="309" spans="8:17" s="223" customFormat="1" x14ac:dyDescent="0.25">
      <c r="H309" s="354"/>
      <c r="I309" s="354"/>
      <c r="J309" s="354"/>
      <c r="K309" s="222"/>
      <c r="L309" s="222"/>
      <c r="M309" s="222"/>
      <c r="N309" s="222"/>
      <c r="O309" s="222"/>
      <c r="P309" s="222"/>
      <c r="Q309" s="222"/>
    </row>
    <row r="310" spans="8:17" s="223" customFormat="1" x14ac:dyDescent="0.25">
      <c r="H310" s="354"/>
      <c r="I310" s="354"/>
      <c r="J310" s="354"/>
      <c r="K310" s="222"/>
      <c r="L310" s="222"/>
      <c r="M310" s="222"/>
      <c r="N310" s="222"/>
      <c r="O310" s="222"/>
      <c r="P310" s="222"/>
      <c r="Q310" s="222"/>
    </row>
    <row r="311" spans="8:17" s="223" customFormat="1" x14ac:dyDescent="0.25">
      <c r="H311" s="354"/>
      <c r="I311" s="354"/>
      <c r="J311" s="354"/>
      <c r="K311" s="222"/>
      <c r="L311" s="222"/>
      <c r="M311" s="222"/>
      <c r="N311" s="222"/>
      <c r="O311" s="222"/>
      <c r="P311" s="222"/>
      <c r="Q311" s="222"/>
    </row>
    <row r="312" spans="8:17" s="223" customFormat="1" x14ac:dyDescent="0.25">
      <c r="H312" s="354"/>
      <c r="I312" s="354"/>
      <c r="J312" s="354"/>
      <c r="K312" s="222"/>
      <c r="L312" s="222"/>
      <c r="M312" s="222"/>
      <c r="N312" s="222"/>
      <c r="O312" s="222"/>
      <c r="P312" s="222"/>
      <c r="Q312" s="222"/>
    </row>
    <row r="313" spans="8:17" s="223" customFormat="1" x14ac:dyDescent="0.25">
      <c r="H313" s="354"/>
      <c r="I313" s="354"/>
      <c r="J313" s="354"/>
      <c r="K313" s="222"/>
      <c r="L313" s="222"/>
      <c r="M313" s="222"/>
      <c r="N313" s="222"/>
      <c r="O313" s="222"/>
      <c r="P313" s="222"/>
      <c r="Q313" s="222"/>
    </row>
    <row r="314" spans="8:17" s="223" customFormat="1" x14ac:dyDescent="0.25">
      <c r="H314" s="354"/>
      <c r="I314" s="354"/>
      <c r="J314" s="354"/>
      <c r="K314" s="222"/>
      <c r="L314" s="222"/>
      <c r="M314" s="222"/>
      <c r="N314" s="222"/>
      <c r="O314" s="222"/>
      <c r="P314" s="222"/>
      <c r="Q314" s="222"/>
    </row>
    <row r="315" spans="8:17" s="223" customFormat="1" x14ac:dyDescent="0.25">
      <c r="H315" s="354"/>
      <c r="I315" s="354"/>
      <c r="J315" s="354"/>
      <c r="K315" s="222"/>
      <c r="L315" s="222"/>
      <c r="M315" s="222"/>
      <c r="N315" s="222"/>
      <c r="O315" s="222"/>
      <c r="P315" s="222"/>
      <c r="Q315" s="222"/>
    </row>
    <row r="316" spans="8:17" s="223" customFormat="1" x14ac:dyDescent="0.25">
      <c r="H316" s="354"/>
      <c r="I316" s="354"/>
      <c r="J316" s="354"/>
      <c r="K316" s="222"/>
      <c r="L316" s="222"/>
      <c r="M316" s="222"/>
      <c r="N316" s="222"/>
      <c r="O316" s="222"/>
      <c r="P316" s="222"/>
      <c r="Q316" s="222"/>
    </row>
    <row r="317" spans="8:17" s="223" customFormat="1" x14ac:dyDescent="0.25">
      <c r="H317" s="354"/>
      <c r="I317" s="354"/>
      <c r="J317" s="354"/>
      <c r="K317" s="222"/>
      <c r="L317" s="222"/>
      <c r="M317" s="222"/>
      <c r="N317" s="222"/>
      <c r="O317" s="222"/>
      <c r="P317" s="222"/>
      <c r="Q317" s="222"/>
    </row>
    <row r="318" spans="8:17" s="223" customFormat="1" x14ac:dyDescent="0.25">
      <c r="H318" s="354"/>
      <c r="I318" s="354"/>
      <c r="J318" s="354"/>
      <c r="K318" s="222"/>
      <c r="L318" s="222"/>
      <c r="M318" s="222"/>
      <c r="N318" s="222"/>
      <c r="O318" s="222"/>
      <c r="P318" s="222"/>
      <c r="Q318" s="222"/>
    </row>
    <row r="319" spans="8:17" s="223" customFormat="1" x14ac:dyDescent="0.25">
      <c r="H319" s="354"/>
      <c r="I319" s="354"/>
      <c r="J319" s="354"/>
      <c r="K319" s="222"/>
      <c r="L319" s="222"/>
      <c r="M319" s="222"/>
      <c r="N319" s="222"/>
      <c r="O319" s="222"/>
      <c r="P319" s="222"/>
      <c r="Q319" s="222"/>
    </row>
    <row r="320" spans="8:17" s="223" customFormat="1" x14ac:dyDescent="0.25">
      <c r="H320" s="354"/>
      <c r="I320" s="354"/>
      <c r="J320" s="354"/>
      <c r="K320" s="222"/>
      <c r="L320" s="222"/>
      <c r="M320" s="222"/>
      <c r="N320" s="222"/>
      <c r="O320" s="222"/>
      <c r="P320" s="222"/>
      <c r="Q320" s="222"/>
    </row>
    <row r="321" spans="8:17" s="223" customFormat="1" x14ac:dyDescent="0.25">
      <c r="H321" s="354"/>
      <c r="I321" s="354"/>
      <c r="J321" s="354"/>
      <c r="K321" s="222"/>
      <c r="L321" s="222"/>
      <c r="M321" s="222"/>
      <c r="N321" s="222"/>
      <c r="O321" s="222"/>
      <c r="P321" s="222"/>
      <c r="Q321" s="222"/>
    </row>
    <row r="322" spans="8:17" s="223" customFormat="1" x14ac:dyDescent="0.25">
      <c r="H322" s="354"/>
      <c r="I322" s="354"/>
      <c r="J322" s="354"/>
      <c r="K322" s="222"/>
      <c r="L322" s="222"/>
      <c r="M322" s="222"/>
      <c r="N322" s="222"/>
      <c r="O322" s="222"/>
      <c r="P322" s="222"/>
      <c r="Q322" s="222"/>
    </row>
    <row r="323" spans="8:17" s="223" customFormat="1" x14ac:dyDescent="0.25">
      <c r="H323" s="354"/>
      <c r="I323" s="354"/>
      <c r="J323" s="354"/>
      <c r="K323" s="222"/>
      <c r="L323" s="222"/>
      <c r="M323" s="222"/>
      <c r="N323" s="222"/>
      <c r="O323" s="222"/>
      <c r="P323" s="222"/>
      <c r="Q323" s="222"/>
    </row>
    <row r="324" spans="8:17" s="223" customFormat="1" x14ac:dyDescent="0.25">
      <c r="H324" s="354"/>
      <c r="I324" s="354"/>
      <c r="J324" s="354"/>
      <c r="K324" s="222"/>
      <c r="L324" s="222"/>
      <c r="M324" s="222"/>
      <c r="N324" s="222"/>
      <c r="O324" s="222"/>
      <c r="P324" s="222"/>
      <c r="Q324" s="222"/>
    </row>
    <row r="325" spans="8:17" s="223" customFormat="1" x14ac:dyDescent="0.25">
      <c r="H325" s="354"/>
      <c r="I325" s="354"/>
      <c r="J325" s="354"/>
      <c r="K325" s="222"/>
      <c r="L325" s="222"/>
      <c r="M325" s="222"/>
      <c r="N325" s="222"/>
      <c r="O325" s="222"/>
      <c r="P325" s="222"/>
      <c r="Q325" s="222"/>
    </row>
    <row r="326" spans="8:17" s="223" customFormat="1" x14ac:dyDescent="0.25">
      <c r="H326" s="354"/>
      <c r="I326" s="354"/>
      <c r="J326" s="354"/>
      <c r="K326" s="222"/>
      <c r="L326" s="222"/>
      <c r="M326" s="222"/>
      <c r="N326" s="222"/>
      <c r="O326" s="222"/>
      <c r="P326" s="222"/>
      <c r="Q326" s="222"/>
    </row>
    <row r="327" spans="8:17" s="223" customFormat="1" x14ac:dyDescent="0.25">
      <c r="H327" s="354"/>
      <c r="I327" s="354"/>
      <c r="J327" s="354"/>
      <c r="K327" s="222"/>
      <c r="L327" s="222"/>
      <c r="M327" s="222"/>
      <c r="N327" s="222"/>
      <c r="O327" s="222"/>
      <c r="P327" s="222"/>
      <c r="Q327" s="222"/>
    </row>
    <row r="328" spans="8:17" s="223" customFormat="1" x14ac:dyDescent="0.25">
      <c r="H328" s="354"/>
      <c r="I328" s="354"/>
      <c r="J328" s="354"/>
      <c r="K328" s="222"/>
      <c r="L328" s="222"/>
      <c r="M328" s="222"/>
      <c r="N328" s="222"/>
      <c r="O328" s="222"/>
      <c r="P328" s="222"/>
      <c r="Q328" s="222"/>
    </row>
    <row r="329" spans="8:17" s="223" customFormat="1" x14ac:dyDescent="0.25">
      <c r="H329" s="354"/>
      <c r="I329" s="354"/>
      <c r="J329" s="354"/>
      <c r="K329" s="222"/>
      <c r="L329" s="222"/>
      <c r="M329" s="222"/>
      <c r="N329" s="222"/>
      <c r="O329" s="222"/>
      <c r="P329" s="222"/>
      <c r="Q329" s="222"/>
    </row>
    <row r="330" spans="8:17" s="223" customFormat="1" x14ac:dyDescent="0.25">
      <c r="H330" s="354"/>
      <c r="I330" s="354"/>
      <c r="J330" s="354"/>
      <c r="K330" s="222"/>
      <c r="L330" s="222"/>
      <c r="M330" s="222"/>
      <c r="N330" s="222"/>
      <c r="O330" s="222"/>
      <c r="P330" s="222"/>
      <c r="Q330" s="222"/>
    </row>
    <row r="331" spans="8:17" s="223" customFormat="1" x14ac:dyDescent="0.25">
      <c r="H331" s="354"/>
      <c r="I331" s="354"/>
      <c r="J331" s="354"/>
      <c r="K331" s="222"/>
      <c r="L331" s="222"/>
      <c r="M331" s="222"/>
      <c r="N331" s="222"/>
      <c r="O331" s="222"/>
      <c r="P331" s="222"/>
      <c r="Q331" s="222"/>
    </row>
    <row r="332" spans="8:17" s="223" customFormat="1" x14ac:dyDescent="0.25">
      <c r="H332" s="354"/>
      <c r="I332" s="354"/>
      <c r="J332" s="354"/>
      <c r="K332" s="222"/>
      <c r="L332" s="222"/>
      <c r="M332" s="222"/>
      <c r="N332" s="222"/>
      <c r="O332" s="222"/>
      <c r="P332" s="222"/>
      <c r="Q332" s="222"/>
    </row>
    <row r="333" spans="8:17" s="223" customFormat="1" x14ac:dyDescent="0.25">
      <c r="H333" s="354"/>
      <c r="I333" s="354"/>
      <c r="J333" s="354"/>
      <c r="K333" s="222"/>
      <c r="L333" s="222"/>
      <c r="M333" s="222"/>
      <c r="N333" s="222"/>
      <c r="O333" s="222"/>
      <c r="P333" s="222"/>
      <c r="Q333" s="222"/>
    </row>
    <row r="334" spans="8:17" s="223" customFormat="1" x14ac:dyDescent="0.25">
      <c r="H334" s="354"/>
      <c r="I334" s="354"/>
      <c r="J334" s="354"/>
      <c r="K334" s="222"/>
      <c r="L334" s="222"/>
      <c r="M334" s="222"/>
      <c r="N334" s="222"/>
      <c r="O334" s="222"/>
      <c r="P334" s="222"/>
      <c r="Q334" s="222"/>
    </row>
    <row r="335" spans="8:17" s="223" customFormat="1" x14ac:dyDescent="0.25">
      <c r="H335" s="354"/>
      <c r="I335" s="354"/>
      <c r="J335" s="354"/>
      <c r="K335" s="222"/>
      <c r="L335" s="222"/>
      <c r="M335" s="222"/>
      <c r="N335" s="222"/>
      <c r="O335" s="222"/>
      <c r="P335" s="222"/>
      <c r="Q335" s="222"/>
    </row>
    <row r="336" spans="8:17" s="223" customFormat="1" x14ac:dyDescent="0.25">
      <c r="H336" s="354"/>
      <c r="I336" s="354"/>
      <c r="J336" s="354"/>
      <c r="K336" s="222"/>
      <c r="L336" s="222"/>
      <c r="M336" s="222"/>
      <c r="N336" s="222"/>
      <c r="O336" s="222"/>
      <c r="P336" s="222"/>
      <c r="Q336" s="222"/>
    </row>
    <row r="337" spans="8:17" s="223" customFormat="1" x14ac:dyDescent="0.25">
      <c r="H337" s="354"/>
      <c r="I337" s="354"/>
      <c r="J337" s="354"/>
      <c r="K337" s="222"/>
      <c r="L337" s="222"/>
      <c r="M337" s="222"/>
      <c r="N337" s="222"/>
      <c r="O337" s="222"/>
      <c r="P337" s="222"/>
      <c r="Q337" s="222"/>
    </row>
    <row r="338" spans="8:17" s="223" customFormat="1" x14ac:dyDescent="0.25">
      <c r="H338" s="354"/>
      <c r="I338" s="354"/>
      <c r="J338" s="354"/>
      <c r="K338" s="222"/>
      <c r="L338" s="222"/>
      <c r="M338" s="222"/>
      <c r="N338" s="222"/>
      <c r="O338" s="222"/>
      <c r="P338" s="222"/>
      <c r="Q338" s="222"/>
    </row>
    <row r="339" spans="8:17" s="223" customFormat="1" x14ac:dyDescent="0.25">
      <c r="H339" s="354"/>
      <c r="I339" s="354"/>
      <c r="J339" s="354"/>
      <c r="K339" s="222"/>
      <c r="L339" s="222"/>
      <c r="M339" s="222"/>
      <c r="N339" s="222"/>
      <c r="O339" s="222"/>
      <c r="P339" s="222"/>
      <c r="Q339" s="222"/>
    </row>
    <row r="340" spans="8:17" s="223" customFormat="1" x14ac:dyDescent="0.25">
      <c r="H340" s="354"/>
      <c r="I340" s="354"/>
      <c r="J340" s="354"/>
      <c r="K340" s="222"/>
      <c r="L340" s="222"/>
      <c r="M340" s="222"/>
      <c r="N340" s="222"/>
      <c r="O340" s="222"/>
      <c r="P340" s="222"/>
      <c r="Q340" s="222"/>
    </row>
    <row r="341" spans="8:17" s="223" customFormat="1" x14ac:dyDescent="0.25">
      <c r="H341" s="354"/>
      <c r="I341" s="354"/>
      <c r="J341" s="354"/>
      <c r="K341" s="222"/>
      <c r="L341" s="222"/>
      <c r="M341" s="222"/>
      <c r="N341" s="222"/>
      <c r="O341" s="222"/>
      <c r="P341" s="222"/>
      <c r="Q341" s="222"/>
    </row>
    <row r="342" spans="8:17" s="223" customFormat="1" x14ac:dyDescent="0.25">
      <c r="H342" s="354"/>
      <c r="I342" s="354"/>
      <c r="J342" s="354"/>
      <c r="K342" s="222"/>
      <c r="L342" s="222"/>
      <c r="M342" s="222"/>
      <c r="N342" s="222"/>
      <c r="O342" s="222"/>
      <c r="P342" s="222"/>
      <c r="Q342" s="222"/>
    </row>
    <row r="343" spans="8:17" s="223" customFormat="1" x14ac:dyDescent="0.25">
      <c r="H343" s="354"/>
      <c r="I343" s="354"/>
      <c r="J343" s="354"/>
      <c r="K343" s="222"/>
      <c r="L343" s="222"/>
      <c r="M343" s="222"/>
      <c r="N343" s="222"/>
      <c r="O343" s="222"/>
      <c r="P343" s="222"/>
      <c r="Q343" s="222"/>
    </row>
    <row r="344" spans="8:17" s="223" customFormat="1" x14ac:dyDescent="0.25">
      <c r="H344" s="354"/>
      <c r="I344" s="354"/>
      <c r="J344" s="354"/>
      <c r="K344" s="222"/>
      <c r="L344" s="222"/>
      <c r="M344" s="222"/>
      <c r="N344" s="222"/>
      <c r="O344" s="222"/>
      <c r="P344" s="222"/>
      <c r="Q344" s="222"/>
    </row>
    <row r="345" spans="8:17" s="223" customFormat="1" x14ac:dyDescent="0.25">
      <c r="H345" s="354"/>
      <c r="I345" s="354"/>
      <c r="J345" s="354"/>
      <c r="K345" s="222"/>
      <c r="L345" s="222"/>
      <c r="M345" s="222"/>
      <c r="N345" s="222"/>
      <c r="O345" s="222"/>
      <c r="P345" s="222"/>
      <c r="Q345" s="222"/>
    </row>
    <row r="346" spans="8:17" s="223" customFormat="1" x14ac:dyDescent="0.25">
      <c r="H346" s="354"/>
      <c r="I346" s="354"/>
      <c r="J346" s="354"/>
      <c r="K346" s="222"/>
      <c r="L346" s="222"/>
      <c r="M346" s="222"/>
      <c r="N346" s="222"/>
      <c r="O346" s="222"/>
      <c r="P346" s="222"/>
      <c r="Q346" s="222"/>
    </row>
    <row r="347" spans="8:17" s="223" customFormat="1" x14ac:dyDescent="0.25">
      <c r="H347" s="354"/>
      <c r="I347" s="354"/>
      <c r="J347" s="354"/>
      <c r="K347" s="222"/>
      <c r="L347" s="222"/>
      <c r="M347" s="222"/>
      <c r="N347" s="222"/>
      <c r="O347" s="222"/>
      <c r="P347" s="222"/>
      <c r="Q347" s="222"/>
    </row>
    <row r="348" spans="8:17" s="223" customFormat="1" x14ac:dyDescent="0.25">
      <c r="H348" s="354"/>
      <c r="I348" s="354"/>
      <c r="J348" s="354"/>
      <c r="K348" s="222"/>
      <c r="L348" s="222"/>
      <c r="M348" s="222"/>
      <c r="N348" s="222"/>
      <c r="O348" s="222"/>
      <c r="P348" s="222"/>
      <c r="Q348" s="222"/>
    </row>
    <row r="349" spans="8:17" s="223" customFormat="1" x14ac:dyDescent="0.25">
      <c r="H349" s="354"/>
      <c r="I349" s="354"/>
      <c r="J349" s="354"/>
      <c r="K349" s="222"/>
      <c r="L349" s="222"/>
      <c r="M349" s="222"/>
      <c r="N349" s="222"/>
      <c r="O349" s="222"/>
      <c r="P349" s="222"/>
      <c r="Q349" s="222"/>
    </row>
    <row r="350" spans="8:17" s="223" customFormat="1" x14ac:dyDescent="0.25">
      <c r="H350" s="354"/>
      <c r="I350" s="354"/>
      <c r="J350" s="354"/>
      <c r="K350" s="222"/>
      <c r="L350" s="222"/>
      <c r="M350" s="222"/>
      <c r="N350" s="222"/>
      <c r="O350" s="222"/>
      <c r="P350" s="222"/>
      <c r="Q350" s="222"/>
    </row>
    <row r="351" spans="8:17" s="223" customFormat="1" x14ac:dyDescent="0.25">
      <c r="H351" s="354"/>
      <c r="I351" s="354"/>
      <c r="J351" s="354"/>
      <c r="K351" s="222"/>
      <c r="L351" s="222"/>
      <c r="M351" s="222"/>
      <c r="N351" s="222"/>
      <c r="O351" s="222"/>
      <c r="P351" s="222"/>
      <c r="Q351" s="222"/>
    </row>
    <row r="352" spans="8:17" s="223" customFormat="1" x14ac:dyDescent="0.25">
      <c r="H352" s="354"/>
      <c r="I352" s="354"/>
      <c r="J352" s="354"/>
      <c r="K352" s="222"/>
      <c r="L352" s="222"/>
      <c r="M352" s="222"/>
      <c r="N352" s="222"/>
      <c r="O352" s="222"/>
      <c r="P352" s="222"/>
      <c r="Q352" s="222"/>
    </row>
    <row r="353" spans="8:17" s="223" customFormat="1" x14ac:dyDescent="0.25">
      <c r="H353" s="354"/>
      <c r="I353" s="354"/>
      <c r="J353" s="354"/>
      <c r="K353" s="222"/>
      <c r="L353" s="222"/>
      <c r="M353" s="222"/>
      <c r="N353" s="222"/>
      <c r="O353" s="222"/>
      <c r="P353" s="222"/>
      <c r="Q353" s="222"/>
    </row>
    <row r="354" spans="8:17" s="223" customFormat="1" x14ac:dyDescent="0.25">
      <c r="H354" s="354"/>
      <c r="I354" s="354"/>
      <c r="J354" s="354"/>
      <c r="K354" s="222"/>
      <c r="L354" s="222"/>
      <c r="M354" s="222"/>
      <c r="N354" s="222"/>
      <c r="O354" s="222"/>
      <c r="P354" s="222"/>
      <c r="Q354" s="222"/>
    </row>
    <row r="355" spans="8:17" s="223" customFormat="1" x14ac:dyDescent="0.25">
      <c r="H355" s="354"/>
      <c r="I355" s="354"/>
      <c r="J355" s="354"/>
      <c r="K355" s="222"/>
      <c r="L355" s="222"/>
      <c r="M355" s="222"/>
      <c r="N355" s="222"/>
      <c r="O355" s="222"/>
      <c r="P355" s="222"/>
      <c r="Q355" s="222"/>
    </row>
    <row r="356" spans="8:17" s="223" customFormat="1" x14ac:dyDescent="0.25">
      <c r="H356" s="354"/>
      <c r="I356" s="354"/>
      <c r="J356" s="354"/>
      <c r="K356" s="222"/>
      <c r="L356" s="222"/>
      <c r="M356" s="222"/>
      <c r="N356" s="222"/>
      <c r="O356" s="222"/>
      <c r="P356" s="222"/>
      <c r="Q356" s="222"/>
    </row>
    <row r="357" spans="8:17" s="223" customFormat="1" x14ac:dyDescent="0.25">
      <c r="H357" s="354"/>
      <c r="I357" s="354"/>
      <c r="J357" s="354"/>
      <c r="K357" s="222"/>
      <c r="L357" s="222"/>
      <c r="M357" s="222"/>
      <c r="N357" s="222"/>
      <c r="O357" s="222"/>
      <c r="P357" s="222"/>
      <c r="Q357" s="222"/>
    </row>
    <row r="358" spans="8:17" s="223" customFormat="1" x14ac:dyDescent="0.25">
      <c r="H358" s="354"/>
      <c r="I358" s="354"/>
      <c r="J358" s="354"/>
      <c r="K358" s="222"/>
      <c r="L358" s="222"/>
      <c r="M358" s="222"/>
      <c r="N358" s="222"/>
      <c r="O358" s="222"/>
      <c r="P358" s="222"/>
      <c r="Q358" s="222"/>
    </row>
    <row r="359" spans="8:17" s="223" customFormat="1" x14ac:dyDescent="0.25">
      <c r="H359" s="354"/>
      <c r="I359" s="354"/>
      <c r="J359" s="354"/>
      <c r="K359" s="222"/>
      <c r="L359" s="222"/>
      <c r="M359" s="222"/>
      <c r="N359" s="222"/>
      <c r="O359" s="222"/>
      <c r="P359" s="222"/>
      <c r="Q359" s="222"/>
    </row>
    <row r="360" spans="8:17" s="223" customFormat="1" x14ac:dyDescent="0.25">
      <c r="H360" s="354"/>
      <c r="I360" s="354"/>
      <c r="J360" s="354"/>
      <c r="K360" s="222"/>
      <c r="L360" s="222"/>
      <c r="M360" s="222"/>
      <c r="N360" s="222"/>
      <c r="O360" s="222"/>
      <c r="P360" s="222"/>
      <c r="Q360" s="222"/>
    </row>
    <row r="361" spans="8:17" s="223" customFormat="1" x14ac:dyDescent="0.25">
      <c r="H361" s="354"/>
      <c r="I361" s="354"/>
      <c r="J361" s="354"/>
      <c r="K361" s="222"/>
      <c r="L361" s="222"/>
      <c r="M361" s="222"/>
      <c r="N361" s="222"/>
      <c r="O361" s="222"/>
      <c r="P361" s="222"/>
      <c r="Q361" s="222"/>
    </row>
    <row r="362" spans="8:17" s="223" customFormat="1" x14ac:dyDescent="0.25">
      <c r="H362" s="354"/>
      <c r="I362" s="354"/>
      <c r="J362" s="354"/>
      <c r="K362" s="222"/>
      <c r="L362" s="222"/>
      <c r="M362" s="222"/>
      <c r="N362" s="222"/>
      <c r="O362" s="222"/>
      <c r="P362" s="222"/>
      <c r="Q362" s="222"/>
    </row>
    <row r="363" spans="8:17" s="223" customFormat="1" x14ac:dyDescent="0.25">
      <c r="H363" s="354"/>
      <c r="I363" s="354"/>
      <c r="J363" s="354"/>
      <c r="K363" s="222"/>
      <c r="L363" s="222"/>
      <c r="M363" s="222"/>
      <c r="N363" s="222"/>
      <c r="O363" s="222"/>
      <c r="P363" s="222"/>
      <c r="Q363" s="222"/>
    </row>
    <row r="364" spans="8:17" s="223" customFormat="1" x14ac:dyDescent="0.25">
      <c r="H364" s="354"/>
      <c r="I364" s="354"/>
      <c r="J364" s="354"/>
      <c r="K364" s="222"/>
      <c r="L364" s="222"/>
      <c r="M364" s="222"/>
      <c r="N364" s="222"/>
      <c r="O364" s="222"/>
      <c r="P364" s="222"/>
      <c r="Q364" s="222"/>
    </row>
    <row r="365" spans="8:17" s="223" customFormat="1" x14ac:dyDescent="0.25">
      <c r="H365" s="354"/>
      <c r="I365" s="354"/>
      <c r="J365" s="354"/>
      <c r="K365" s="222"/>
      <c r="L365" s="222"/>
      <c r="M365" s="222"/>
      <c r="N365" s="222"/>
      <c r="O365" s="222"/>
      <c r="P365" s="222"/>
      <c r="Q365" s="222"/>
    </row>
    <row r="366" spans="8:17" s="223" customFormat="1" x14ac:dyDescent="0.25">
      <c r="H366" s="354"/>
      <c r="I366" s="354"/>
      <c r="J366" s="354"/>
      <c r="K366" s="222"/>
      <c r="L366" s="222"/>
      <c r="M366" s="222"/>
      <c r="N366" s="222"/>
      <c r="O366" s="222"/>
      <c r="P366" s="222"/>
      <c r="Q366" s="222"/>
    </row>
    <row r="367" spans="8:17" s="223" customFormat="1" x14ac:dyDescent="0.25">
      <c r="H367" s="354"/>
      <c r="I367" s="354"/>
      <c r="J367" s="354"/>
      <c r="K367" s="222"/>
      <c r="L367" s="222"/>
      <c r="M367" s="222"/>
      <c r="N367" s="222"/>
      <c r="O367" s="222"/>
      <c r="P367" s="222"/>
      <c r="Q367" s="222"/>
    </row>
    <row r="368" spans="8:17" s="223" customFormat="1" x14ac:dyDescent="0.25">
      <c r="H368" s="354"/>
      <c r="I368" s="354"/>
      <c r="J368" s="354"/>
      <c r="K368" s="222"/>
      <c r="L368" s="222"/>
      <c r="M368" s="222"/>
      <c r="N368" s="222"/>
      <c r="O368" s="222"/>
      <c r="P368" s="222"/>
      <c r="Q368" s="222"/>
    </row>
    <row r="369" spans="8:17" s="223" customFormat="1" x14ac:dyDescent="0.25">
      <c r="H369" s="354"/>
      <c r="I369" s="354"/>
      <c r="J369" s="354"/>
      <c r="K369" s="222"/>
      <c r="L369" s="222"/>
      <c r="M369" s="222"/>
      <c r="N369" s="222"/>
      <c r="O369" s="222"/>
      <c r="P369" s="222"/>
      <c r="Q369" s="222"/>
    </row>
    <row r="370" spans="8:17" s="223" customFormat="1" x14ac:dyDescent="0.25">
      <c r="H370" s="354"/>
      <c r="I370" s="354"/>
      <c r="J370" s="354"/>
      <c r="K370" s="222"/>
      <c r="L370" s="222"/>
      <c r="M370" s="222"/>
      <c r="N370" s="222"/>
      <c r="O370" s="222"/>
      <c r="P370" s="222"/>
      <c r="Q370" s="222"/>
    </row>
    <row r="371" spans="8:17" s="223" customFormat="1" x14ac:dyDescent="0.25">
      <c r="H371" s="354"/>
      <c r="I371" s="354"/>
      <c r="J371" s="354"/>
      <c r="K371" s="222"/>
      <c r="L371" s="222"/>
      <c r="M371" s="222"/>
      <c r="N371" s="222"/>
      <c r="O371" s="222"/>
      <c r="P371" s="222"/>
      <c r="Q371" s="222"/>
    </row>
    <row r="372" spans="8:17" s="223" customFormat="1" x14ac:dyDescent="0.25">
      <c r="H372" s="354"/>
      <c r="I372" s="354"/>
      <c r="J372" s="354"/>
      <c r="K372" s="222"/>
      <c r="L372" s="222"/>
      <c r="M372" s="222"/>
      <c r="N372" s="222"/>
      <c r="O372" s="222"/>
      <c r="P372" s="222"/>
      <c r="Q372" s="222"/>
    </row>
    <row r="373" spans="8:17" s="223" customFormat="1" x14ac:dyDescent="0.25">
      <c r="H373" s="354"/>
      <c r="I373" s="354"/>
      <c r="J373" s="354"/>
      <c r="K373" s="222"/>
      <c r="L373" s="222"/>
      <c r="M373" s="222"/>
      <c r="N373" s="222"/>
      <c r="O373" s="222"/>
      <c r="P373" s="222"/>
      <c r="Q373" s="222"/>
    </row>
    <row r="374" spans="8:17" s="223" customFormat="1" x14ac:dyDescent="0.25">
      <c r="H374" s="354"/>
      <c r="I374" s="354"/>
      <c r="J374" s="354"/>
      <c r="K374" s="222"/>
      <c r="L374" s="222"/>
      <c r="M374" s="222"/>
      <c r="N374" s="222"/>
      <c r="O374" s="222"/>
      <c r="P374" s="222"/>
      <c r="Q374" s="222"/>
    </row>
    <row r="375" spans="8:17" s="223" customFormat="1" x14ac:dyDescent="0.25">
      <c r="H375" s="354"/>
      <c r="I375" s="354"/>
      <c r="J375" s="354"/>
      <c r="K375" s="222"/>
      <c r="L375" s="222"/>
      <c r="M375" s="222"/>
      <c r="N375" s="222"/>
      <c r="O375" s="222"/>
      <c r="P375" s="222"/>
      <c r="Q375" s="222"/>
    </row>
    <row r="376" spans="8:17" s="223" customFormat="1" x14ac:dyDescent="0.25">
      <c r="H376" s="354"/>
      <c r="I376" s="354"/>
      <c r="J376" s="354"/>
      <c r="K376" s="222"/>
      <c r="L376" s="222"/>
      <c r="M376" s="222"/>
      <c r="N376" s="222"/>
      <c r="O376" s="222"/>
      <c r="P376" s="222"/>
      <c r="Q376" s="222"/>
    </row>
    <row r="377" spans="8:17" s="223" customFormat="1" x14ac:dyDescent="0.25">
      <c r="H377" s="354"/>
      <c r="I377" s="354"/>
      <c r="J377" s="354"/>
      <c r="K377" s="222"/>
      <c r="L377" s="222"/>
      <c r="M377" s="222"/>
      <c r="N377" s="222"/>
      <c r="O377" s="222"/>
      <c r="P377" s="222"/>
      <c r="Q377" s="222"/>
    </row>
    <row r="378" spans="8:17" s="223" customFormat="1" x14ac:dyDescent="0.25">
      <c r="H378" s="354"/>
      <c r="I378" s="354"/>
      <c r="J378" s="354"/>
      <c r="K378" s="222"/>
      <c r="L378" s="222"/>
      <c r="M378" s="222"/>
      <c r="N378" s="222"/>
      <c r="O378" s="222"/>
      <c r="P378" s="222"/>
      <c r="Q378" s="222"/>
    </row>
    <row r="379" spans="8:17" s="223" customFormat="1" x14ac:dyDescent="0.25">
      <c r="H379" s="354"/>
      <c r="I379" s="354"/>
      <c r="J379" s="354"/>
      <c r="K379" s="222"/>
      <c r="L379" s="222"/>
      <c r="M379" s="222"/>
      <c r="N379" s="222"/>
      <c r="O379" s="222"/>
      <c r="P379" s="222"/>
      <c r="Q379" s="222"/>
    </row>
    <row r="380" spans="8:17" s="223" customFormat="1" x14ac:dyDescent="0.25">
      <c r="H380" s="354"/>
      <c r="I380" s="354"/>
      <c r="J380" s="354"/>
      <c r="K380" s="222"/>
      <c r="L380" s="222"/>
      <c r="M380" s="222"/>
      <c r="N380" s="222"/>
      <c r="O380" s="222"/>
      <c r="P380" s="222"/>
      <c r="Q380" s="222"/>
    </row>
    <row r="381" spans="8:17" s="223" customFormat="1" x14ac:dyDescent="0.25">
      <c r="H381" s="354"/>
      <c r="I381" s="354"/>
      <c r="J381" s="354"/>
      <c r="K381" s="222"/>
      <c r="L381" s="222"/>
      <c r="M381" s="222"/>
      <c r="N381" s="222"/>
      <c r="O381" s="222"/>
      <c r="P381" s="222"/>
      <c r="Q381" s="222"/>
    </row>
    <row r="382" spans="8:17" s="223" customFormat="1" x14ac:dyDescent="0.25">
      <c r="H382" s="354"/>
      <c r="I382" s="354"/>
      <c r="J382" s="354"/>
      <c r="K382" s="222"/>
      <c r="L382" s="222"/>
      <c r="M382" s="222"/>
      <c r="N382" s="222"/>
      <c r="O382" s="222"/>
      <c r="P382" s="222"/>
      <c r="Q382" s="222"/>
    </row>
    <row r="383" spans="8:17" s="223" customFormat="1" x14ac:dyDescent="0.25">
      <c r="H383" s="354"/>
      <c r="I383" s="354"/>
      <c r="J383" s="354"/>
      <c r="K383" s="222"/>
      <c r="L383" s="222"/>
      <c r="M383" s="222"/>
      <c r="N383" s="222"/>
      <c r="O383" s="222"/>
      <c r="P383" s="222"/>
      <c r="Q383" s="222"/>
    </row>
    <row r="384" spans="8:17" s="223" customFormat="1" x14ac:dyDescent="0.25">
      <c r="H384" s="354"/>
      <c r="I384" s="354"/>
      <c r="J384" s="354"/>
      <c r="K384" s="222"/>
      <c r="L384" s="222"/>
      <c r="M384" s="222"/>
      <c r="N384" s="222"/>
      <c r="O384" s="222"/>
      <c r="P384" s="222"/>
      <c r="Q384" s="222"/>
    </row>
    <row r="385" spans="8:17" s="223" customFormat="1" x14ac:dyDescent="0.25">
      <c r="H385" s="354"/>
      <c r="I385" s="354"/>
      <c r="J385" s="354"/>
      <c r="K385" s="222"/>
      <c r="L385" s="222"/>
      <c r="M385" s="222"/>
      <c r="N385" s="222"/>
      <c r="O385" s="222"/>
      <c r="P385" s="222"/>
      <c r="Q385" s="222"/>
    </row>
    <row r="386" spans="8:17" s="223" customFormat="1" x14ac:dyDescent="0.25">
      <c r="H386" s="354"/>
      <c r="I386" s="354"/>
      <c r="J386" s="354"/>
      <c r="K386" s="222"/>
      <c r="L386" s="222"/>
      <c r="M386" s="222"/>
      <c r="N386" s="222"/>
      <c r="O386" s="222"/>
      <c r="P386" s="222"/>
      <c r="Q386" s="222"/>
    </row>
    <row r="387" spans="8:17" s="223" customFormat="1" x14ac:dyDescent="0.25">
      <c r="H387" s="354"/>
      <c r="I387" s="354"/>
      <c r="J387" s="354"/>
      <c r="K387" s="222"/>
      <c r="L387" s="222"/>
      <c r="M387" s="222"/>
      <c r="N387" s="222"/>
      <c r="O387" s="222"/>
      <c r="P387" s="222"/>
      <c r="Q387" s="222"/>
    </row>
    <row r="388" spans="8:17" s="223" customFormat="1" x14ac:dyDescent="0.25">
      <c r="H388" s="354"/>
      <c r="I388" s="354"/>
      <c r="J388" s="354"/>
      <c r="K388" s="222"/>
      <c r="L388" s="222"/>
      <c r="M388" s="222"/>
      <c r="N388" s="222"/>
      <c r="O388" s="222"/>
      <c r="P388" s="222"/>
      <c r="Q388" s="222"/>
    </row>
    <row r="389" spans="8:17" s="223" customFormat="1" x14ac:dyDescent="0.25">
      <c r="H389" s="354"/>
      <c r="I389" s="354"/>
      <c r="J389" s="354"/>
      <c r="K389" s="222"/>
      <c r="L389" s="222"/>
      <c r="M389" s="222"/>
      <c r="N389" s="222"/>
      <c r="O389" s="222"/>
      <c r="P389" s="222"/>
      <c r="Q389" s="222"/>
    </row>
    <row r="390" spans="8:17" s="223" customFormat="1" x14ac:dyDescent="0.25">
      <c r="H390" s="354"/>
      <c r="I390" s="354"/>
      <c r="J390" s="354"/>
      <c r="K390" s="222"/>
      <c r="L390" s="222"/>
      <c r="M390" s="222"/>
      <c r="N390" s="222"/>
      <c r="O390" s="222"/>
      <c r="P390" s="222"/>
      <c r="Q390" s="222"/>
    </row>
    <row r="391" spans="8:17" s="223" customFormat="1" x14ac:dyDescent="0.25">
      <c r="H391" s="354"/>
      <c r="I391" s="354"/>
      <c r="J391" s="354"/>
      <c r="K391" s="222"/>
      <c r="L391" s="222"/>
      <c r="M391" s="222"/>
      <c r="N391" s="222"/>
      <c r="O391" s="222"/>
      <c r="P391" s="222"/>
      <c r="Q391" s="222"/>
    </row>
    <row r="392" spans="8:17" s="223" customFormat="1" x14ac:dyDescent="0.25">
      <c r="H392" s="354"/>
      <c r="I392" s="354"/>
      <c r="J392" s="354"/>
      <c r="K392" s="222"/>
      <c r="L392" s="222"/>
      <c r="M392" s="222"/>
      <c r="N392" s="222"/>
      <c r="O392" s="222"/>
      <c r="P392" s="222"/>
      <c r="Q392" s="222"/>
    </row>
    <row r="393" spans="8:17" s="223" customFormat="1" x14ac:dyDescent="0.25">
      <c r="H393" s="354"/>
      <c r="I393" s="354"/>
      <c r="J393" s="354"/>
      <c r="K393" s="222"/>
      <c r="L393" s="222"/>
      <c r="M393" s="222"/>
      <c r="N393" s="222"/>
      <c r="O393" s="222"/>
      <c r="P393" s="222"/>
      <c r="Q393" s="222"/>
    </row>
    <row r="394" spans="8:17" s="223" customFormat="1" x14ac:dyDescent="0.25">
      <c r="H394" s="354"/>
      <c r="I394" s="354"/>
      <c r="J394" s="354"/>
      <c r="K394" s="222"/>
      <c r="L394" s="222"/>
      <c r="M394" s="222"/>
      <c r="N394" s="222"/>
      <c r="O394" s="222"/>
      <c r="P394" s="222"/>
      <c r="Q394" s="222"/>
    </row>
    <row r="395" spans="8:17" s="223" customFormat="1" x14ac:dyDescent="0.25">
      <c r="H395" s="354"/>
      <c r="I395" s="354"/>
      <c r="J395" s="354"/>
      <c r="K395" s="222"/>
      <c r="L395" s="222"/>
      <c r="M395" s="222"/>
      <c r="N395" s="222"/>
      <c r="O395" s="222"/>
      <c r="P395" s="222"/>
      <c r="Q395" s="222"/>
    </row>
    <row r="396" spans="8:17" s="223" customFormat="1" x14ac:dyDescent="0.25">
      <c r="H396" s="354"/>
      <c r="I396" s="354"/>
      <c r="J396" s="354"/>
      <c r="K396" s="222"/>
      <c r="L396" s="222"/>
      <c r="M396" s="222"/>
      <c r="N396" s="222"/>
      <c r="O396" s="222"/>
      <c r="P396" s="222"/>
      <c r="Q396" s="222"/>
    </row>
    <row r="397" spans="8:17" s="223" customFormat="1" x14ac:dyDescent="0.25">
      <c r="H397" s="354"/>
      <c r="I397" s="354"/>
      <c r="J397" s="354"/>
      <c r="K397" s="222"/>
      <c r="L397" s="222"/>
      <c r="M397" s="222"/>
      <c r="N397" s="222"/>
      <c r="O397" s="222"/>
      <c r="P397" s="222"/>
      <c r="Q397" s="222"/>
    </row>
    <row r="398" spans="8:17" s="223" customFormat="1" x14ac:dyDescent="0.25">
      <c r="H398" s="354"/>
      <c r="I398" s="354"/>
      <c r="J398" s="354"/>
      <c r="K398" s="222"/>
      <c r="L398" s="222"/>
      <c r="M398" s="222"/>
      <c r="N398" s="222"/>
      <c r="O398" s="222"/>
      <c r="P398" s="222"/>
      <c r="Q398" s="222"/>
    </row>
    <row r="399" spans="8:17" s="223" customFormat="1" x14ac:dyDescent="0.25">
      <c r="H399" s="354"/>
      <c r="I399" s="354"/>
      <c r="J399" s="354"/>
      <c r="K399" s="222"/>
      <c r="L399" s="222"/>
      <c r="M399" s="222"/>
      <c r="N399" s="222"/>
      <c r="O399" s="222"/>
      <c r="P399" s="222"/>
      <c r="Q399" s="222"/>
    </row>
    <row r="400" spans="8:17" s="223" customFormat="1" x14ac:dyDescent="0.25">
      <c r="H400" s="354"/>
      <c r="I400" s="354"/>
      <c r="J400" s="354"/>
      <c r="K400" s="222"/>
      <c r="L400" s="222"/>
      <c r="M400" s="222"/>
      <c r="N400" s="222"/>
      <c r="O400" s="222"/>
      <c r="P400" s="222"/>
      <c r="Q400" s="222"/>
    </row>
    <row r="401" spans="8:17" s="223" customFormat="1" x14ac:dyDescent="0.25">
      <c r="H401" s="354"/>
      <c r="I401" s="354"/>
      <c r="J401" s="354"/>
      <c r="K401" s="222"/>
      <c r="L401" s="222"/>
      <c r="M401" s="222"/>
      <c r="N401" s="222"/>
      <c r="O401" s="222"/>
      <c r="P401" s="222"/>
      <c r="Q401" s="222"/>
    </row>
    <row r="402" spans="8:17" s="223" customFormat="1" x14ac:dyDescent="0.25">
      <c r="H402" s="354"/>
      <c r="I402" s="354"/>
      <c r="J402" s="354"/>
      <c r="K402" s="222"/>
      <c r="L402" s="222"/>
      <c r="M402" s="222"/>
      <c r="N402" s="222"/>
      <c r="O402" s="222"/>
      <c r="P402" s="222"/>
      <c r="Q402" s="222"/>
    </row>
    <row r="403" spans="8:17" s="223" customFormat="1" x14ac:dyDescent="0.25">
      <c r="H403" s="354"/>
      <c r="I403" s="354"/>
      <c r="J403" s="354"/>
      <c r="K403" s="222"/>
      <c r="L403" s="222"/>
      <c r="M403" s="222"/>
      <c r="N403" s="222"/>
      <c r="O403" s="222"/>
      <c r="P403" s="222"/>
      <c r="Q403" s="222"/>
    </row>
    <row r="404" spans="8:17" s="223" customFormat="1" x14ac:dyDescent="0.25">
      <c r="H404" s="354"/>
      <c r="I404" s="354"/>
      <c r="J404" s="354"/>
      <c r="K404" s="222"/>
      <c r="L404" s="222"/>
      <c r="M404" s="222"/>
      <c r="N404" s="222"/>
      <c r="O404" s="222"/>
      <c r="P404" s="222"/>
      <c r="Q404" s="222"/>
    </row>
    <row r="405" spans="8:17" s="223" customFormat="1" x14ac:dyDescent="0.25">
      <c r="H405" s="354"/>
      <c r="I405" s="354"/>
      <c r="J405" s="354"/>
      <c r="K405" s="222"/>
      <c r="L405" s="222"/>
      <c r="M405" s="222"/>
      <c r="N405" s="222"/>
      <c r="O405" s="222"/>
      <c r="P405" s="222"/>
      <c r="Q405" s="222"/>
    </row>
    <row r="406" spans="8:17" s="223" customFormat="1" x14ac:dyDescent="0.25">
      <c r="H406" s="354"/>
      <c r="I406" s="354"/>
      <c r="J406" s="354"/>
      <c r="K406" s="222"/>
      <c r="L406" s="222"/>
      <c r="M406" s="222"/>
      <c r="N406" s="222"/>
      <c r="O406" s="222"/>
      <c r="P406" s="222"/>
      <c r="Q406" s="222"/>
    </row>
    <row r="407" spans="8:17" s="223" customFormat="1" x14ac:dyDescent="0.25">
      <c r="H407" s="354"/>
      <c r="I407" s="354"/>
      <c r="J407" s="354"/>
      <c r="K407" s="222"/>
      <c r="L407" s="222"/>
      <c r="M407" s="222"/>
      <c r="N407" s="222"/>
      <c r="O407" s="222"/>
      <c r="P407" s="222"/>
      <c r="Q407" s="222"/>
    </row>
    <row r="408" spans="8:17" s="223" customFormat="1" x14ac:dyDescent="0.25">
      <c r="H408" s="354"/>
      <c r="I408" s="354"/>
      <c r="J408" s="354"/>
      <c r="K408" s="222"/>
      <c r="L408" s="222"/>
      <c r="M408" s="222"/>
      <c r="N408" s="222"/>
      <c r="O408" s="222"/>
      <c r="P408" s="222"/>
      <c r="Q408" s="222"/>
    </row>
    <row r="409" spans="8:17" s="223" customFormat="1" x14ac:dyDescent="0.25">
      <c r="H409" s="354"/>
      <c r="I409" s="354"/>
      <c r="J409" s="354"/>
      <c r="K409" s="222"/>
      <c r="L409" s="222"/>
      <c r="M409" s="222"/>
      <c r="N409" s="222"/>
      <c r="O409" s="222"/>
      <c r="P409" s="222"/>
      <c r="Q409" s="222"/>
    </row>
    <row r="410" spans="8:17" s="223" customFormat="1" x14ac:dyDescent="0.25">
      <c r="H410" s="354"/>
      <c r="I410" s="354"/>
      <c r="J410" s="354"/>
      <c r="K410" s="222"/>
      <c r="L410" s="222"/>
      <c r="M410" s="222"/>
      <c r="N410" s="222"/>
      <c r="O410" s="222"/>
      <c r="P410" s="222"/>
      <c r="Q410" s="222"/>
    </row>
    <row r="411" spans="8:17" s="223" customFormat="1" x14ac:dyDescent="0.25">
      <c r="H411" s="354"/>
      <c r="I411" s="354"/>
      <c r="J411" s="354"/>
      <c r="K411" s="222"/>
      <c r="L411" s="222"/>
      <c r="M411" s="222"/>
      <c r="N411" s="222"/>
      <c r="O411" s="222"/>
      <c r="P411" s="222"/>
      <c r="Q411" s="222"/>
    </row>
    <row r="412" spans="8:17" s="223" customFormat="1" x14ac:dyDescent="0.25">
      <c r="H412" s="354"/>
      <c r="I412" s="354"/>
      <c r="J412" s="354"/>
      <c r="K412" s="222"/>
      <c r="L412" s="222"/>
      <c r="M412" s="222"/>
      <c r="N412" s="222"/>
      <c r="O412" s="222"/>
      <c r="P412" s="222"/>
      <c r="Q412" s="222"/>
    </row>
    <row r="413" spans="8:17" s="223" customFormat="1" x14ac:dyDescent="0.25">
      <c r="H413" s="354"/>
      <c r="I413" s="354"/>
      <c r="J413" s="354"/>
      <c r="K413" s="222"/>
      <c r="L413" s="222"/>
      <c r="M413" s="222"/>
      <c r="N413" s="222"/>
      <c r="O413" s="222"/>
      <c r="P413" s="222"/>
      <c r="Q413" s="222"/>
    </row>
    <row r="414" spans="8:17" s="223" customFormat="1" x14ac:dyDescent="0.25">
      <c r="H414" s="354"/>
      <c r="I414" s="354"/>
      <c r="J414" s="354"/>
      <c r="K414" s="222"/>
      <c r="L414" s="222"/>
      <c r="M414" s="222"/>
      <c r="N414" s="222"/>
      <c r="O414" s="222"/>
      <c r="P414" s="222"/>
      <c r="Q414" s="222"/>
    </row>
    <row r="415" spans="8:17" s="223" customFormat="1" x14ac:dyDescent="0.25">
      <c r="H415" s="354"/>
      <c r="I415" s="354"/>
      <c r="J415" s="354"/>
      <c r="K415" s="222"/>
      <c r="L415" s="222"/>
      <c r="M415" s="222"/>
      <c r="N415" s="222"/>
      <c r="O415" s="222"/>
      <c r="P415" s="222"/>
      <c r="Q415" s="222"/>
    </row>
    <row r="416" spans="8:17" s="223" customFormat="1" x14ac:dyDescent="0.25">
      <c r="H416" s="354"/>
      <c r="I416" s="354"/>
      <c r="J416" s="354"/>
      <c r="K416" s="222"/>
      <c r="L416" s="222"/>
      <c r="M416" s="222"/>
      <c r="N416" s="222"/>
      <c r="O416" s="222"/>
      <c r="P416" s="222"/>
      <c r="Q416" s="222"/>
    </row>
    <row r="417" spans="8:17" s="223" customFormat="1" x14ac:dyDescent="0.25">
      <c r="H417" s="354"/>
      <c r="I417" s="354"/>
      <c r="J417" s="354"/>
      <c r="K417" s="222"/>
      <c r="L417" s="222"/>
      <c r="M417" s="222"/>
      <c r="N417" s="222"/>
      <c r="O417" s="222"/>
      <c r="P417" s="222"/>
      <c r="Q417" s="222"/>
    </row>
    <row r="418" spans="8:17" s="223" customFormat="1" x14ac:dyDescent="0.25">
      <c r="H418" s="354"/>
      <c r="I418" s="354"/>
      <c r="J418" s="354"/>
      <c r="K418" s="222"/>
      <c r="L418" s="222"/>
      <c r="M418" s="222"/>
      <c r="N418" s="222"/>
      <c r="O418" s="222"/>
      <c r="P418" s="222"/>
      <c r="Q418" s="222"/>
    </row>
    <row r="419" spans="8:17" s="223" customFormat="1" x14ac:dyDescent="0.25">
      <c r="H419" s="354"/>
      <c r="I419" s="354"/>
      <c r="J419" s="354"/>
      <c r="K419" s="222"/>
      <c r="L419" s="222"/>
      <c r="M419" s="222"/>
      <c r="N419" s="222"/>
      <c r="O419" s="222"/>
      <c r="P419" s="222"/>
      <c r="Q419" s="222"/>
    </row>
    <row r="420" spans="8:17" s="223" customFormat="1" x14ac:dyDescent="0.25">
      <c r="H420" s="354"/>
      <c r="I420" s="354"/>
      <c r="J420" s="354"/>
      <c r="K420" s="222"/>
      <c r="L420" s="222"/>
      <c r="M420" s="222"/>
      <c r="N420" s="222"/>
      <c r="O420" s="222"/>
      <c r="P420" s="222"/>
      <c r="Q420" s="222"/>
    </row>
    <row r="421" spans="8:17" s="223" customFormat="1" x14ac:dyDescent="0.25">
      <c r="H421" s="354"/>
      <c r="I421" s="354"/>
      <c r="J421" s="354"/>
      <c r="K421" s="222"/>
      <c r="L421" s="222"/>
      <c r="M421" s="222"/>
      <c r="N421" s="222"/>
      <c r="O421" s="222"/>
      <c r="P421" s="222"/>
      <c r="Q421" s="222"/>
    </row>
    <row r="422" spans="8:17" s="223" customFormat="1" x14ac:dyDescent="0.25">
      <c r="H422" s="354"/>
      <c r="I422" s="354"/>
      <c r="J422" s="354"/>
      <c r="K422" s="222"/>
      <c r="L422" s="222"/>
      <c r="M422" s="222"/>
      <c r="N422" s="222"/>
      <c r="O422" s="222"/>
      <c r="P422" s="222"/>
      <c r="Q422" s="222"/>
    </row>
    <row r="423" spans="8:17" s="223" customFormat="1" x14ac:dyDescent="0.25">
      <c r="H423" s="354"/>
      <c r="I423" s="354"/>
      <c r="J423" s="354"/>
      <c r="K423" s="222"/>
      <c r="L423" s="222"/>
      <c r="M423" s="222"/>
      <c r="N423" s="222"/>
      <c r="O423" s="222"/>
      <c r="P423" s="222"/>
      <c r="Q423" s="222"/>
    </row>
    <row r="424" spans="8:17" s="223" customFormat="1" x14ac:dyDescent="0.25">
      <c r="H424" s="354"/>
      <c r="I424" s="354"/>
      <c r="J424" s="354"/>
      <c r="K424" s="222"/>
      <c r="L424" s="222"/>
      <c r="M424" s="222"/>
      <c r="N424" s="222"/>
      <c r="O424" s="222"/>
      <c r="P424" s="222"/>
      <c r="Q424" s="222"/>
    </row>
    <row r="425" spans="8:17" s="223" customFormat="1" x14ac:dyDescent="0.25">
      <c r="H425" s="354"/>
      <c r="I425" s="354"/>
      <c r="J425" s="354"/>
      <c r="K425" s="222"/>
      <c r="L425" s="222"/>
      <c r="M425" s="222"/>
      <c r="N425" s="222"/>
      <c r="O425" s="222"/>
      <c r="P425" s="222"/>
      <c r="Q425" s="222"/>
    </row>
    <row r="426" spans="8:17" s="223" customFormat="1" x14ac:dyDescent="0.25">
      <c r="H426" s="354"/>
      <c r="I426" s="354"/>
      <c r="J426" s="354"/>
      <c r="K426" s="222"/>
      <c r="L426" s="222"/>
      <c r="M426" s="222"/>
      <c r="N426" s="222"/>
      <c r="O426" s="222"/>
      <c r="P426" s="222"/>
      <c r="Q426" s="222"/>
    </row>
    <row r="427" spans="8:17" s="223" customFormat="1" x14ac:dyDescent="0.25">
      <c r="H427" s="354"/>
      <c r="I427" s="354"/>
      <c r="J427" s="354"/>
      <c r="K427" s="222"/>
      <c r="L427" s="222"/>
      <c r="M427" s="222"/>
      <c r="N427" s="222"/>
      <c r="O427" s="222"/>
      <c r="P427" s="222"/>
      <c r="Q427" s="222"/>
    </row>
    <row r="428" spans="8:17" s="223" customFormat="1" x14ac:dyDescent="0.25">
      <c r="H428" s="354"/>
      <c r="I428" s="354"/>
      <c r="J428" s="354"/>
      <c r="K428" s="222"/>
      <c r="L428" s="222"/>
      <c r="M428" s="222"/>
      <c r="N428" s="222"/>
      <c r="O428" s="222"/>
      <c r="P428" s="222"/>
      <c r="Q428" s="222"/>
    </row>
    <row r="429" spans="8:17" s="223" customFormat="1" x14ac:dyDescent="0.25">
      <c r="H429" s="354"/>
      <c r="I429" s="354"/>
      <c r="J429" s="354"/>
      <c r="K429" s="222"/>
      <c r="L429" s="222"/>
      <c r="M429" s="222"/>
      <c r="N429" s="222"/>
      <c r="O429" s="222"/>
      <c r="P429" s="222"/>
      <c r="Q429" s="222"/>
    </row>
    <row r="430" spans="8:17" s="223" customFormat="1" x14ac:dyDescent="0.25">
      <c r="H430" s="354"/>
      <c r="I430" s="354"/>
      <c r="J430" s="354"/>
      <c r="K430" s="222"/>
      <c r="L430" s="222"/>
      <c r="M430" s="222"/>
      <c r="N430" s="222"/>
      <c r="O430" s="222"/>
      <c r="P430" s="222"/>
      <c r="Q430" s="222"/>
    </row>
    <row r="431" spans="8:17" s="223" customFormat="1" x14ac:dyDescent="0.25">
      <c r="H431" s="354"/>
      <c r="I431" s="354"/>
      <c r="J431" s="354"/>
      <c r="K431" s="222"/>
      <c r="L431" s="222"/>
      <c r="M431" s="222"/>
      <c r="N431" s="222"/>
      <c r="O431" s="222"/>
      <c r="P431" s="222"/>
      <c r="Q431" s="222"/>
    </row>
    <row r="432" spans="8:17" s="223" customFormat="1" x14ac:dyDescent="0.25">
      <c r="H432" s="354"/>
      <c r="I432" s="354"/>
      <c r="J432" s="354"/>
      <c r="K432" s="222"/>
      <c r="L432" s="222"/>
      <c r="M432" s="222"/>
      <c r="N432" s="222"/>
      <c r="O432" s="222"/>
      <c r="P432" s="222"/>
      <c r="Q432" s="222"/>
    </row>
    <row r="433" spans="8:17" s="223" customFormat="1" x14ac:dyDescent="0.25">
      <c r="H433" s="354"/>
      <c r="I433" s="354"/>
      <c r="J433" s="354"/>
      <c r="K433" s="222"/>
      <c r="L433" s="222"/>
      <c r="M433" s="222"/>
      <c r="N433" s="222"/>
      <c r="O433" s="222"/>
      <c r="P433" s="222"/>
      <c r="Q433" s="222"/>
    </row>
    <row r="434" spans="8:17" s="223" customFormat="1" x14ac:dyDescent="0.25">
      <c r="H434" s="354"/>
      <c r="I434" s="354"/>
      <c r="J434" s="354"/>
      <c r="K434" s="222"/>
      <c r="L434" s="222"/>
      <c r="M434" s="222"/>
      <c r="N434" s="222"/>
      <c r="O434" s="222"/>
      <c r="P434" s="222"/>
      <c r="Q434" s="222"/>
    </row>
    <row r="435" spans="8:17" s="223" customFormat="1" x14ac:dyDescent="0.25">
      <c r="H435" s="354"/>
      <c r="I435" s="354"/>
      <c r="J435" s="354"/>
      <c r="K435" s="222"/>
      <c r="L435" s="222"/>
      <c r="M435" s="222"/>
      <c r="N435" s="222"/>
      <c r="O435" s="222"/>
      <c r="P435" s="222"/>
      <c r="Q435" s="222"/>
    </row>
    <row r="436" spans="8:17" s="223" customFormat="1" x14ac:dyDescent="0.25">
      <c r="H436" s="354"/>
      <c r="I436" s="354"/>
      <c r="J436" s="354"/>
      <c r="K436" s="222"/>
      <c r="L436" s="222"/>
      <c r="M436" s="222"/>
      <c r="N436" s="222"/>
      <c r="O436" s="222"/>
      <c r="P436" s="222"/>
      <c r="Q436" s="222"/>
    </row>
    <row r="437" spans="8:17" s="223" customFormat="1" x14ac:dyDescent="0.25">
      <c r="H437" s="354"/>
      <c r="I437" s="354"/>
      <c r="J437" s="354"/>
      <c r="K437" s="222"/>
      <c r="L437" s="222"/>
      <c r="M437" s="222"/>
      <c r="N437" s="222"/>
      <c r="O437" s="222"/>
      <c r="P437" s="222"/>
      <c r="Q437" s="222"/>
    </row>
    <row r="438" spans="8:17" s="223" customFormat="1" x14ac:dyDescent="0.25">
      <c r="H438" s="354"/>
      <c r="I438" s="354"/>
      <c r="J438" s="354"/>
      <c r="K438" s="222"/>
      <c r="L438" s="222"/>
      <c r="M438" s="222"/>
      <c r="N438" s="222"/>
      <c r="O438" s="222"/>
      <c r="P438" s="222"/>
      <c r="Q438" s="222"/>
    </row>
    <row r="439" spans="8:17" s="223" customFormat="1" x14ac:dyDescent="0.25">
      <c r="H439" s="354"/>
      <c r="I439" s="354"/>
      <c r="J439" s="354"/>
      <c r="K439" s="222"/>
      <c r="L439" s="222"/>
      <c r="M439" s="222"/>
      <c r="N439" s="222"/>
      <c r="O439" s="222"/>
      <c r="P439" s="222"/>
      <c r="Q439" s="222"/>
    </row>
    <row r="440" spans="8:17" s="223" customFormat="1" x14ac:dyDescent="0.25">
      <c r="H440" s="354"/>
      <c r="I440" s="354"/>
      <c r="J440" s="354"/>
      <c r="K440" s="222"/>
      <c r="L440" s="222"/>
      <c r="M440" s="222"/>
      <c r="N440" s="222"/>
      <c r="O440" s="222"/>
      <c r="P440" s="222"/>
      <c r="Q440" s="222"/>
    </row>
    <row r="441" spans="8:17" s="223" customFormat="1" x14ac:dyDescent="0.25">
      <c r="H441" s="354"/>
      <c r="I441" s="354"/>
      <c r="J441" s="354"/>
      <c r="K441" s="222"/>
      <c r="L441" s="222"/>
      <c r="M441" s="222"/>
      <c r="N441" s="222"/>
      <c r="O441" s="222"/>
      <c r="P441" s="222"/>
      <c r="Q441" s="222"/>
    </row>
    <row r="442" spans="8:17" s="223" customFormat="1" x14ac:dyDescent="0.25">
      <c r="H442" s="354"/>
      <c r="I442" s="354"/>
      <c r="J442" s="354"/>
      <c r="K442" s="222"/>
      <c r="L442" s="222"/>
      <c r="M442" s="222"/>
      <c r="N442" s="222"/>
      <c r="O442" s="222"/>
      <c r="P442" s="222"/>
      <c r="Q442" s="222"/>
    </row>
    <row r="443" spans="8:17" s="223" customFormat="1" x14ac:dyDescent="0.25">
      <c r="H443" s="354"/>
      <c r="I443" s="354"/>
      <c r="J443" s="354"/>
      <c r="K443" s="222"/>
      <c r="L443" s="222"/>
      <c r="M443" s="222"/>
      <c r="N443" s="222"/>
      <c r="O443" s="222"/>
      <c r="P443" s="222"/>
      <c r="Q443" s="222"/>
    </row>
    <row r="444" spans="8:17" s="223" customFormat="1" x14ac:dyDescent="0.25">
      <c r="H444" s="354"/>
      <c r="I444" s="354"/>
      <c r="J444" s="354"/>
      <c r="K444" s="222"/>
      <c r="L444" s="222"/>
      <c r="M444" s="222"/>
      <c r="N444" s="222"/>
      <c r="O444" s="222"/>
      <c r="P444" s="222"/>
      <c r="Q444" s="222"/>
    </row>
    <row r="445" spans="8:17" s="223" customFormat="1" x14ac:dyDescent="0.25">
      <c r="H445" s="354"/>
      <c r="I445" s="354"/>
      <c r="J445" s="354"/>
      <c r="K445" s="222"/>
      <c r="L445" s="222"/>
      <c r="M445" s="222"/>
      <c r="N445" s="222"/>
      <c r="O445" s="222"/>
      <c r="P445" s="222"/>
      <c r="Q445" s="222"/>
    </row>
    <row r="446" spans="8:17" s="223" customFormat="1" x14ac:dyDescent="0.25">
      <c r="H446" s="354"/>
      <c r="I446" s="354"/>
      <c r="J446" s="354"/>
      <c r="K446" s="222"/>
      <c r="L446" s="222"/>
      <c r="M446" s="222"/>
      <c r="N446" s="222"/>
      <c r="O446" s="222"/>
      <c r="P446" s="222"/>
      <c r="Q446" s="222"/>
    </row>
    <row r="447" spans="8:17" s="223" customFormat="1" x14ac:dyDescent="0.25">
      <c r="H447" s="354"/>
      <c r="I447" s="354"/>
      <c r="J447" s="354"/>
      <c r="K447" s="222"/>
      <c r="L447" s="222"/>
      <c r="M447" s="222"/>
      <c r="N447" s="222"/>
      <c r="O447" s="222"/>
      <c r="P447" s="222"/>
      <c r="Q447" s="222"/>
    </row>
    <row r="448" spans="8:17" s="223" customFormat="1" x14ac:dyDescent="0.25">
      <c r="H448" s="354"/>
      <c r="I448" s="354"/>
      <c r="J448" s="354"/>
      <c r="K448" s="222"/>
      <c r="L448" s="222"/>
      <c r="M448" s="222"/>
      <c r="N448" s="222"/>
      <c r="O448" s="222"/>
      <c r="P448" s="222"/>
      <c r="Q448" s="222"/>
    </row>
    <row r="449" spans="8:17" s="223" customFormat="1" x14ac:dyDescent="0.25">
      <c r="H449" s="354"/>
      <c r="I449" s="354"/>
      <c r="J449" s="354"/>
      <c r="K449" s="222"/>
      <c r="L449" s="222"/>
      <c r="M449" s="222"/>
      <c r="N449" s="222"/>
      <c r="O449" s="222"/>
      <c r="P449" s="222"/>
      <c r="Q449" s="222"/>
    </row>
    <row r="450" spans="8:17" s="223" customFormat="1" x14ac:dyDescent="0.25">
      <c r="H450" s="354"/>
      <c r="I450" s="354"/>
      <c r="J450" s="354"/>
      <c r="K450" s="222"/>
      <c r="L450" s="222"/>
      <c r="M450" s="222"/>
      <c r="N450" s="222"/>
      <c r="O450" s="222"/>
      <c r="P450" s="222"/>
      <c r="Q450" s="222"/>
    </row>
    <row r="451" spans="8:17" s="223" customFormat="1" x14ac:dyDescent="0.25">
      <c r="H451" s="354"/>
      <c r="I451" s="354"/>
      <c r="J451" s="354"/>
      <c r="K451" s="222"/>
      <c r="L451" s="222"/>
      <c r="M451" s="222"/>
      <c r="N451" s="222"/>
      <c r="O451" s="222"/>
      <c r="P451" s="222"/>
      <c r="Q451" s="222"/>
    </row>
    <row r="452" spans="8:17" s="223" customFormat="1" x14ac:dyDescent="0.25">
      <c r="H452" s="354"/>
      <c r="I452" s="354"/>
      <c r="J452" s="354"/>
      <c r="K452" s="222"/>
      <c r="L452" s="222"/>
      <c r="M452" s="222"/>
      <c r="N452" s="222"/>
      <c r="O452" s="222"/>
      <c r="P452" s="222"/>
      <c r="Q452" s="222"/>
    </row>
    <row r="453" spans="8:17" s="223" customFormat="1" x14ac:dyDescent="0.25">
      <c r="H453" s="354"/>
      <c r="I453" s="354"/>
      <c r="J453" s="354"/>
      <c r="K453" s="222"/>
      <c r="L453" s="222"/>
      <c r="M453" s="222"/>
      <c r="N453" s="222"/>
      <c r="O453" s="222"/>
      <c r="P453" s="222"/>
      <c r="Q453" s="222"/>
    </row>
    <row r="454" spans="8:17" s="223" customFormat="1" x14ac:dyDescent="0.25">
      <c r="H454" s="354"/>
      <c r="I454" s="354"/>
      <c r="J454" s="354"/>
      <c r="K454" s="222"/>
      <c r="L454" s="222"/>
      <c r="M454" s="222"/>
      <c r="N454" s="222"/>
      <c r="O454" s="222"/>
      <c r="P454" s="222"/>
      <c r="Q454" s="222"/>
    </row>
    <row r="455" spans="8:17" s="223" customFormat="1" x14ac:dyDescent="0.25">
      <c r="H455" s="354"/>
      <c r="I455" s="354"/>
      <c r="J455" s="354"/>
      <c r="K455" s="222"/>
      <c r="L455" s="222"/>
      <c r="M455" s="222"/>
      <c r="N455" s="222"/>
      <c r="O455" s="222"/>
      <c r="P455" s="222"/>
      <c r="Q455" s="222"/>
    </row>
    <row r="456" spans="8:17" s="223" customFormat="1" x14ac:dyDescent="0.25">
      <c r="H456" s="354"/>
      <c r="I456" s="354"/>
      <c r="J456" s="354"/>
      <c r="K456" s="222"/>
      <c r="L456" s="222"/>
      <c r="M456" s="222"/>
      <c r="N456" s="222"/>
      <c r="O456" s="222"/>
      <c r="P456" s="222"/>
      <c r="Q456" s="222"/>
    </row>
    <row r="457" spans="8:17" s="223" customFormat="1" x14ac:dyDescent="0.25">
      <c r="H457" s="354"/>
      <c r="I457" s="354"/>
      <c r="J457" s="354"/>
      <c r="K457" s="222"/>
      <c r="L457" s="222"/>
      <c r="M457" s="222"/>
      <c r="N457" s="222"/>
      <c r="O457" s="222"/>
      <c r="P457" s="222"/>
      <c r="Q457" s="222"/>
    </row>
    <row r="458" spans="8:17" s="223" customFormat="1" x14ac:dyDescent="0.25">
      <c r="H458" s="354"/>
      <c r="I458" s="354"/>
      <c r="J458" s="354"/>
      <c r="K458" s="222"/>
      <c r="L458" s="222"/>
      <c r="M458" s="222"/>
      <c r="N458" s="222"/>
      <c r="O458" s="222"/>
      <c r="P458" s="222"/>
      <c r="Q458" s="222"/>
    </row>
    <row r="459" spans="8:17" s="223" customFormat="1" x14ac:dyDescent="0.25">
      <c r="H459" s="354"/>
      <c r="I459" s="354"/>
      <c r="J459" s="354"/>
      <c r="K459" s="222"/>
      <c r="L459" s="222"/>
      <c r="M459" s="222"/>
      <c r="N459" s="222"/>
      <c r="O459" s="222"/>
      <c r="P459" s="222"/>
      <c r="Q459" s="222"/>
    </row>
    <row r="460" spans="8:17" s="223" customFormat="1" x14ac:dyDescent="0.25">
      <c r="H460" s="354"/>
      <c r="I460" s="354"/>
      <c r="J460" s="354"/>
      <c r="K460" s="222"/>
      <c r="L460" s="222"/>
      <c r="M460" s="222"/>
      <c r="N460" s="222"/>
      <c r="O460" s="222"/>
      <c r="P460" s="222"/>
      <c r="Q460" s="222"/>
    </row>
    <row r="461" spans="8:17" s="223" customFormat="1" x14ac:dyDescent="0.25">
      <c r="H461" s="354"/>
      <c r="I461" s="354"/>
      <c r="J461" s="354"/>
      <c r="K461" s="222"/>
      <c r="L461" s="222"/>
      <c r="M461" s="222"/>
      <c r="N461" s="222"/>
      <c r="O461" s="222"/>
      <c r="P461" s="222"/>
      <c r="Q461" s="222"/>
    </row>
    <row r="462" spans="8:17" s="223" customFormat="1" x14ac:dyDescent="0.25">
      <c r="H462" s="354"/>
      <c r="I462" s="354"/>
      <c r="J462" s="354"/>
      <c r="K462" s="222"/>
      <c r="L462" s="222"/>
      <c r="M462" s="222"/>
      <c r="N462" s="222"/>
      <c r="O462" s="222"/>
      <c r="P462" s="222"/>
      <c r="Q462" s="222"/>
    </row>
    <row r="463" spans="8:17" s="223" customFormat="1" x14ac:dyDescent="0.25">
      <c r="H463" s="354"/>
      <c r="I463" s="354"/>
      <c r="J463" s="354"/>
      <c r="K463" s="222"/>
      <c r="L463" s="222"/>
      <c r="M463" s="222"/>
      <c r="N463" s="222"/>
      <c r="O463" s="222"/>
      <c r="P463" s="222"/>
      <c r="Q463" s="222"/>
    </row>
    <row r="464" spans="8:17" s="223" customFormat="1" x14ac:dyDescent="0.25">
      <c r="H464" s="354"/>
      <c r="I464" s="354"/>
      <c r="J464" s="354"/>
      <c r="K464" s="222"/>
      <c r="L464" s="222"/>
      <c r="M464" s="222"/>
      <c r="N464" s="222"/>
      <c r="O464" s="222"/>
      <c r="P464" s="222"/>
      <c r="Q464" s="222"/>
    </row>
    <row r="465" spans="8:17" s="223" customFormat="1" x14ac:dyDescent="0.25">
      <c r="H465" s="354"/>
      <c r="I465" s="354"/>
      <c r="J465" s="354"/>
      <c r="K465" s="222"/>
      <c r="L465" s="222"/>
      <c r="M465" s="222"/>
      <c r="N465" s="222"/>
      <c r="O465" s="222"/>
      <c r="P465" s="222"/>
      <c r="Q465" s="222"/>
    </row>
    <row r="466" spans="8:17" s="223" customFormat="1" x14ac:dyDescent="0.25">
      <c r="H466" s="354"/>
      <c r="I466" s="354"/>
      <c r="J466" s="354"/>
      <c r="K466" s="222"/>
      <c r="L466" s="222"/>
      <c r="M466" s="222"/>
      <c r="N466" s="222"/>
      <c r="O466" s="222"/>
      <c r="P466" s="222"/>
      <c r="Q466" s="222"/>
    </row>
    <row r="467" spans="8:17" s="223" customFormat="1" x14ac:dyDescent="0.25">
      <c r="H467" s="354"/>
      <c r="I467" s="354"/>
      <c r="J467" s="354"/>
      <c r="K467" s="222"/>
      <c r="L467" s="222"/>
      <c r="M467" s="222"/>
      <c r="N467" s="222"/>
      <c r="O467" s="222"/>
      <c r="P467" s="222"/>
      <c r="Q467" s="222"/>
    </row>
    <row r="468" spans="8:17" s="223" customFormat="1" x14ac:dyDescent="0.25">
      <c r="H468" s="354"/>
      <c r="I468" s="354"/>
      <c r="J468" s="354"/>
      <c r="K468" s="222"/>
      <c r="L468" s="222"/>
      <c r="M468" s="222"/>
      <c r="N468" s="222"/>
      <c r="O468" s="222"/>
      <c r="P468" s="222"/>
      <c r="Q468" s="222"/>
    </row>
    <row r="469" spans="8:17" s="223" customFormat="1" x14ac:dyDescent="0.25">
      <c r="H469" s="354"/>
      <c r="I469" s="354"/>
      <c r="J469" s="354"/>
      <c r="K469" s="222"/>
      <c r="L469" s="222"/>
      <c r="M469" s="222"/>
      <c r="N469" s="222"/>
      <c r="O469" s="222"/>
      <c r="P469" s="222"/>
      <c r="Q469" s="222"/>
    </row>
    <row r="470" spans="8:17" s="223" customFormat="1" x14ac:dyDescent="0.25">
      <c r="H470" s="354"/>
      <c r="I470" s="354"/>
      <c r="J470" s="354"/>
      <c r="K470" s="222"/>
      <c r="L470" s="222"/>
      <c r="M470" s="222"/>
      <c r="N470" s="222"/>
      <c r="O470" s="222"/>
      <c r="P470" s="222"/>
      <c r="Q470" s="222"/>
    </row>
    <row r="471" spans="8:17" s="223" customFormat="1" x14ac:dyDescent="0.25">
      <c r="H471" s="354"/>
      <c r="I471" s="354"/>
      <c r="J471" s="354"/>
      <c r="K471" s="222"/>
      <c r="L471" s="222"/>
      <c r="M471" s="222"/>
      <c r="N471" s="222"/>
      <c r="O471" s="222"/>
      <c r="P471" s="222"/>
      <c r="Q471" s="222"/>
    </row>
    <row r="472" spans="8:17" s="223" customFormat="1" x14ac:dyDescent="0.25">
      <c r="H472" s="354"/>
      <c r="I472" s="354"/>
      <c r="J472" s="354"/>
      <c r="K472" s="222"/>
      <c r="L472" s="222"/>
      <c r="M472" s="222"/>
      <c r="N472" s="222"/>
      <c r="O472" s="222"/>
      <c r="P472" s="222"/>
      <c r="Q472" s="222"/>
    </row>
    <row r="473" spans="8:17" s="223" customFormat="1" x14ac:dyDescent="0.25">
      <c r="H473" s="354"/>
      <c r="I473" s="354"/>
      <c r="J473" s="354"/>
      <c r="K473" s="222"/>
      <c r="L473" s="222"/>
      <c r="M473" s="222"/>
      <c r="N473" s="222"/>
      <c r="O473" s="222"/>
      <c r="P473" s="222"/>
      <c r="Q473" s="222"/>
    </row>
    <row r="474" spans="8:17" s="223" customFormat="1" x14ac:dyDescent="0.25">
      <c r="H474" s="354"/>
      <c r="I474" s="354"/>
      <c r="J474" s="354"/>
      <c r="K474" s="222"/>
      <c r="L474" s="222"/>
      <c r="M474" s="222"/>
      <c r="N474" s="222"/>
      <c r="O474" s="222"/>
      <c r="P474" s="222"/>
      <c r="Q474" s="222"/>
    </row>
    <row r="475" spans="8:17" s="223" customFormat="1" x14ac:dyDescent="0.25">
      <c r="H475" s="354"/>
      <c r="I475" s="354"/>
      <c r="J475" s="354"/>
      <c r="K475" s="222"/>
      <c r="L475" s="222"/>
      <c r="M475" s="222"/>
      <c r="N475" s="222"/>
      <c r="O475" s="222"/>
      <c r="P475" s="222"/>
      <c r="Q475" s="222"/>
    </row>
    <row r="476" spans="8:17" s="223" customFormat="1" x14ac:dyDescent="0.25">
      <c r="H476" s="354"/>
      <c r="I476" s="354"/>
      <c r="J476" s="354"/>
      <c r="K476" s="222"/>
      <c r="L476" s="222"/>
      <c r="M476" s="222"/>
      <c r="N476" s="222"/>
      <c r="O476" s="222"/>
      <c r="P476" s="222"/>
      <c r="Q476" s="222"/>
    </row>
    <row r="477" spans="8:17" s="223" customFormat="1" x14ac:dyDescent="0.25">
      <c r="H477" s="354"/>
      <c r="I477" s="354"/>
      <c r="J477" s="354"/>
      <c r="K477" s="222"/>
      <c r="L477" s="222"/>
      <c r="M477" s="222"/>
      <c r="N477" s="222"/>
      <c r="O477" s="222"/>
      <c r="P477" s="222"/>
      <c r="Q477" s="222"/>
    </row>
    <row r="478" spans="8:17" s="223" customFormat="1" x14ac:dyDescent="0.25">
      <c r="H478" s="354"/>
      <c r="I478" s="354"/>
      <c r="J478" s="354"/>
      <c r="K478" s="222"/>
      <c r="L478" s="222"/>
      <c r="M478" s="222"/>
      <c r="N478" s="222"/>
      <c r="O478" s="222"/>
      <c r="P478" s="222"/>
      <c r="Q478" s="222"/>
    </row>
    <row r="479" spans="8:17" s="223" customFormat="1" x14ac:dyDescent="0.25">
      <c r="H479" s="354"/>
      <c r="I479" s="354"/>
      <c r="J479" s="354"/>
      <c r="K479" s="222"/>
      <c r="L479" s="222"/>
      <c r="M479" s="222"/>
      <c r="N479" s="222"/>
      <c r="O479" s="222"/>
      <c r="P479" s="222"/>
      <c r="Q479" s="222"/>
    </row>
    <row r="480" spans="8:17" s="223" customFormat="1" x14ac:dyDescent="0.25">
      <c r="H480" s="354"/>
      <c r="I480" s="354"/>
      <c r="J480" s="354"/>
      <c r="K480" s="222"/>
      <c r="L480" s="222"/>
      <c r="M480" s="222"/>
      <c r="N480" s="222"/>
      <c r="O480" s="222"/>
      <c r="P480" s="222"/>
      <c r="Q480" s="222"/>
    </row>
    <row r="481" spans="8:17" s="223" customFormat="1" x14ac:dyDescent="0.25">
      <c r="H481" s="354"/>
      <c r="I481" s="354"/>
      <c r="J481" s="354"/>
      <c r="K481" s="222"/>
      <c r="L481" s="222"/>
      <c r="M481" s="222"/>
      <c r="N481" s="222"/>
      <c r="O481" s="222"/>
      <c r="P481" s="222"/>
      <c r="Q481" s="222"/>
    </row>
    <row r="482" spans="8:17" s="223" customFormat="1" x14ac:dyDescent="0.25">
      <c r="H482" s="354"/>
      <c r="I482" s="354"/>
      <c r="J482" s="354"/>
      <c r="K482" s="222"/>
      <c r="L482" s="222"/>
      <c r="M482" s="222"/>
      <c r="N482" s="222"/>
      <c r="O482" s="222"/>
      <c r="P482" s="222"/>
      <c r="Q482" s="222"/>
    </row>
    <row r="483" spans="8:17" s="223" customFormat="1" x14ac:dyDescent="0.25">
      <c r="H483" s="354"/>
      <c r="I483" s="354"/>
      <c r="J483" s="354"/>
      <c r="K483" s="222"/>
      <c r="L483" s="222"/>
      <c r="M483" s="222"/>
      <c r="N483" s="222"/>
      <c r="O483" s="222"/>
      <c r="P483" s="222"/>
      <c r="Q483" s="222"/>
    </row>
    <row r="484" spans="8:17" s="223" customFormat="1" x14ac:dyDescent="0.25">
      <c r="H484" s="354"/>
      <c r="I484" s="354"/>
      <c r="J484" s="354"/>
      <c r="K484" s="222"/>
      <c r="L484" s="222"/>
      <c r="M484" s="222"/>
      <c r="N484" s="222"/>
      <c r="O484" s="222"/>
      <c r="P484" s="222"/>
      <c r="Q484" s="222"/>
    </row>
    <row r="485" spans="8:17" s="223" customFormat="1" x14ac:dyDescent="0.25">
      <c r="H485" s="354"/>
      <c r="I485" s="354"/>
      <c r="J485" s="354"/>
      <c r="K485" s="222"/>
      <c r="L485" s="222"/>
      <c r="M485" s="222"/>
      <c r="N485" s="222"/>
      <c r="O485" s="222"/>
      <c r="P485" s="222"/>
      <c r="Q485" s="222"/>
    </row>
    <row r="486" spans="8:17" s="223" customFormat="1" x14ac:dyDescent="0.25">
      <c r="H486" s="354"/>
      <c r="I486" s="354"/>
      <c r="J486" s="354"/>
      <c r="K486" s="222"/>
      <c r="L486" s="222"/>
      <c r="M486" s="222"/>
      <c r="N486" s="222"/>
      <c r="O486" s="222"/>
      <c r="P486" s="222"/>
      <c r="Q486" s="222"/>
    </row>
    <row r="487" spans="8:17" s="223" customFormat="1" x14ac:dyDescent="0.25">
      <c r="H487" s="354"/>
      <c r="I487" s="354"/>
      <c r="J487" s="354"/>
      <c r="K487" s="222"/>
      <c r="L487" s="222"/>
      <c r="M487" s="222"/>
      <c r="N487" s="222"/>
      <c r="O487" s="222"/>
      <c r="P487" s="222"/>
      <c r="Q487" s="222"/>
    </row>
    <row r="488" spans="8:17" s="223" customFormat="1" x14ac:dyDescent="0.25">
      <c r="H488" s="354"/>
      <c r="I488" s="354"/>
      <c r="J488" s="354"/>
      <c r="K488" s="222"/>
      <c r="L488" s="222"/>
      <c r="M488" s="222"/>
      <c r="N488" s="222"/>
      <c r="O488" s="222"/>
      <c r="P488" s="222"/>
      <c r="Q488" s="222"/>
    </row>
    <row r="489" spans="8:17" s="223" customFormat="1" x14ac:dyDescent="0.25">
      <c r="H489" s="354"/>
      <c r="I489" s="354"/>
      <c r="J489" s="354"/>
      <c r="K489" s="222"/>
      <c r="L489" s="222"/>
      <c r="M489" s="222"/>
      <c r="N489" s="222"/>
      <c r="O489" s="222"/>
      <c r="P489" s="222"/>
      <c r="Q489" s="222"/>
    </row>
    <row r="490" spans="8:17" s="223" customFormat="1" x14ac:dyDescent="0.25">
      <c r="H490" s="354"/>
      <c r="I490" s="354"/>
      <c r="J490" s="354"/>
      <c r="K490" s="222"/>
      <c r="L490" s="222"/>
      <c r="M490" s="222"/>
      <c r="N490" s="222"/>
      <c r="O490" s="222"/>
      <c r="P490" s="222"/>
      <c r="Q490" s="222"/>
    </row>
    <row r="491" spans="8:17" s="223" customFormat="1" x14ac:dyDescent="0.25">
      <c r="H491" s="354"/>
      <c r="I491" s="354"/>
      <c r="J491" s="354"/>
      <c r="K491" s="222"/>
      <c r="L491" s="222"/>
      <c r="M491" s="222"/>
      <c r="N491" s="222"/>
      <c r="O491" s="222"/>
      <c r="P491" s="222"/>
      <c r="Q491" s="222"/>
    </row>
    <row r="492" spans="8:17" s="223" customFormat="1" x14ac:dyDescent="0.25">
      <c r="H492" s="354"/>
      <c r="I492" s="354"/>
      <c r="J492" s="354"/>
      <c r="K492" s="222"/>
      <c r="L492" s="222"/>
      <c r="M492" s="222"/>
      <c r="N492" s="222"/>
      <c r="O492" s="222"/>
      <c r="P492" s="222"/>
      <c r="Q492" s="222"/>
    </row>
    <row r="493" spans="8:17" s="223" customFormat="1" x14ac:dyDescent="0.25">
      <c r="H493" s="354"/>
      <c r="I493" s="354"/>
      <c r="J493" s="354"/>
      <c r="K493" s="222"/>
      <c r="L493" s="222"/>
      <c r="M493" s="222"/>
      <c r="N493" s="222"/>
      <c r="O493" s="222"/>
      <c r="P493" s="222"/>
      <c r="Q493" s="222"/>
    </row>
    <row r="494" spans="8:17" s="223" customFormat="1" x14ac:dyDescent="0.25">
      <c r="H494" s="354"/>
      <c r="I494" s="354"/>
      <c r="J494" s="354"/>
      <c r="K494" s="222"/>
      <c r="L494" s="222"/>
      <c r="M494" s="222"/>
      <c r="N494" s="222"/>
      <c r="O494" s="222"/>
      <c r="P494" s="222"/>
      <c r="Q494" s="222"/>
    </row>
    <row r="495" spans="8:17" s="223" customFormat="1" x14ac:dyDescent="0.25">
      <c r="H495" s="354"/>
      <c r="I495" s="354"/>
      <c r="J495" s="354"/>
      <c r="K495" s="222"/>
      <c r="L495" s="222"/>
      <c r="M495" s="222"/>
      <c r="N495" s="222"/>
      <c r="O495" s="222"/>
      <c r="P495" s="222"/>
      <c r="Q495" s="222"/>
    </row>
    <row r="496" spans="8:17" s="223" customFormat="1" x14ac:dyDescent="0.25">
      <c r="H496" s="354"/>
      <c r="I496" s="354"/>
      <c r="J496" s="354"/>
      <c r="K496" s="222"/>
      <c r="L496" s="222"/>
      <c r="M496" s="222"/>
      <c r="N496" s="222"/>
      <c r="O496" s="222"/>
      <c r="P496" s="222"/>
      <c r="Q496" s="222"/>
    </row>
    <row r="497" spans="8:17" s="223" customFormat="1" x14ac:dyDescent="0.25">
      <c r="H497" s="354"/>
      <c r="I497" s="354"/>
      <c r="J497" s="354"/>
      <c r="K497" s="222"/>
      <c r="L497" s="222"/>
      <c r="M497" s="222"/>
      <c r="N497" s="222"/>
      <c r="O497" s="222"/>
      <c r="P497" s="222"/>
      <c r="Q497" s="222"/>
    </row>
    <row r="498" spans="8:17" s="223" customFormat="1" x14ac:dyDescent="0.25">
      <c r="H498" s="354"/>
      <c r="I498" s="354"/>
      <c r="J498" s="354"/>
      <c r="K498" s="222"/>
      <c r="L498" s="222"/>
      <c r="M498" s="222"/>
      <c r="N498" s="222"/>
      <c r="O498" s="222"/>
      <c r="P498" s="222"/>
      <c r="Q498" s="222"/>
    </row>
    <row r="499" spans="8:17" s="223" customFormat="1" x14ac:dyDescent="0.25">
      <c r="H499" s="354"/>
      <c r="I499" s="354"/>
      <c r="J499" s="354"/>
      <c r="K499" s="222"/>
      <c r="L499" s="222"/>
      <c r="M499" s="222"/>
      <c r="N499" s="222"/>
      <c r="O499" s="222"/>
      <c r="P499" s="222"/>
      <c r="Q499" s="222"/>
    </row>
    <row r="500" spans="8:17" s="223" customFormat="1" x14ac:dyDescent="0.25">
      <c r="H500" s="354"/>
      <c r="I500" s="354"/>
      <c r="J500" s="354"/>
      <c r="K500" s="222"/>
      <c r="L500" s="222"/>
      <c r="M500" s="222"/>
      <c r="N500" s="222"/>
      <c r="O500" s="222"/>
      <c r="P500" s="222"/>
      <c r="Q500" s="222"/>
    </row>
    <row r="501" spans="8:17" s="223" customFormat="1" x14ac:dyDescent="0.25">
      <c r="H501" s="354"/>
      <c r="I501" s="354"/>
      <c r="J501" s="354"/>
      <c r="K501" s="222"/>
      <c r="L501" s="222"/>
      <c r="M501" s="222"/>
      <c r="N501" s="222"/>
      <c r="O501" s="222"/>
      <c r="P501" s="222"/>
      <c r="Q501" s="222"/>
    </row>
    <row r="502" spans="8:17" s="223" customFormat="1" x14ac:dyDescent="0.25">
      <c r="H502" s="354"/>
      <c r="I502" s="354"/>
      <c r="J502" s="354"/>
      <c r="K502" s="222"/>
      <c r="L502" s="222"/>
      <c r="M502" s="222"/>
      <c r="N502" s="222"/>
      <c r="O502" s="222"/>
      <c r="P502" s="222"/>
      <c r="Q502" s="222"/>
    </row>
    <row r="503" spans="8:17" s="223" customFormat="1" x14ac:dyDescent="0.25">
      <c r="H503" s="354"/>
      <c r="I503" s="354"/>
      <c r="J503" s="354"/>
      <c r="K503" s="222"/>
      <c r="L503" s="222"/>
      <c r="M503" s="222"/>
      <c r="N503" s="222"/>
      <c r="O503" s="222"/>
      <c r="P503" s="222"/>
      <c r="Q503" s="222"/>
    </row>
    <row r="504" spans="8:17" s="223" customFormat="1" x14ac:dyDescent="0.25">
      <c r="H504" s="354"/>
      <c r="I504" s="354"/>
      <c r="J504" s="354"/>
      <c r="K504" s="222"/>
      <c r="L504" s="222"/>
      <c r="M504" s="222"/>
      <c r="N504" s="222"/>
      <c r="O504" s="222"/>
      <c r="P504" s="222"/>
      <c r="Q504" s="222"/>
    </row>
    <row r="505" spans="8:17" s="223" customFormat="1" x14ac:dyDescent="0.25">
      <c r="H505" s="354"/>
      <c r="I505" s="354"/>
      <c r="J505" s="354"/>
      <c r="K505" s="222"/>
      <c r="L505" s="222"/>
      <c r="M505" s="222"/>
      <c r="N505" s="222"/>
      <c r="O505" s="222"/>
      <c r="P505" s="222"/>
      <c r="Q505" s="222"/>
    </row>
    <row r="506" spans="8:17" s="223" customFormat="1" x14ac:dyDescent="0.25">
      <c r="H506" s="354"/>
      <c r="I506" s="354"/>
      <c r="J506" s="354"/>
      <c r="K506" s="222"/>
      <c r="L506" s="222"/>
      <c r="M506" s="222"/>
      <c r="N506" s="222"/>
      <c r="O506" s="222"/>
      <c r="P506" s="222"/>
      <c r="Q506" s="222"/>
    </row>
    <row r="507" spans="8:17" s="223" customFormat="1" x14ac:dyDescent="0.25">
      <c r="H507" s="354"/>
      <c r="I507" s="354"/>
      <c r="J507" s="354"/>
      <c r="K507" s="222"/>
      <c r="L507" s="222"/>
      <c r="M507" s="222"/>
      <c r="N507" s="222"/>
      <c r="O507" s="222"/>
      <c r="P507" s="222"/>
      <c r="Q507" s="222"/>
    </row>
    <row r="508" spans="8:17" s="223" customFormat="1" x14ac:dyDescent="0.25">
      <c r="H508" s="354"/>
      <c r="I508" s="354"/>
      <c r="J508" s="354"/>
      <c r="K508" s="222"/>
      <c r="L508" s="222"/>
      <c r="M508" s="222"/>
      <c r="N508" s="222"/>
      <c r="O508" s="222"/>
      <c r="P508" s="222"/>
      <c r="Q508" s="222"/>
    </row>
    <row r="509" spans="8:17" s="223" customFormat="1" x14ac:dyDescent="0.25">
      <c r="H509" s="354"/>
      <c r="I509" s="354"/>
      <c r="J509" s="354"/>
      <c r="K509" s="222"/>
      <c r="L509" s="222"/>
      <c r="M509" s="222"/>
      <c r="N509" s="222"/>
      <c r="O509" s="222"/>
      <c r="P509" s="222"/>
      <c r="Q509" s="222"/>
    </row>
    <row r="510" spans="8:17" s="223" customFormat="1" x14ac:dyDescent="0.25">
      <c r="H510" s="354"/>
      <c r="I510" s="354"/>
      <c r="J510" s="354"/>
      <c r="K510" s="222"/>
      <c r="L510" s="222"/>
      <c r="M510" s="222"/>
      <c r="N510" s="222"/>
      <c r="O510" s="222"/>
      <c r="P510" s="222"/>
      <c r="Q510" s="222"/>
    </row>
    <row r="511" spans="8:17" s="223" customFormat="1" x14ac:dyDescent="0.25">
      <c r="H511" s="354"/>
      <c r="I511" s="354"/>
      <c r="J511" s="354"/>
      <c r="K511" s="222"/>
      <c r="L511" s="222"/>
      <c r="M511" s="222"/>
      <c r="N511" s="222"/>
      <c r="O511" s="222"/>
      <c r="P511" s="222"/>
      <c r="Q511" s="222"/>
    </row>
    <row r="512" spans="8:17" s="223" customFormat="1" x14ac:dyDescent="0.25">
      <c r="H512" s="354"/>
      <c r="I512" s="354"/>
      <c r="J512" s="354"/>
      <c r="K512" s="222"/>
      <c r="L512" s="222"/>
      <c r="M512" s="222"/>
      <c r="N512" s="222"/>
      <c r="O512" s="222"/>
      <c r="P512" s="222"/>
      <c r="Q512" s="222"/>
    </row>
    <row r="513" spans="8:17" s="223" customFormat="1" x14ac:dyDescent="0.25">
      <c r="H513" s="354"/>
      <c r="I513" s="354"/>
      <c r="J513" s="354"/>
      <c r="K513" s="222"/>
      <c r="L513" s="222"/>
      <c r="M513" s="222"/>
      <c r="N513" s="222"/>
      <c r="O513" s="222"/>
      <c r="P513" s="222"/>
      <c r="Q513" s="222"/>
    </row>
    <row r="514" spans="8:17" s="223" customFormat="1" x14ac:dyDescent="0.25">
      <c r="H514" s="354"/>
      <c r="I514" s="354"/>
      <c r="J514" s="354"/>
      <c r="K514" s="222"/>
      <c r="L514" s="222"/>
      <c r="M514" s="222"/>
      <c r="N514" s="222"/>
      <c r="O514" s="222"/>
      <c r="P514" s="222"/>
      <c r="Q514" s="222"/>
    </row>
    <row r="515" spans="8:17" s="223" customFormat="1" x14ac:dyDescent="0.25">
      <c r="H515" s="354"/>
      <c r="I515" s="354"/>
      <c r="J515" s="354"/>
      <c r="K515" s="222"/>
      <c r="L515" s="222"/>
      <c r="M515" s="222"/>
      <c r="N515" s="222"/>
      <c r="O515" s="222"/>
      <c r="P515" s="222"/>
      <c r="Q515" s="222"/>
    </row>
    <row r="516" spans="8:17" s="223" customFormat="1" x14ac:dyDescent="0.25">
      <c r="H516" s="354"/>
      <c r="I516" s="354"/>
      <c r="J516" s="354"/>
      <c r="K516" s="222"/>
      <c r="L516" s="222"/>
      <c r="M516" s="222"/>
      <c r="N516" s="222"/>
      <c r="O516" s="222"/>
      <c r="P516" s="222"/>
      <c r="Q516" s="222"/>
    </row>
    <row r="517" spans="8:17" s="223" customFormat="1" x14ac:dyDescent="0.25">
      <c r="H517" s="354"/>
      <c r="I517" s="354"/>
      <c r="J517" s="354"/>
      <c r="K517" s="222"/>
      <c r="L517" s="222"/>
      <c r="M517" s="222"/>
      <c r="N517" s="222"/>
      <c r="O517" s="222"/>
      <c r="P517" s="222"/>
      <c r="Q517" s="222"/>
    </row>
    <row r="518" spans="8:17" s="223" customFormat="1" x14ac:dyDescent="0.25">
      <c r="H518" s="354"/>
      <c r="I518" s="354"/>
      <c r="J518" s="354"/>
      <c r="K518" s="222"/>
      <c r="L518" s="222"/>
      <c r="M518" s="222"/>
      <c r="N518" s="222"/>
      <c r="O518" s="222"/>
      <c r="P518" s="222"/>
      <c r="Q518" s="222"/>
    </row>
    <row r="519" spans="8:17" s="223" customFormat="1" x14ac:dyDescent="0.25">
      <c r="H519" s="354"/>
      <c r="I519" s="354"/>
      <c r="J519" s="354"/>
      <c r="K519" s="222"/>
      <c r="L519" s="222"/>
      <c r="M519" s="222"/>
      <c r="N519" s="222"/>
      <c r="O519" s="222"/>
      <c r="P519" s="222"/>
      <c r="Q519" s="222"/>
    </row>
    <row r="520" spans="8:17" s="223" customFormat="1" x14ac:dyDescent="0.25">
      <c r="H520" s="354"/>
      <c r="I520" s="354"/>
      <c r="J520" s="354"/>
      <c r="K520" s="222"/>
      <c r="L520" s="222"/>
      <c r="M520" s="222"/>
      <c r="N520" s="222"/>
      <c r="O520" s="222"/>
      <c r="P520" s="222"/>
      <c r="Q520" s="222"/>
    </row>
    <row r="521" spans="8:17" s="223" customFormat="1" x14ac:dyDescent="0.25">
      <c r="H521" s="354"/>
      <c r="I521" s="354"/>
      <c r="J521" s="354"/>
      <c r="K521" s="222"/>
      <c r="L521" s="222"/>
      <c r="M521" s="222"/>
      <c r="N521" s="222"/>
      <c r="O521" s="222"/>
      <c r="P521" s="222"/>
      <c r="Q521" s="222"/>
    </row>
    <row r="522" spans="8:17" s="223" customFormat="1" x14ac:dyDescent="0.25">
      <c r="H522" s="354"/>
      <c r="I522" s="354"/>
      <c r="J522" s="354"/>
      <c r="K522" s="222"/>
      <c r="L522" s="222"/>
      <c r="M522" s="222"/>
      <c r="N522" s="222"/>
      <c r="O522" s="222"/>
      <c r="P522" s="222"/>
      <c r="Q522" s="222"/>
    </row>
    <row r="523" spans="8:17" s="223" customFormat="1" x14ac:dyDescent="0.25">
      <c r="H523" s="354"/>
      <c r="I523" s="354"/>
      <c r="J523" s="354"/>
      <c r="K523" s="222"/>
      <c r="L523" s="222"/>
      <c r="M523" s="222"/>
      <c r="N523" s="222"/>
      <c r="O523" s="222"/>
      <c r="P523" s="222"/>
      <c r="Q523" s="222"/>
    </row>
    <row r="524" spans="8:17" s="223" customFormat="1" x14ac:dyDescent="0.25">
      <c r="H524" s="354"/>
      <c r="I524" s="354"/>
      <c r="J524" s="354"/>
      <c r="K524" s="222"/>
      <c r="L524" s="222"/>
      <c r="M524" s="222"/>
      <c r="N524" s="222"/>
      <c r="O524" s="222"/>
      <c r="P524" s="222"/>
      <c r="Q524" s="222"/>
    </row>
    <row r="525" spans="8:17" s="223" customFormat="1" x14ac:dyDescent="0.25">
      <c r="H525" s="354"/>
      <c r="I525" s="354"/>
      <c r="J525" s="354"/>
      <c r="K525" s="222"/>
      <c r="L525" s="222"/>
      <c r="M525" s="222"/>
      <c r="N525" s="222"/>
      <c r="O525" s="222"/>
      <c r="P525" s="222"/>
      <c r="Q525" s="222"/>
    </row>
    <row r="526" spans="8:17" s="223" customFormat="1" x14ac:dyDescent="0.25">
      <c r="H526" s="354"/>
      <c r="I526" s="354"/>
      <c r="J526" s="354"/>
      <c r="K526" s="222"/>
      <c r="L526" s="222"/>
      <c r="M526" s="222"/>
      <c r="N526" s="222"/>
      <c r="O526" s="222"/>
      <c r="P526" s="222"/>
      <c r="Q526" s="222"/>
    </row>
    <row r="527" spans="8:17" s="223" customFormat="1" x14ac:dyDescent="0.25">
      <c r="H527" s="354"/>
      <c r="I527" s="354"/>
      <c r="J527" s="354"/>
      <c r="K527" s="222"/>
      <c r="L527" s="222"/>
      <c r="M527" s="222"/>
      <c r="N527" s="222"/>
      <c r="O527" s="222"/>
      <c r="P527" s="222"/>
      <c r="Q527" s="222"/>
    </row>
    <row r="528" spans="8:17" s="223" customFormat="1" x14ac:dyDescent="0.25">
      <c r="H528" s="354"/>
      <c r="I528" s="354"/>
      <c r="J528" s="354"/>
      <c r="K528" s="222"/>
      <c r="L528" s="222"/>
      <c r="M528" s="222"/>
      <c r="N528" s="222"/>
      <c r="O528" s="222"/>
      <c r="P528" s="222"/>
      <c r="Q528" s="222"/>
    </row>
    <row r="529" spans="8:17" s="223" customFormat="1" x14ac:dyDescent="0.25">
      <c r="H529" s="354"/>
      <c r="I529" s="354"/>
      <c r="J529" s="354"/>
      <c r="K529" s="222"/>
      <c r="L529" s="222"/>
      <c r="M529" s="222"/>
      <c r="N529" s="222"/>
      <c r="O529" s="222"/>
      <c r="P529" s="222"/>
      <c r="Q529" s="222"/>
    </row>
    <row r="530" spans="8:17" s="223" customFormat="1" x14ac:dyDescent="0.25">
      <c r="H530" s="354"/>
      <c r="I530" s="354"/>
      <c r="J530" s="354"/>
      <c r="K530" s="222"/>
      <c r="L530" s="222"/>
      <c r="M530" s="222"/>
      <c r="N530" s="222"/>
      <c r="O530" s="222"/>
      <c r="P530" s="222"/>
      <c r="Q530" s="222"/>
    </row>
    <row r="531" spans="8:17" s="223" customFormat="1" x14ac:dyDescent="0.25">
      <c r="H531" s="354"/>
      <c r="I531" s="354"/>
      <c r="J531" s="354"/>
      <c r="K531" s="222"/>
      <c r="L531" s="222"/>
      <c r="M531" s="222"/>
      <c r="N531" s="222"/>
      <c r="O531" s="222"/>
      <c r="P531" s="222"/>
      <c r="Q531" s="222"/>
    </row>
    <row r="532" spans="8:17" s="223" customFormat="1" x14ac:dyDescent="0.25">
      <c r="H532" s="354"/>
      <c r="I532" s="354"/>
      <c r="J532" s="354"/>
      <c r="K532" s="222"/>
      <c r="L532" s="222"/>
      <c r="M532" s="222"/>
      <c r="N532" s="222"/>
      <c r="O532" s="222"/>
      <c r="P532" s="222"/>
      <c r="Q532" s="222"/>
    </row>
    <row r="533" spans="8:17" s="223" customFormat="1" x14ac:dyDescent="0.25">
      <c r="H533" s="354"/>
      <c r="I533" s="354"/>
      <c r="J533" s="354"/>
      <c r="K533" s="222"/>
      <c r="L533" s="222"/>
      <c r="M533" s="222"/>
      <c r="N533" s="222"/>
      <c r="O533" s="222"/>
      <c r="P533" s="222"/>
      <c r="Q533" s="222"/>
    </row>
    <row r="534" spans="8:17" s="223" customFormat="1" x14ac:dyDescent="0.25">
      <c r="H534" s="354"/>
      <c r="I534" s="354"/>
      <c r="J534" s="354"/>
      <c r="K534" s="222"/>
      <c r="L534" s="222"/>
      <c r="M534" s="222"/>
      <c r="N534" s="222"/>
      <c r="O534" s="222"/>
      <c r="P534" s="222"/>
      <c r="Q534" s="222"/>
    </row>
    <row r="535" spans="8:17" s="223" customFormat="1" x14ac:dyDescent="0.25">
      <c r="H535" s="354"/>
      <c r="I535" s="354"/>
      <c r="J535" s="354"/>
      <c r="K535" s="222"/>
      <c r="L535" s="222"/>
      <c r="M535" s="222"/>
      <c r="N535" s="222"/>
      <c r="O535" s="222"/>
      <c r="P535" s="222"/>
      <c r="Q535" s="222"/>
    </row>
    <row r="536" spans="8:17" s="223" customFormat="1" x14ac:dyDescent="0.25">
      <c r="H536" s="354"/>
      <c r="I536" s="354"/>
      <c r="J536" s="354"/>
      <c r="K536" s="222"/>
      <c r="L536" s="222"/>
      <c r="M536" s="222"/>
      <c r="N536" s="222"/>
      <c r="O536" s="222"/>
      <c r="P536" s="222"/>
      <c r="Q536" s="222"/>
    </row>
    <row r="537" spans="8:17" s="223" customFormat="1" x14ac:dyDescent="0.25">
      <c r="H537" s="354"/>
      <c r="I537" s="354"/>
      <c r="J537" s="354"/>
      <c r="K537" s="222"/>
      <c r="L537" s="222"/>
      <c r="M537" s="222"/>
      <c r="N537" s="222"/>
      <c r="O537" s="222"/>
      <c r="P537" s="222"/>
      <c r="Q537" s="222"/>
    </row>
    <row r="538" spans="8:17" s="223" customFormat="1" x14ac:dyDescent="0.25">
      <c r="H538" s="354"/>
      <c r="I538" s="354"/>
      <c r="J538" s="354"/>
      <c r="K538" s="222"/>
      <c r="L538" s="222"/>
      <c r="M538" s="222"/>
      <c r="N538" s="222"/>
      <c r="O538" s="222"/>
      <c r="P538" s="222"/>
      <c r="Q538" s="222"/>
    </row>
    <row r="539" spans="8:17" s="223" customFormat="1" x14ac:dyDescent="0.25">
      <c r="H539" s="354"/>
      <c r="I539" s="354"/>
      <c r="J539" s="354"/>
      <c r="K539" s="222"/>
      <c r="L539" s="222"/>
      <c r="M539" s="222"/>
      <c r="N539" s="222"/>
      <c r="O539" s="222"/>
      <c r="P539" s="222"/>
      <c r="Q539" s="222"/>
    </row>
    <row r="540" spans="8:17" s="223" customFormat="1" x14ac:dyDescent="0.25">
      <c r="H540" s="354"/>
      <c r="I540" s="354"/>
      <c r="J540" s="354"/>
      <c r="K540" s="222"/>
      <c r="L540" s="222"/>
      <c r="M540" s="222"/>
      <c r="N540" s="222"/>
      <c r="O540" s="222"/>
      <c r="P540" s="222"/>
      <c r="Q540" s="222"/>
    </row>
    <row r="541" spans="8:17" s="223" customFormat="1" x14ac:dyDescent="0.25">
      <c r="H541" s="354"/>
      <c r="I541" s="354"/>
      <c r="J541" s="354"/>
      <c r="K541" s="222"/>
      <c r="L541" s="222"/>
      <c r="M541" s="222"/>
      <c r="N541" s="222"/>
      <c r="O541" s="222"/>
      <c r="P541" s="222"/>
      <c r="Q541" s="222"/>
    </row>
    <row r="542" spans="8:17" s="223" customFormat="1" x14ac:dyDescent="0.25">
      <c r="H542" s="354"/>
      <c r="I542" s="354"/>
      <c r="J542" s="354"/>
      <c r="K542" s="222"/>
      <c r="L542" s="222"/>
      <c r="M542" s="222"/>
      <c r="N542" s="222"/>
      <c r="O542" s="222"/>
      <c r="P542" s="222"/>
      <c r="Q542" s="222"/>
    </row>
    <row r="543" spans="8:17" s="223" customFormat="1" x14ac:dyDescent="0.25">
      <c r="H543" s="354"/>
      <c r="I543" s="354"/>
      <c r="J543" s="354"/>
      <c r="K543" s="222"/>
      <c r="L543" s="222"/>
      <c r="M543" s="222"/>
      <c r="N543" s="222"/>
      <c r="O543" s="222"/>
      <c r="P543" s="222"/>
      <c r="Q543" s="222"/>
    </row>
    <row r="544" spans="8:17" s="223" customFormat="1" x14ac:dyDescent="0.25">
      <c r="H544" s="354"/>
      <c r="I544" s="354"/>
      <c r="J544" s="354"/>
      <c r="K544" s="222"/>
      <c r="L544" s="222"/>
      <c r="M544" s="222"/>
      <c r="N544" s="222"/>
      <c r="O544" s="222"/>
      <c r="P544" s="222"/>
      <c r="Q544" s="222"/>
    </row>
    <row r="545" spans="8:17" s="223" customFormat="1" x14ac:dyDescent="0.25">
      <c r="H545" s="354"/>
      <c r="I545" s="354"/>
      <c r="J545" s="354"/>
      <c r="K545" s="222"/>
      <c r="L545" s="222"/>
      <c r="M545" s="222"/>
      <c r="N545" s="222"/>
      <c r="O545" s="222"/>
      <c r="P545" s="222"/>
      <c r="Q545" s="222"/>
    </row>
    <row r="546" spans="8:17" s="223" customFormat="1" x14ac:dyDescent="0.25">
      <c r="H546" s="354"/>
      <c r="I546" s="354"/>
      <c r="J546" s="354"/>
      <c r="K546" s="222"/>
      <c r="L546" s="222"/>
      <c r="M546" s="222"/>
      <c r="N546" s="222"/>
      <c r="O546" s="222"/>
      <c r="P546" s="222"/>
      <c r="Q546" s="222"/>
    </row>
    <row r="547" spans="8:17" s="223" customFormat="1" x14ac:dyDescent="0.25">
      <c r="H547" s="354"/>
      <c r="I547" s="354"/>
      <c r="J547" s="354"/>
      <c r="K547" s="222"/>
      <c r="L547" s="222"/>
      <c r="M547" s="222"/>
      <c r="N547" s="222"/>
      <c r="O547" s="222"/>
      <c r="P547" s="222"/>
      <c r="Q547" s="222"/>
    </row>
    <row r="548" spans="8:17" s="223" customFormat="1" x14ac:dyDescent="0.25">
      <c r="H548" s="354"/>
      <c r="I548" s="354"/>
      <c r="J548" s="354"/>
      <c r="K548" s="222"/>
      <c r="L548" s="222"/>
      <c r="M548" s="222"/>
      <c r="N548" s="222"/>
      <c r="O548" s="222"/>
      <c r="P548" s="222"/>
      <c r="Q548" s="222"/>
    </row>
    <row r="549" spans="8:17" s="223" customFormat="1" x14ac:dyDescent="0.25">
      <c r="H549" s="354"/>
      <c r="I549" s="354"/>
      <c r="J549" s="354"/>
      <c r="K549" s="222"/>
      <c r="L549" s="222"/>
      <c r="M549" s="222"/>
      <c r="N549" s="222"/>
      <c r="O549" s="222"/>
      <c r="P549" s="222"/>
      <c r="Q549" s="222"/>
    </row>
    <row r="550" spans="8:17" s="223" customFormat="1" x14ac:dyDescent="0.25">
      <c r="H550" s="354"/>
      <c r="I550" s="354"/>
      <c r="J550" s="354"/>
      <c r="K550" s="222"/>
      <c r="L550" s="222"/>
      <c r="M550" s="222"/>
      <c r="N550" s="222"/>
      <c r="O550" s="222"/>
      <c r="P550" s="222"/>
      <c r="Q550" s="222"/>
    </row>
    <row r="551" spans="8:17" s="223" customFormat="1" x14ac:dyDescent="0.25">
      <c r="H551" s="354"/>
      <c r="I551" s="354"/>
      <c r="J551" s="354"/>
      <c r="K551" s="222"/>
      <c r="L551" s="222"/>
      <c r="M551" s="222"/>
      <c r="N551" s="222"/>
      <c r="O551" s="222"/>
      <c r="P551" s="222"/>
      <c r="Q551" s="222"/>
    </row>
    <row r="552" spans="8:17" s="223" customFormat="1" x14ac:dyDescent="0.25">
      <c r="H552" s="354"/>
      <c r="I552" s="354"/>
      <c r="J552" s="354"/>
      <c r="K552" s="222"/>
      <c r="L552" s="222"/>
      <c r="M552" s="222"/>
      <c r="N552" s="222"/>
      <c r="O552" s="222"/>
      <c r="P552" s="222"/>
      <c r="Q552" s="222"/>
    </row>
    <row r="553" spans="8:17" s="223" customFormat="1" x14ac:dyDescent="0.25">
      <c r="H553" s="354"/>
      <c r="I553" s="354"/>
      <c r="J553" s="354"/>
      <c r="K553" s="222"/>
      <c r="L553" s="222"/>
      <c r="M553" s="222"/>
      <c r="N553" s="222"/>
      <c r="O553" s="222"/>
      <c r="P553" s="222"/>
      <c r="Q553" s="222"/>
    </row>
    <row r="554" spans="8:17" s="223" customFormat="1" x14ac:dyDescent="0.25">
      <c r="H554" s="354"/>
      <c r="I554" s="354"/>
      <c r="J554" s="354"/>
      <c r="K554" s="222"/>
      <c r="L554" s="222"/>
      <c r="M554" s="222"/>
      <c r="N554" s="222"/>
      <c r="O554" s="222"/>
      <c r="P554" s="222"/>
      <c r="Q554" s="222"/>
    </row>
    <row r="555" spans="8:17" s="223" customFormat="1" x14ac:dyDescent="0.25">
      <c r="H555" s="354"/>
      <c r="I555" s="354"/>
      <c r="J555" s="354"/>
      <c r="K555" s="222"/>
      <c r="L555" s="222"/>
      <c r="M555" s="222"/>
      <c r="N555" s="222"/>
      <c r="O555" s="222"/>
      <c r="P555" s="222"/>
      <c r="Q555" s="222"/>
    </row>
    <row r="556" spans="8:17" s="223" customFormat="1" x14ac:dyDescent="0.25">
      <c r="H556" s="354"/>
      <c r="I556" s="354"/>
      <c r="J556" s="354"/>
      <c r="K556" s="222"/>
      <c r="L556" s="222"/>
      <c r="M556" s="222"/>
      <c r="N556" s="222"/>
      <c r="O556" s="222"/>
      <c r="P556" s="222"/>
      <c r="Q556" s="222"/>
    </row>
    <row r="557" spans="8:17" s="223" customFormat="1" x14ac:dyDescent="0.25">
      <c r="H557" s="354"/>
      <c r="I557" s="354"/>
      <c r="J557" s="354"/>
      <c r="K557" s="222"/>
      <c r="L557" s="222"/>
      <c r="M557" s="222"/>
      <c r="N557" s="222"/>
      <c r="O557" s="222"/>
      <c r="P557" s="222"/>
      <c r="Q557" s="222"/>
    </row>
    <row r="558" spans="8:17" s="223" customFormat="1" x14ac:dyDescent="0.25">
      <c r="H558" s="354"/>
      <c r="I558" s="354"/>
      <c r="J558" s="354"/>
      <c r="K558" s="222"/>
      <c r="L558" s="222"/>
      <c r="M558" s="222"/>
      <c r="N558" s="222"/>
      <c r="O558" s="222"/>
      <c r="P558" s="222"/>
      <c r="Q558" s="222"/>
    </row>
    <row r="559" spans="8:17" s="223" customFormat="1" x14ac:dyDescent="0.25">
      <c r="H559" s="354"/>
      <c r="I559" s="354"/>
      <c r="J559" s="354"/>
      <c r="K559" s="222"/>
      <c r="L559" s="222"/>
      <c r="M559" s="222"/>
      <c r="N559" s="222"/>
      <c r="O559" s="222"/>
      <c r="P559" s="222"/>
      <c r="Q559" s="222"/>
    </row>
    <row r="560" spans="8:17" s="223" customFormat="1" x14ac:dyDescent="0.25">
      <c r="H560" s="354"/>
      <c r="I560" s="354"/>
      <c r="J560" s="354"/>
      <c r="K560" s="222"/>
      <c r="L560" s="222"/>
      <c r="M560" s="222"/>
      <c r="N560" s="222"/>
      <c r="O560" s="222"/>
      <c r="P560" s="222"/>
      <c r="Q560" s="222"/>
    </row>
    <row r="561" spans="8:17" s="223" customFormat="1" x14ac:dyDescent="0.25">
      <c r="H561" s="354"/>
      <c r="I561" s="354"/>
      <c r="J561" s="354"/>
      <c r="K561" s="222"/>
      <c r="L561" s="222"/>
      <c r="M561" s="222"/>
      <c r="N561" s="222"/>
      <c r="O561" s="222"/>
      <c r="P561" s="222"/>
      <c r="Q561" s="222"/>
    </row>
    <row r="562" spans="8:17" s="223" customFormat="1" x14ac:dyDescent="0.25">
      <c r="H562" s="354"/>
      <c r="I562" s="354"/>
      <c r="J562" s="354"/>
      <c r="K562" s="222"/>
      <c r="L562" s="222"/>
      <c r="M562" s="222"/>
      <c r="N562" s="222"/>
      <c r="O562" s="222"/>
      <c r="P562" s="222"/>
      <c r="Q562" s="222"/>
    </row>
    <row r="563" spans="8:17" s="223" customFormat="1" x14ac:dyDescent="0.25">
      <c r="H563" s="354"/>
      <c r="I563" s="354"/>
      <c r="J563" s="354"/>
      <c r="K563" s="222"/>
      <c r="L563" s="222"/>
      <c r="M563" s="222"/>
      <c r="N563" s="222"/>
      <c r="O563" s="222"/>
      <c r="P563" s="222"/>
      <c r="Q563" s="222"/>
    </row>
    <row r="564" spans="8:17" s="223" customFormat="1" x14ac:dyDescent="0.25">
      <c r="H564" s="354"/>
      <c r="I564" s="354"/>
      <c r="J564" s="354"/>
      <c r="K564" s="222"/>
      <c r="L564" s="222"/>
      <c r="M564" s="222"/>
      <c r="N564" s="222"/>
      <c r="O564" s="222"/>
      <c r="P564" s="222"/>
      <c r="Q564" s="222"/>
    </row>
    <row r="565" spans="8:17" s="223" customFormat="1" x14ac:dyDescent="0.25">
      <c r="H565" s="354"/>
      <c r="I565" s="354"/>
      <c r="J565" s="354"/>
      <c r="K565" s="222"/>
      <c r="L565" s="222"/>
      <c r="M565" s="222"/>
      <c r="N565" s="222"/>
      <c r="O565" s="222"/>
      <c r="P565" s="222"/>
      <c r="Q565" s="222"/>
    </row>
    <row r="566" spans="8:17" s="223" customFormat="1" x14ac:dyDescent="0.25">
      <c r="H566" s="354"/>
      <c r="I566" s="354"/>
      <c r="J566" s="354"/>
      <c r="K566" s="222"/>
      <c r="L566" s="222"/>
      <c r="M566" s="222"/>
      <c r="N566" s="222"/>
      <c r="O566" s="222"/>
      <c r="P566" s="222"/>
      <c r="Q566" s="222"/>
    </row>
    <row r="567" spans="8:17" s="223" customFormat="1" x14ac:dyDescent="0.25">
      <c r="H567" s="354"/>
      <c r="I567" s="354"/>
      <c r="J567" s="354"/>
      <c r="K567" s="222"/>
      <c r="L567" s="222"/>
      <c r="M567" s="222"/>
      <c r="N567" s="222"/>
      <c r="O567" s="222"/>
      <c r="P567" s="222"/>
      <c r="Q567" s="222"/>
    </row>
    <row r="568" spans="8:17" s="223" customFormat="1" x14ac:dyDescent="0.25">
      <c r="H568" s="354"/>
      <c r="I568" s="354"/>
      <c r="J568" s="354"/>
      <c r="K568" s="222"/>
      <c r="L568" s="222"/>
      <c r="M568" s="222"/>
      <c r="N568" s="222"/>
      <c r="O568" s="222"/>
      <c r="P568" s="222"/>
      <c r="Q568" s="222"/>
    </row>
    <row r="569" spans="8:17" s="223" customFormat="1" x14ac:dyDescent="0.25">
      <c r="H569" s="354"/>
      <c r="I569" s="354"/>
      <c r="J569" s="354"/>
      <c r="K569" s="222"/>
      <c r="L569" s="222"/>
      <c r="M569" s="222"/>
      <c r="N569" s="222"/>
      <c r="O569" s="222"/>
      <c r="P569" s="222"/>
      <c r="Q569" s="222"/>
    </row>
    <row r="570" spans="8:17" s="223" customFormat="1" x14ac:dyDescent="0.25">
      <c r="H570" s="354"/>
      <c r="I570" s="354"/>
      <c r="J570" s="354"/>
      <c r="K570" s="222"/>
      <c r="L570" s="222"/>
      <c r="M570" s="222"/>
      <c r="N570" s="222"/>
      <c r="O570" s="222"/>
      <c r="P570" s="222"/>
      <c r="Q570" s="222"/>
    </row>
    <row r="571" spans="8:17" s="223" customFormat="1" x14ac:dyDescent="0.25">
      <c r="H571" s="354"/>
      <c r="I571" s="354"/>
      <c r="J571" s="354"/>
      <c r="K571" s="222"/>
      <c r="L571" s="222"/>
      <c r="M571" s="222"/>
      <c r="N571" s="222"/>
      <c r="O571" s="222"/>
      <c r="P571" s="222"/>
      <c r="Q571" s="222"/>
    </row>
    <row r="572" spans="8:17" s="223" customFormat="1" x14ac:dyDescent="0.25">
      <c r="H572" s="354"/>
      <c r="I572" s="354"/>
      <c r="J572" s="354"/>
      <c r="K572" s="222"/>
      <c r="L572" s="222"/>
      <c r="M572" s="222"/>
      <c r="N572" s="222"/>
      <c r="O572" s="222"/>
      <c r="P572" s="222"/>
      <c r="Q572" s="222"/>
    </row>
    <row r="573" spans="8:17" s="223" customFormat="1" x14ac:dyDescent="0.25">
      <c r="H573" s="354"/>
      <c r="I573" s="354"/>
      <c r="J573" s="354"/>
      <c r="K573" s="222"/>
      <c r="L573" s="222"/>
      <c r="M573" s="222"/>
      <c r="N573" s="222"/>
      <c r="O573" s="222"/>
      <c r="P573" s="222"/>
      <c r="Q573" s="222"/>
    </row>
    <row r="574" spans="8:17" s="223" customFormat="1" x14ac:dyDescent="0.25">
      <c r="H574" s="354"/>
      <c r="I574" s="354"/>
      <c r="J574" s="354"/>
      <c r="K574" s="222"/>
      <c r="L574" s="222"/>
      <c r="M574" s="222"/>
      <c r="N574" s="222"/>
      <c r="O574" s="222"/>
      <c r="P574" s="222"/>
      <c r="Q574" s="222"/>
    </row>
    <row r="575" spans="8:17" s="223" customFormat="1" x14ac:dyDescent="0.25">
      <c r="H575" s="354"/>
      <c r="I575" s="354"/>
      <c r="J575" s="354"/>
      <c r="K575" s="222"/>
      <c r="L575" s="222"/>
      <c r="M575" s="222"/>
      <c r="N575" s="222"/>
      <c r="O575" s="222"/>
      <c r="P575" s="222"/>
      <c r="Q575" s="222"/>
    </row>
    <row r="576" spans="8:17" s="223" customFormat="1" x14ac:dyDescent="0.25">
      <c r="H576" s="354"/>
      <c r="I576" s="354"/>
      <c r="J576" s="354"/>
      <c r="K576" s="222"/>
      <c r="L576" s="222"/>
      <c r="M576" s="222"/>
      <c r="N576" s="222"/>
      <c r="O576" s="222"/>
      <c r="P576" s="222"/>
      <c r="Q576" s="222"/>
    </row>
    <row r="577" spans="8:17" s="223" customFormat="1" x14ac:dyDescent="0.25">
      <c r="H577" s="354"/>
      <c r="I577" s="354"/>
      <c r="J577" s="354"/>
      <c r="K577" s="222"/>
      <c r="L577" s="222"/>
      <c r="M577" s="222"/>
      <c r="N577" s="222"/>
      <c r="O577" s="222"/>
      <c r="P577" s="222"/>
      <c r="Q577" s="222"/>
    </row>
    <row r="578" spans="8:17" s="223" customFormat="1" x14ac:dyDescent="0.25">
      <c r="H578" s="354"/>
      <c r="I578" s="354"/>
      <c r="J578" s="354"/>
      <c r="K578" s="222"/>
      <c r="L578" s="222"/>
      <c r="M578" s="222"/>
      <c r="N578" s="222"/>
      <c r="O578" s="222"/>
      <c r="P578" s="222"/>
      <c r="Q578" s="222"/>
    </row>
    <row r="579" spans="8:17" s="223" customFormat="1" x14ac:dyDescent="0.25">
      <c r="H579" s="354"/>
      <c r="I579" s="354"/>
      <c r="J579" s="354"/>
      <c r="K579" s="222"/>
      <c r="L579" s="222"/>
      <c r="M579" s="222"/>
      <c r="N579" s="222"/>
      <c r="O579" s="222"/>
      <c r="P579" s="222"/>
      <c r="Q579" s="222"/>
    </row>
    <row r="580" spans="8:17" s="223" customFormat="1" x14ac:dyDescent="0.25">
      <c r="H580" s="354"/>
      <c r="I580" s="354"/>
      <c r="J580" s="354"/>
      <c r="K580" s="222"/>
      <c r="L580" s="222"/>
      <c r="M580" s="222"/>
      <c r="N580" s="222"/>
      <c r="O580" s="222"/>
      <c r="P580" s="222"/>
      <c r="Q580" s="222"/>
    </row>
    <row r="581" spans="8:17" s="223" customFormat="1" x14ac:dyDescent="0.25">
      <c r="H581" s="354"/>
      <c r="I581" s="354"/>
      <c r="J581" s="354"/>
      <c r="K581" s="222"/>
      <c r="L581" s="222"/>
      <c r="M581" s="222"/>
      <c r="N581" s="222"/>
      <c r="O581" s="222"/>
      <c r="P581" s="222"/>
      <c r="Q581" s="222"/>
    </row>
    <row r="582" spans="8:17" s="223" customFormat="1" x14ac:dyDescent="0.25">
      <c r="H582" s="354"/>
      <c r="I582" s="354"/>
      <c r="J582" s="354"/>
      <c r="K582" s="222"/>
      <c r="L582" s="222"/>
      <c r="M582" s="222"/>
      <c r="N582" s="222"/>
      <c r="O582" s="222"/>
      <c r="P582" s="222"/>
      <c r="Q582" s="222"/>
    </row>
    <row r="583" spans="8:17" s="223" customFormat="1" x14ac:dyDescent="0.25">
      <c r="H583" s="354"/>
      <c r="I583" s="354"/>
      <c r="J583" s="354"/>
      <c r="K583" s="222"/>
      <c r="L583" s="222"/>
      <c r="M583" s="222"/>
      <c r="N583" s="222"/>
      <c r="O583" s="222"/>
      <c r="P583" s="222"/>
      <c r="Q583" s="222"/>
    </row>
    <row r="584" spans="8:17" s="223" customFormat="1" x14ac:dyDescent="0.25">
      <c r="H584" s="354"/>
      <c r="I584" s="354"/>
      <c r="J584" s="354"/>
      <c r="K584" s="222"/>
      <c r="L584" s="222"/>
      <c r="M584" s="222"/>
      <c r="N584" s="222"/>
      <c r="O584" s="222"/>
      <c r="P584" s="222"/>
      <c r="Q584" s="222"/>
    </row>
    <row r="585" spans="8:17" s="223" customFormat="1" x14ac:dyDescent="0.25">
      <c r="H585" s="354"/>
      <c r="I585" s="354"/>
      <c r="J585" s="354"/>
      <c r="K585" s="222"/>
      <c r="L585" s="222"/>
      <c r="M585" s="222"/>
      <c r="N585" s="222"/>
      <c r="O585" s="222"/>
      <c r="P585" s="222"/>
      <c r="Q585" s="222"/>
    </row>
    <row r="586" spans="8:17" s="223" customFormat="1" x14ac:dyDescent="0.25">
      <c r="H586" s="354"/>
      <c r="I586" s="354"/>
      <c r="J586" s="354"/>
      <c r="K586" s="222"/>
      <c r="L586" s="222"/>
      <c r="M586" s="222"/>
      <c r="N586" s="222"/>
      <c r="O586" s="222"/>
      <c r="P586" s="222"/>
      <c r="Q586" s="222"/>
    </row>
    <row r="587" spans="8:17" s="223" customFormat="1" x14ac:dyDescent="0.25">
      <c r="H587" s="354"/>
      <c r="I587" s="354"/>
      <c r="J587" s="354"/>
      <c r="K587" s="222"/>
      <c r="L587" s="222"/>
      <c r="M587" s="222"/>
      <c r="N587" s="222"/>
      <c r="O587" s="222"/>
      <c r="P587" s="222"/>
      <c r="Q587" s="222"/>
    </row>
    <row r="588" spans="8:17" s="223" customFormat="1" x14ac:dyDescent="0.25">
      <c r="H588" s="354"/>
      <c r="I588" s="354"/>
      <c r="J588" s="354"/>
      <c r="K588" s="222"/>
      <c r="L588" s="222"/>
      <c r="M588" s="222"/>
      <c r="N588" s="222"/>
      <c r="O588" s="222"/>
      <c r="P588" s="222"/>
      <c r="Q588" s="222"/>
    </row>
    <row r="589" spans="8:17" s="223" customFormat="1" x14ac:dyDescent="0.25">
      <c r="H589" s="354"/>
      <c r="I589" s="354"/>
      <c r="J589" s="354"/>
      <c r="K589" s="222"/>
      <c r="L589" s="222"/>
      <c r="M589" s="222"/>
      <c r="N589" s="222"/>
      <c r="O589" s="222"/>
      <c r="P589" s="222"/>
      <c r="Q589" s="222"/>
    </row>
    <row r="590" spans="8:17" s="223" customFormat="1" x14ac:dyDescent="0.25">
      <c r="H590" s="354"/>
      <c r="I590" s="354"/>
      <c r="J590" s="354"/>
      <c r="K590" s="222"/>
      <c r="L590" s="222"/>
      <c r="M590" s="222"/>
      <c r="N590" s="222"/>
      <c r="O590" s="222"/>
      <c r="P590" s="222"/>
      <c r="Q590" s="222"/>
    </row>
    <row r="591" spans="8:17" s="223" customFormat="1" x14ac:dyDescent="0.25">
      <c r="H591" s="354"/>
      <c r="I591" s="354"/>
      <c r="J591" s="354"/>
      <c r="K591" s="222"/>
      <c r="L591" s="222"/>
      <c r="M591" s="222"/>
      <c r="N591" s="222"/>
      <c r="O591" s="222"/>
      <c r="P591" s="222"/>
      <c r="Q591" s="222"/>
    </row>
    <row r="592" spans="8:17" s="223" customFormat="1" x14ac:dyDescent="0.25">
      <c r="H592" s="354"/>
      <c r="I592" s="354"/>
      <c r="J592" s="354"/>
      <c r="K592" s="222"/>
      <c r="L592" s="222"/>
      <c r="M592" s="222"/>
      <c r="N592" s="222"/>
      <c r="O592" s="222"/>
      <c r="P592" s="222"/>
      <c r="Q592" s="222"/>
    </row>
    <row r="593" spans="8:17" s="223" customFormat="1" x14ac:dyDescent="0.25">
      <c r="H593" s="354"/>
      <c r="I593" s="354"/>
      <c r="J593" s="354"/>
      <c r="K593" s="222"/>
      <c r="L593" s="222"/>
      <c r="M593" s="222"/>
      <c r="N593" s="222"/>
      <c r="O593" s="222"/>
      <c r="P593" s="222"/>
      <c r="Q593" s="222"/>
    </row>
    <row r="594" spans="8:17" s="223" customFormat="1" x14ac:dyDescent="0.25">
      <c r="H594" s="354"/>
      <c r="I594" s="354"/>
      <c r="J594" s="354"/>
      <c r="K594" s="222"/>
      <c r="L594" s="222"/>
      <c r="M594" s="222"/>
      <c r="N594" s="222"/>
      <c r="O594" s="222"/>
      <c r="P594" s="222"/>
      <c r="Q594" s="222"/>
    </row>
    <row r="595" spans="8:17" s="223" customFormat="1" x14ac:dyDescent="0.25">
      <c r="H595" s="354"/>
      <c r="I595" s="354"/>
      <c r="J595" s="354"/>
      <c r="K595" s="222"/>
      <c r="L595" s="222"/>
      <c r="M595" s="222"/>
      <c r="N595" s="222"/>
      <c r="O595" s="222"/>
      <c r="P595" s="222"/>
      <c r="Q595" s="222"/>
    </row>
    <row r="596" spans="8:17" s="223" customFormat="1" x14ac:dyDescent="0.25">
      <c r="H596" s="354"/>
      <c r="I596" s="354"/>
      <c r="J596" s="354"/>
      <c r="K596" s="222"/>
      <c r="L596" s="222"/>
      <c r="M596" s="222"/>
      <c r="N596" s="222"/>
      <c r="O596" s="222"/>
      <c r="P596" s="222"/>
      <c r="Q596" s="222"/>
    </row>
    <row r="597" spans="8:17" s="223" customFormat="1" x14ac:dyDescent="0.25">
      <c r="H597" s="354"/>
      <c r="I597" s="354"/>
      <c r="J597" s="354"/>
      <c r="K597" s="222"/>
      <c r="L597" s="222"/>
      <c r="M597" s="222"/>
      <c r="N597" s="222"/>
      <c r="O597" s="222"/>
      <c r="P597" s="222"/>
      <c r="Q597" s="222"/>
    </row>
    <row r="598" spans="8:17" s="223" customFormat="1" x14ac:dyDescent="0.25">
      <c r="H598" s="354"/>
      <c r="I598" s="354"/>
      <c r="J598" s="354"/>
      <c r="K598" s="222"/>
      <c r="L598" s="222"/>
      <c r="M598" s="222"/>
      <c r="N598" s="222"/>
      <c r="O598" s="222"/>
      <c r="P598" s="222"/>
      <c r="Q598" s="222"/>
    </row>
    <row r="599" spans="8:17" s="223" customFormat="1" x14ac:dyDescent="0.25">
      <c r="H599" s="354"/>
      <c r="I599" s="354"/>
      <c r="J599" s="354"/>
      <c r="K599" s="222"/>
      <c r="L599" s="222"/>
      <c r="M599" s="222"/>
      <c r="N599" s="222"/>
      <c r="O599" s="222"/>
      <c r="P599" s="222"/>
      <c r="Q599" s="222"/>
    </row>
    <row r="600" spans="8:17" s="223" customFormat="1" x14ac:dyDescent="0.25">
      <c r="H600" s="354"/>
      <c r="I600" s="354"/>
      <c r="J600" s="354"/>
      <c r="K600" s="222"/>
      <c r="L600" s="222"/>
      <c r="M600" s="222"/>
      <c r="N600" s="222"/>
      <c r="O600" s="222"/>
      <c r="P600" s="222"/>
      <c r="Q600" s="222"/>
    </row>
    <row r="601" spans="8:17" s="223" customFormat="1" x14ac:dyDescent="0.25">
      <c r="H601" s="354"/>
      <c r="I601" s="354"/>
      <c r="J601" s="354"/>
      <c r="K601" s="222"/>
      <c r="L601" s="222"/>
      <c r="M601" s="222"/>
      <c r="N601" s="222"/>
      <c r="O601" s="222"/>
      <c r="P601" s="222"/>
      <c r="Q601" s="222"/>
    </row>
    <row r="602" spans="8:17" s="223" customFormat="1" x14ac:dyDescent="0.25">
      <c r="H602" s="354"/>
      <c r="I602" s="354"/>
      <c r="J602" s="354"/>
      <c r="K602" s="222"/>
      <c r="L602" s="222"/>
      <c r="M602" s="222"/>
      <c r="N602" s="222"/>
      <c r="O602" s="222"/>
      <c r="P602" s="222"/>
      <c r="Q602" s="222"/>
    </row>
    <row r="603" spans="8:17" s="223" customFormat="1" x14ac:dyDescent="0.25">
      <c r="H603" s="354"/>
      <c r="I603" s="354"/>
      <c r="J603" s="354"/>
      <c r="K603" s="222"/>
      <c r="L603" s="222"/>
      <c r="M603" s="222"/>
      <c r="N603" s="222"/>
      <c r="O603" s="222"/>
      <c r="P603" s="222"/>
      <c r="Q603" s="222"/>
    </row>
    <row r="604" spans="8:17" s="223" customFormat="1" x14ac:dyDescent="0.25">
      <c r="H604" s="354"/>
      <c r="I604" s="354"/>
      <c r="J604" s="354"/>
      <c r="K604" s="222"/>
      <c r="L604" s="222"/>
      <c r="M604" s="222"/>
      <c r="N604" s="222"/>
      <c r="O604" s="222"/>
      <c r="P604" s="222"/>
      <c r="Q604" s="222"/>
    </row>
    <row r="605" spans="8:17" s="223" customFormat="1" x14ac:dyDescent="0.25">
      <c r="H605" s="354"/>
      <c r="I605" s="354"/>
      <c r="J605" s="354"/>
      <c r="K605" s="222"/>
      <c r="L605" s="222"/>
      <c r="M605" s="222"/>
      <c r="N605" s="222"/>
      <c r="O605" s="222"/>
      <c r="P605" s="222"/>
      <c r="Q605" s="222"/>
    </row>
    <row r="606" spans="8:17" s="223" customFormat="1" x14ac:dyDescent="0.25">
      <c r="H606" s="354"/>
      <c r="I606" s="354"/>
      <c r="J606" s="354"/>
      <c r="K606" s="222"/>
      <c r="L606" s="222"/>
      <c r="M606" s="222"/>
      <c r="N606" s="222"/>
      <c r="O606" s="222"/>
      <c r="P606" s="222"/>
      <c r="Q606" s="222"/>
    </row>
    <row r="607" spans="8:17" s="223" customFormat="1" x14ac:dyDescent="0.25">
      <c r="H607" s="354"/>
      <c r="I607" s="354"/>
      <c r="J607" s="354"/>
      <c r="K607" s="222"/>
      <c r="L607" s="222"/>
      <c r="M607" s="222"/>
      <c r="N607" s="222"/>
      <c r="O607" s="222"/>
      <c r="P607" s="222"/>
      <c r="Q607" s="222"/>
    </row>
    <row r="608" spans="8:17" s="223" customFormat="1" x14ac:dyDescent="0.25">
      <c r="H608" s="354"/>
      <c r="I608" s="354"/>
      <c r="J608" s="354"/>
      <c r="K608" s="222"/>
      <c r="L608" s="222"/>
      <c r="M608" s="222"/>
      <c r="N608" s="222"/>
      <c r="O608" s="222"/>
      <c r="P608" s="222"/>
      <c r="Q608" s="222"/>
    </row>
    <row r="609" spans="8:17" s="223" customFormat="1" x14ac:dyDescent="0.25">
      <c r="H609" s="354"/>
      <c r="I609" s="354"/>
      <c r="J609" s="354"/>
      <c r="K609" s="222"/>
      <c r="L609" s="222"/>
      <c r="M609" s="222"/>
      <c r="N609" s="222"/>
      <c r="O609" s="222"/>
      <c r="P609" s="222"/>
      <c r="Q609" s="222"/>
    </row>
    <row r="610" spans="8:17" s="223" customFormat="1" x14ac:dyDescent="0.25">
      <c r="H610" s="354"/>
      <c r="I610" s="354"/>
      <c r="J610" s="354"/>
      <c r="K610" s="222"/>
      <c r="L610" s="222"/>
      <c r="M610" s="222"/>
      <c r="N610" s="222"/>
      <c r="O610" s="222"/>
      <c r="P610" s="222"/>
      <c r="Q610" s="222"/>
    </row>
    <row r="611" spans="8:17" s="223" customFormat="1" x14ac:dyDescent="0.25">
      <c r="H611" s="354"/>
      <c r="I611" s="354"/>
      <c r="J611" s="354"/>
      <c r="K611" s="222"/>
      <c r="L611" s="222"/>
      <c r="M611" s="222"/>
      <c r="N611" s="222"/>
      <c r="O611" s="222"/>
      <c r="P611" s="222"/>
      <c r="Q611" s="222"/>
    </row>
    <row r="612" spans="8:17" s="223" customFormat="1" x14ac:dyDescent="0.25">
      <c r="H612" s="354"/>
      <c r="I612" s="354"/>
      <c r="J612" s="354"/>
      <c r="K612" s="222"/>
      <c r="L612" s="222"/>
      <c r="M612" s="222"/>
      <c r="N612" s="222"/>
      <c r="O612" s="222"/>
      <c r="P612" s="222"/>
      <c r="Q612" s="222"/>
    </row>
    <row r="613" spans="8:17" s="223" customFormat="1" x14ac:dyDescent="0.25">
      <c r="H613" s="354"/>
      <c r="I613" s="354"/>
      <c r="J613" s="354"/>
      <c r="K613" s="222"/>
      <c r="L613" s="222"/>
      <c r="M613" s="222"/>
      <c r="N613" s="222"/>
      <c r="O613" s="222"/>
      <c r="P613" s="222"/>
      <c r="Q613" s="222"/>
    </row>
    <row r="614" spans="8:17" s="223" customFormat="1" x14ac:dyDescent="0.25">
      <c r="H614" s="354"/>
      <c r="I614" s="354"/>
      <c r="J614" s="354"/>
      <c r="K614" s="222"/>
      <c r="L614" s="222"/>
      <c r="M614" s="222"/>
      <c r="N614" s="222"/>
      <c r="O614" s="222"/>
      <c r="P614" s="222"/>
      <c r="Q614" s="222"/>
    </row>
    <row r="615" spans="8:17" s="223" customFormat="1" x14ac:dyDescent="0.25">
      <c r="H615" s="354"/>
      <c r="I615" s="354"/>
      <c r="J615" s="354"/>
      <c r="K615" s="222"/>
      <c r="L615" s="222"/>
      <c r="M615" s="222"/>
      <c r="N615" s="222"/>
      <c r="O615" s="222"/>
      <c r="P615" s="222"/>
      <c r="Q615" s="222"/>
    </row>
    <row r="616" spans="8:17" s="223" customFormat="1" x14ac:dyDescent="0.25">
      <c r="H616" s="354"/>
      <c r="I616" s="354"/>
      <c r="J616" s="354"/>
      <c r="K616" s="222"/>
      <c r="L616" s="222"/>
      <c r="M616" s="222"/>
      <c r="N616" s="222"/>
      <c r="O616" s="222"/>
      <c r="P616" s="222"/>
      <c r="Q616" s="222"/>
    </row>
    <row r="617" spans="8:17" s="223" customFormat="1" x14ac:dyDescent="0.25">
      <c r="H617" s="354"/>
      <c r="I617" s="354"/>
      <c r="J617" s="354"/>
      <c r="K617" s="222"/>
      <c r="L617" s="222"/>
      <c r="M617" s="222"/>
      <c r="N617" s="222"/>
      <c r="O617" s="222"/>
      <c r="P617" s="222"/>
      <c r="Q617" s="222"/>
    </row>
    <row r="618" spans="8:17" s="223" customFormat="1" x14ac:dyDescent="0.25">
      <c r="H618" s="354"/>
      <c r="I618" s="354"/>
      <c r="J618" s="354"/>
      <c r="K618" s="222"/>
      <c r="L618" s="222"/>
      <c r="M618" s="222"/>
      <c r="N618" s="222"/>
      <c r="O618" s="222"/>
      <c r="P618" s="222"/>
      <c r="Q618" s="222"/>
    </row>
    <row r="619" spans="8:17" s="223" customFormat="1" x14ac:dyDescent="0.25">
      <c r="H619" s="354"/>
      <c r="I619" s="354"/>
      <c r="J619" s="354"/>
      <c r="K619" s="222"/>
      <c r="L619" s="222"/>
      <c r="M619" s="222"/>
      <c r="N619" s="222"/>
      <c r="O619" s="222"/>
      <c r="P619" s="222"/>
      <c r="Q619" s="222"/>
    </row>
    <row r="620" spans="8:17" s="223" customFormat="1" x14ac:dyDescent="0.25">
      <c r="H620" s="354"/>
      <c r="I620" s="354"/>
      <c r="J620" s="354"/>
      <c r="K620" s="222"/>
      <c r="L620" s="222"/>
      <c r="M620" s="222"/>
      <c r="N620" s="222"/>
      <c r="O620" s="222"/>
      <c r="P620" s="222"/>
      <c r="Q620" s="222"/>
    </row>
    <row r="621" spans="8:17" s="223" customFormat="1" x14ac:dyDescent="0.25">
      <c r="H621" s="354"/>
      <c r="I621" s="354"/>
      <c r="J621" s="354"/>
      <c r="K621" s="222"/>
      <c r="L621" s="222"/>
      <c r="M621" s="222"/>
      <c r="N621" s="222"/>
      <c r="O621" s="222"/>
      <c r="P621" s="222"/>
      <c r="Q621" s="222"/>
    </row>
    <row r="622" spans="8:17" s="223" customFormat="1" x14ac:dyDescent="0.25">
      <c r="H622" s="354"/>
      <c r="I622" s="354"/>
      <c r="J622" s="354"/>
      <c r="K622" s="222"/>
      <c r="L622" s="222"/>
      <c r="M622" s="222"/>
      <c r="N622" s="222"/>
      <c r="O622" s="222"/>
      <c r="P622" s="222"/>
      <c r="Q622" s="222"/>
    </row>
    <row r="623" spans="8:17" s="223" customFormat="1" x14ac:dyDescent="0.25">
      <c r="H623" s="354"/>
      <c r="I623" s="354"/>
      <c r="J623" s="354"/>
      <c r="K623" s="222"/>
      <c r="L623" s="222"/>
      <c r="M623" s="222"/>
      <c r="N623" s="222"/>
      <c r="O623" s="222"/>
      <c r="P623" s="222"/>
      <c r="Q623" s="222"/>
    </row>
    <row r="624" spans="8:17" s="223" customFormat="1" x14ac:dyDescent="0.25">
      <c r="H624" s="354"/>
      <c r="I624" s="354"/>
      <c r="J624" s="354"/>
      <c r="K624" s="222"/>
      <c r="L624" s="222"/>
      <c r="M624" s="222"/>
      <c r="N624" s="222"/>
      <c r="O624" s="222"/>
      <c r="P624" s="222"/>
      <c r="Q624" s="222"/>
    </row>
    <row r="625" spans="8:17" s="223" customFormat="1" x14ac:dyDescent="0.25">
      <c r="H625" s="354"/>
      <c r="I625" s="354"/>
      <c r="J625" s="354"/>
      <c r="K625" s="222"/>
      <c r="L625" s="222"/>
      <c r="M625" s="222"/>
      <c r="N625" s="222"/>
      <c r="O625" s="222"/>
      <c r="P625" s="222"/>
      <c r="Q625" s="222"/>
    </row>
    <row r="626" spans="8:17" s="223" customFormat="1" x14ac:dyDescent="0.25">
      <c r="H626" s="354"/>
      <c r="I626" s="354"/>
      <c r="J626" s="354"/>
      <c r="K626" s="222"/>
      <c r="L626" s="222"/>
      <c r="M626" s="222"/>
      <c r="N626" s="222"/>
      <c r="O626" s="222"/>
      <c r="P626" s="222"/>
      <c r="Q626" s="222"/>
    </row>
    <row r="627" spans="8:17" s="223" customFormat="1" x14ac:dyDescent="0.25">
      <c r="H627" s="354"/>
      <c r="I627" s="354"/>
      <c r="J627" s="354"/>
      <c r="K627" s="222"/>
      <c r="L627" s="222"/>
      <c r="M627" s="222"/>
      <c r="N627" s="222"/>
      <c r="O627" s="222"/>
      <c r="P627" s="222"/>
      <c r="Q627" s="222"/>
    </row>
    <row r="628" spans="8:17" s="223" customFormat="1" x14ac:dyDescent="0.25">
      <c r="H628" s="354"/>
      <c r="I628" s="354"/>
      <c r="J628" s="354"/>
      <c r="K628" s="222"/>
      <c r="L628" s="222"/>
      <c r="M628" s="222"/>
      <c r="N628" s="222"/>
      <c r="O628" s="222"/>
      <c r="P628" s="222"/>
      <c r="Q628" s="222"/>
    </row>
    <row r="629" spans="8:17" s="223" customFormat="1" x14ac:dyDescent="0.25">
      <c r="H629" s="354"/>
      <c r="I629" s="354"/>
      <c r="J629" s="354"/>
      <c r="K629" s="222"/>
      <c r="L629" s="222"/>
      <c r="M629" s="222"/>
      <c r="N629" s="222"/>
      <c r="O629" s="222"/>
      <c r="P629" s="222"/>
      <c r="Q629" s="222"/>
    </row>
    <row r="630" spans="8:17" s="223" customFormat="1" x14ac:dyDescent="0.25">
      <c r="H630" s="354"/>
      <c r="I630" s="354"/>
      <c r="J630" s="354"/>
      <c r="K630" s="222"/>
      <c r="L630" s="222"/>
      <c r="M630" s="222"/>
      <c r="N630" s="222"/>
      <c r="O630" s="222"/>
      <c r="P630" s="222"/>
      <c r="Q630" s="222"/>
    </row>
    <row r="631" spans="8:17" s="223" customFormat="1" x14ac:dyDescent="0.25">
      <c r="H631" s="354"/>
      <c r="I631" s="354"/>
      <c r="J631" s="354"/>
      <c r="K631" s="222"/>
      <c r="L631" s="222"/>
      <c r="M631" s="222"/>
      <c r="N631" s="222"/>
      <c r="O631" s="222"/>
      <c r="P631" s="222"/>
      <c r="Q631" s="222"/>
    </row>
    <row r="632" spans="8:17" s="223" customFormat="1" x14ac:dyDescent="0.25">
      <c r="H632" s="354"/>
      <c r="I632" s="354"/>
      <c r="J632" s="354"/>
      <c r="K632" s="222"/>
      <c r="L632" s="222"/>
      <c r="M632" s="222"/>
      <c r="N632" s="222"/>
      <c r="O632" s="222"/>
      <c r="P632" s="222"/>
      <c r="Q632" s="222"/>
    </row>
    <row r="633" spans="8:17" s="223" customFormat="1" x14ac:dyDescent="0.25">
      <c r="H633" s="354"/>
      <c r="I633" s="354"/>
      <c r="J633" s="354"/>
      <c r="K633" s="222"/>
      <c r="L633" s="222"/>
      <c r="M633" s="222"/>
      <c r="N633" s="222"/>
      <c r="O633" s="222"/>
      <c r="P633" s="222"/>
      <c r="Q633" s="222"/>
    </row>
    <row r="634" spans="8:17" s="223" customFormat="1" x14ac:dyDescent="0.25">
      <c r="H634" s="354"/>
      <c r="I634" s="354"/>
      <c r="J634" s="354"/>
      <c r="K634" s="222"/>
      <c r="L634" s="222"/>
      <c r="M634" s="222"/>
      <c r="N634" s="222"/>
      <c r="O634" s="222"/>
      <c r="P634" s="222"/>
      <c r="Q634" s="222"/>
    </row>
    <row r="635" spans="8:17" s="223" customFormat="1" x14ac:dyDescent="0.25">
      <c r="H635" s="354"/>
      <c r="I635" s="354"/>
      <c r="J635" s="354"/>
      <c r="K635" s="222"/>
      <c r="L635" s="222"/>
      <c r="M635" s="222"/>
      <c r="N635" s="222"/>
      <c r="O635" s="222"/>
      <c r="P635" s="222"/>
      <c r="Q635" s="222"/>
    </row>
    <row r="636" spans="8:17" s="223" customFormat="1" x14ac:dyDescent="0.25">
      <c r="H636" s="354"/>
      <c r="I636" s="354"/>
      <c r="J636" s="354"/>
      <c r="K636" s="222"/>
      <c r="L636" s="222"/>
      <c r="M636" s="222"/>
      <c r="N636" s="222"/>
      <c r="O636" s="222"/>
      <c r="P636" s="222"/>
      <c r="Q636" s="222"/>
    </row>
    <row r="637" spans="8:17" s="223" customFormat="1" x14ac:dyDescent="0.25">
      <c r="H637" s="354"/>
      <c r="I637" s="354"/>
      <c r="J637" s="354"/>
      <c r="K637" s="222"/>
      <c r="L637" s="222"/>
      <c r="M637" s="222"/>
      <c r="N637" s="222"/>
      <c r="O637" s="222"/>
      <c r="P637" s="222"/>
      <c r="Q637" s="222"/>
    </row>
    <row r="638" spans="8:17" s="223" customFormat="1" x14ac:dyDescent="0.25">
      <c r="H638" s="354"/>
      <c r="I638" s="354"/>
      <c r="J638" s="354"/>
      <c r="K638" s="222"/>
      <c r="L638" s="222"/>
      <c r="M638" s="222"/>
      <c r="N638" s="222"/>
      <c r="O638" s="222"/>
      <c r="P638" s="222"/>
      <c r="Q638" s="222"/>
    </row>
    <row r="639" spans="8:17" s="223" customFormat="1" x14ac:dyDescent="0.25">
      <c r="H639" s="354"/>
      <c r="I639" s="354"/>
      <c r="J639" s="354"/>
      <c r="K639" s="222"/>
      <c r="L639" s="222"/>
      <c r="M639" s="222"/>
      <c r="N639" s="222"/>
      <c r="O639" s="222"/>
      <c r="P639" s="222"/>
      <c r="Q639" s="222"/>
    </row>
    <row r="640" spans="8:17" s="223" customFormat="1" x14ac:dyDescent="0.25">
      <c r="H640" s="354"/>
      <c r="I640" s="354"/>
      <c r="J640" s="354"/>
      <c r="K640" s="222"/>
      <c r="L640" s="222"/>
      <c r="M640" s="222"/>
      <c r="N640" s="222"/>
      <c r="O640" s="222"/>
      <c r="P640" s="222"/>
      <c r="Q640" s="222"/>
    </row>
    <row r="641" spans="8:17" s="223" customFormat="1" x14ac:dyDescent="0.25">
      <c r="H641" s="354"/>
      <c r="I641" s="354"/>
      <c r="J641" s="354"/>
      <c r="K641" s="222"/>
      <c r="L641" s="222"/>
      <c r="M641" s="222"/>
      <c r="N641" s="222"/>
      <c r="O641" s="222"/>
      <c r="P641" s="222"/>
      <c r="Q641" s="222"/>
    </row>
    <row r="642" spans="8:17" s="223" customFormat="1" x14ac:dyDescent="0.25">
      <c r="H642" s="354"/>
      <c r="I642" s="354"/>
      <c r="J642" s="354"/>
      <c r="K642" s="222"/>
      <c r="L642" s="222"/>
      <c r="M642" s="222"/>
      <c r="N642" s="222"/>
      <c r="O642" s="222"/>
      <c r="P642" s="222"/>
      <c r="Q642" s="222"/>
    </row>
    <row r="643" spans="8:17" s="223" customFormat="1" x14ac:dyDescent="0.25">
      <c r="H643" s="354"/>
      <c r="I643" s="354"/>
      <c r="J643" s="354"/>
      <c r="K643" s="222"/>
      <c r="L643" s="222"/>
      <c r="M643" s="222"/>
      <c r="N643" s="222"/>
      <c r="O643" s="222"/>
      <c r="P643" s="222"/>
      <c r="Q643" s="222"/>
    </row>
    <row r="644" spans="8:17" s="223" customFormat="1" x14ac:dyDescent="0.25">
      <c r="H644" s="354"/>
      <c r="I644" s="354"/>
      <c r="J644" s="354"/>
      <c r="K644" s="222"/>
      <c r="L644" s="222"/>
      <c r="M644" s="222"/>
      <c r="N644" s="222"/>
      <c r="O644" s="222"/>
      <c r="P644" s="222"/>
      <c r="Q644" s="222"/>
    </row>
    <row r="645" spans="8:17" s="223" customFormat="1" x14ac:dyDescent="0.25">
      <c r="H645" s="354"/>
      <c r="I645" s="354"/>
      <c r="J645" s="354"/>
      <c r="K645" s="222"/>
      <c r="L645" s="222"/>
      <c r="M645" s="222"/>
      <c r="N645" s="222"/>
      <c r="O645" s="222"/>
      <c r="P645" s="222"/>
      <c r="Q645" s="222"/>
    </row>
    <row r="646" spans="8:17" s="223" customFormat="1" x14ac:dyDescent="0.25">
      <c r="H646" s="354"/>
      <c r="I646" s="354"/>
      <c r="J646" s="354"/>
      <c r="K646" s="222"/>
      <c r="L646" s="222"/>
      <c r="M646" s="222"/>
      <c r="N646" s="222"/>
      <c r="O646" s="222"/>
      <c r="P646" s="222"/>
      <c r="Q646" s="222"/>
    </row>
    <row r="647" spans="8:17" s="223" customFormat="1" x14ac:dyDescent="0.25">
      <c r="H647" s="354"/>
      <c r="I647" s="354"/>
      <c r="J647" s="354"/>
      <c r="K647" s="222"/>
      <c r="L647" s="222"/>
      <c r="M647" s="222"/>
      <c r="N647" s="222"/>
      <c r="O647" s="222"/>
      <c r="P647" s="222"/>
      <c r="Q647" s="222"/>
    </row>
    <row r="648" spans="8:17" s="223" customFormat="1" x14ac:dyDescent="0.25">
      <c r="H648" s="354"/>
      <c r="I648" s="354"/>
      <c r="J648" s="354"/>
      <c r="K648" s="222"/>
      <c r="L648" s="222"/>
      <c r="M648" s="222"/>
      <c r="N648" s="222"/>
      <c r="O648" s="222"/>
      <c r="P648" s="222"/>
      <c r="Q648" s="222"/>
    </row>
    <row r="649" spans="8:17" s="223" customFormat="1" x14ac:dyDescent="0.25">
      <c r="H649" s="354"/>
      <c r="I649" s="354"/>
      <c r="J649" s="354"/>
      <c r="K649" s="222"/>
      <c r="L649" s="222"/>
      <c r="M649" s="222"/>
      <c r="N649" s="222"/>
      <c r="O649" s="222"/>
      <c r="P649" s="222"/>
      <c r="Q649" s="222"/>
    </row>
    <row r="650" spans="8:17" s="223" customFormat="1" x14ac:dyDescent="0.25">
      <c r="H650" s="354"/>
      <c r="I650" s="354"/>
      <c r="J650" s="354"/>
      <c r="K650" s="222"/>
      <c r="L650" s="222"/>
      <c r="M650" s="222"/>
      <c r="N650" s="222"/>
      <c r="O650" s="222"/>
      <c r="P650" s="222"/>
      <c r="Q650" s="222"/>
    </row>
    <row r="651" spans="8:17" s="223" customFormat="1" x14ac:dyDescent="0.25">
      <c r="H651" s="354"/>
      <c r="I651" s="354"/>
      <c r="J651" s="354"/>
      <c r="K651" s="222"/>
      <c r="L651" s="222"/>
      <c r="M651" s="222"/>
      <c r="N651" s="222"/>
      <c r="O651" s="222"/>
      <c r="P651" s="222"/>
      <c r="Q651" s="222"/>
    </row>
    <row r="652" spans="8:17" s="223" customFormat="1" x14ac:dyDescent="0.25">
      <c r="H652" s="354"/>
      <c r="I652" s="354"/>
      <c r="J652" s="354"/>
      <c r="K652" s="222"/>
      <c r="L652" s="222"/>
      <c r="M652" s="222"/>
      <c r="N652" s="222"/>
      <c r="O652" s="222"/>
      <c r="P652" s="222"/>
      <c r="Q652" s="222"/>
    </row>
    <row r="653" spans="8:17" s="223" customFormat="1" x14ac:dyDescent="0.25">
      <c r="H653" s="354"/>
      <c r="I653" s="354"/>
      <c r="J653" s="354"/>
      <c r="K653" s="222"/>
      <c r="L653" s="222"/>
      <c r="M653" s="222"/>
      <c r="N653" s="222"/>
      <c r="O653" s="222"/>
      <c r="P653" s="222"/>
      <c r="Q653" s="222"/>
    </row>
    <row r="654" spans="8:17" s="223" customFormat="1" x14ac:dyDescent="0.25">
      <c r="H654" s="354"/>
      <c r="I654" s="354"/>
      <c r="J654" s="354"/>
      <c r="K654" s="222"/>
      <c r="L654" s="222"/>
      <c r="M654" s="222"/>
      <c r="N654" s="222"/>
      <c r="O654" s="222"/>
      <c r="P654" s="222"/>
      <c r="Q654" s="222"/>
    </row>
    <row r="655" spans="8:17" s="223" customFormat="1" x14ac:dyDescent="0.25">
      <c r="H655" s="354"/>
      <c r="I655" s="354"/>
      <c r="J655" s="354"/>
      <c r="K655" s="222"/>
      <c r="L655" s="222"/>
      <c r="M655" s="222"/>
      <c r="N655" s="222"/>
      <c r="O655" s="222"/>
      <c r="P655" s="222"/>
      <c r="Q655" s="222"/>
    </row>
    <row r="656" spans="8:17" s="223" customFormat="1" x14ac:dyDescent="0.25">
      <c r="H656" s="354"/>
      <c r="I656" s="354"/>
      <c r="J656" s="354"/>
      <c r="K656" s="222"/>
      <c r="L656" s="222"/>
      <c r="M656" s="222"/>
      <c r="N656" s="222"/>
      <c r="O656" s="222"/>
      <c r="P656" s="222"/>
      <c r="Q656" s="222"/>
    </row>
    <row r="657" spans="8:17" s="223" customFormat="1" x14ac:dyDescent="0.25">
      <c r="H657" s="354"/>
      <c r="I657" s="354"/>
      <c r="J657" s="354"/>
      <c r="K657" s="222"/>
      <c r="L657" s="222"/>
      <c r="M657" s="222"/>
      <c r="N657" s="222"/>
      <c r="O657" s="222"/>
      <c r="P657" s="222"/>
      <c r="Q657" s="222"/>
    </row>
    <row r="658" spans="8:17" s="223" customFormat="1" x14ac:dyDescent="0.25">
      <c r="H658" s="354"/>
      <c r="I658" s="354"/>
      <c r="J658" s="354"/>
      <c r="K658" s="222"/>
      <c r="L658" s="222"/>
      <c r="M658" s="222"/>
      <c r="N658" s="222"/>
      <c r="O658" s="222"/>
      <c r="P658" s="222"/>
      <c r="Q658" s="222"/>
    </row>
    <row r="659" spans="8:17" s="223" customFormat="1" x14ac:dyDescent="0.25">
      <c r="H659" s="354"/>
      <c r="I659" s="354"/>
      <c r="J659" s="354"/>
      <c r="K659" s="222"/>
      <c r="L659" s="222"/>
      <c r="M659" s="222"/>
      <c r="N659" s="222"/>
      <c r="O659" s="222"/>
      <c r="P659" s="222"/>
      <c r="Q659" s="222"/>
    </row>
    <row r="660" spans="8:17" s="223" customFormat="1" x14ac:dyDescent="0.25">
      <c r="H660" s="354"/>
      <c r="I660" s="354"/>
      <c r="J660" s="354"/>
      <c r="K660" s="222"/>
      <c r="L660" s="222"/>
      <c r="M660" s="222"/>
      <c r="N660" s="222"/>
      <c r="O660" s="222"/>
      <c r="P660" s="222"/>
      <c r="Q660" s="222"/>
    </row>
    <row r="661" spans="8:17" s="223" customFormat="1" x14ac:dyDescent="0.25">
      <c r="H661" s="354"/>
      <c r="I661" s="354"/>
      <c r="J661" s="354"/>
      <c r="K661" s="222"/>
      <c r="L661" s="222"/>
      <c r="M661" s="222"/>
      <c r="N661" s="222"/>
      <c r="O661" s="222"/>
      <c r="P661" s="222"/>
      <c r="Q661" s="222"/>
    </row>
    <row r="662" spans="8:17" s="223" customFormat="1" x14ac:dyDescent="0.25">
      <c r="H662" s="354"/>
      <c r="I662" s="354"/>
      <c r="J662" s="354"/>
      <c r="K662" s="222"/>
      <c r="L662" s="222"/>
      <c r="M662" s="222"/>
      <c r="N662" s="222"/>
      <c r="O662" s="222"/>
      <c r="P662" s="222"/>
      <c r="Q662" s="222"/>
    </row>
    <row r="663" spans="8:17" s="223" customFormat="1" x14ac:dyDescent="0.25">
      <c r="H663" s="354"/>
      <c r="I663" s="354"/>
      <c r="J663" s="354"/>
      <c r="K663" s="222"/>
      <c r="L663" s="222"/>
      <c r="M663" s="222"/>
      <c r="N663" s="222"/>
      <c r="O663" s="222"/>
      <c r="P663" s="222"/>
      <c r="Q663" s="222"/>
    </row>
    <row r="664" spans="8:17" s="223" customFormat="1" x14ac:dyDescent="0.25">
      <c r="H664" s="354"/>
      <c r="I664" s="354"/>
      <c r="J664" s="354"/>
      <c r="K664" s="222"/>
      <c r="L664" s="222"/>
      <c r="M664" s="222"/>
      <c r="N664" s="222"/>
      <c r="O664" s="222"/>
      <c r="P664" s="222"/>
      <c r="Q664" s="222"/>
    </row>
    <row r="665" spans="8:17" s="223" customFormat="1" x14ac:dyDescent="0.25">
      <c r="H665" s="354"/>
      <c r="I665" s="354"/>
      <c r="J665" s="354"/>
      <c r="K665" s="222"/>
      <c r="L665" s="222"/>
      <c r="M665" s="222"/>
      <c r="N665" s="222"/>
      <c r="O665" s="222"/>
      <c r="P665" s="222"/>
      <c r="Q665" s="222"/>
    </row>
    <row r="666" spans="8:17" s="223" customFormat="1" x14ac:dyDescent="0.25">
      <c r="H666" s="354"/>
      <c r="I666" s="354"/>
      <c r="J666" s="354"/>
      <c r="K666" s="222"/>
      <c r="L666" s="222"/>
      <c r="M666" s="222"/>
      <c r="N666" s="222"/>
      <c r="O666" s="222"/>
      <c r="P666" s="222"/>
      <c r="Q666" s="222"/>
    </row>
    <row r="667" spans="8:17" s="223" customFormat="1" x14ac:dyDescent="0.25">
      <c r="H667" s="354"/>
      <c r="I667" s="354"/>
      <c r="J667" s="354"/>
      <c r="K667" s="222"/>
      <c r="L667" s="222"/>
      <c r="M667" s="222"/>
      <c r="N667" s="222"/>
      <c r="O667" s="222"/>
      <c r="P667" s="222"/>
      <c r="Q667" s="222"/>
    </row>
    <row r="668" spans="8:17" s="223" customFormat="1" x14ac:dyDescent="0.25">
      <c r="H668" s="354"/>
      <c r="I668" s="354"/>
      <c r="J668" s="354"/>
      <c r="K668" s="222"/>
      <c r="L668" s="222"/>
      <c r="M668" s="222"/>
      <c r="N668" s="222"/>
      <c r="O668" s="222"/>
      <c r="P668" s="222"/>
      <c r="Q668" s="222"/>
    </row>
    <row r="669" spans="8:17" s="223" customFormat="1" x14ac:dyDescent="0.25">
      <c r="H669" s="354"/>
      <c r="I669" s="354"/>
      <c r="J669" s="354"/>
      <c r="K669" s="222"/>
      <c r="L669" s="222"/>
      <c r="M669" s="222"/>
      <c r="N669" s="222"/>
      <c r="O669" s="222"/>
      <c r="P669" s="222"/>
      <c r="Q669" s="222"/>
    </row>
    <row r="670" spans="8:17" s="223" customFormat="1" x14ac:dyDescent="0.25">
      <c r="H670" s="354"/>
      <c r="I670" s="354"/>
      <c r="J670" s="354"/>
      <c r="K670" s="222"/>
      <c r="L670" s="222"/>
      <c r="M670" s="222"/>
      <c r="N670" s="222"/>
      <c r="O670" s="222"/>
      <c r="P670" s="222"/>
      <c r="Q670" s="222"/>
    </row>
    <row r="671" spans="8:17" s="223" customFormat="1" x14ac:dyDescent="0.25">
      <c r="H671" s="354"/>
      <c r="I671" s="354"/>
      <c r="J671" s="354"/>
      <c r="K671" s="222"/>
      <c r="L671" s="222"/>
      <c r="M671" s="222"/>
      <c r="N671" s="222"/>
      <c r="O671" s="222"/>
      <c r="P671" s="222"/>
      <c r="Q671" s="222"/>
    </row>
    <row r="672" spans="8:17" s="223" customFormat="1" x14ac:dyDescent="0.25">
      <c r="H672" s="354"/>
      <c r="I672" s="354"/>
      <c r="J672" s="354"/>
      <c r="K672" s="222"/>
      <c r="L672" s="222"/>
      <c r="M672" s="222"/>
      <c r="N672" s="222"/>
      <c r="O672" s="222"/>
      <c r="P672" s="222"/>
      <c r="Q672" s="222"/>
    </row>
    <row r="673" spans="8:17" s="223" customFormat="1" x14ac:dyDescent="0.25">
      <c r="H673" s="354"/>
      <c r="I673" s="354"/>
      <c r="J673" s="354"/>
      <c r="K673" s="222"/>
      <c r="L673" s="222"/>
      <c r="M673" s="222"/>
      <c r="N673" s="222"/>
      <c r="O673" s="222"/>
      <c r="P673" s="222"/>
      <c r="Q673" s="222"/>
    </row>
    <row r="674" spans="8:17" s="223" customFormat="1" x14ac:dyDescent="0.25">
      <c r="H674" s="354"/>
      <c r="I674" s="354"/>
      <c r="J674" s="354"/>
      <c r="K674" s="222"/>
      <c r="L674" s="222"/>
      <c r="M674" s="222"/>
      <c r="N674" s="222"/>
      <c r="O674" s="222"/>
      <c r="P674" s="222"/>
      <c r="Q674" s="222"/>
    </row>
    <row r="675" spans="8:17" s="223" customFormat="1" x14ac:dyDescent="0.25">
      <c r="H675" s="354"/>
      <c r="I675" s="354"/>
      <c r="J675" s="354"/>
      <c r="K675" s="222"/>
      <c r="L675" s="222"/>
      <c r="M675" s="222"/>
      <c r="N675" s="222"/>
      <c r="O675" s="222"/>
      <c r="P675" s="222"/>
      <c r="Q675" s="222"/>
    </row>
    <row r="676" spans="8:17" s="223" customFormat="1" x14ac:dyDescent="0.25">
      <c r="H676" s="354"/>
      <c r="I676" s="354"/>
      <c r="J676" s="354"/>
      <c r="K676" s="222"/>
      <c r="L676" s="222"/>
      <c r="M676" s="222"/>
      <c r="N676" s="222"/>
      <c r="O676" s="222"/>
      <c r="P676" s="222"/>
      <c r="Q676" s="222"/>
    </row>
    <row r="677" spans="8:17" s="223" customFormat="1" x14ac:dyDescent="0.25">
      <c r="H677" s="354"/>
      <c r="I677" s="354"/>
      <c r="J677" s="354"/>
      <c r="K677" s="222"/>
      <c r="L677" s="222"/>
      <c r="M677" s="222"/>
      <c r="N677" s="222"/>
      <c r="O677" s="222"/>
      <c r="P677" s="222"/>
      <c r="Q677" s="222"/>
    </row>
    <row r="678" spans="8:17" s="223" customFormat="1" x14ac:dyDescent="0.25">
      <c r="H678" s="354"/>
      <c r="I678" s="354"/>
      <c r="J678" s="354"/>
      <c r="K678" s="222"/>
      <c r="L678" s="222"/>
      <c r="M678" s="222"/>
      <c r="N678" s="222"/>
      <c r="O678" s="222"/>
      <c r="P678" s="222"/>
      <c r="Q678" s="222"/>
    </row>
    <row r="679" spans="8:17" s="223" customFormat="1" x14ac:dyDescent="0.25">
      <c r="H679" s="354"/>
      <c r="I679" s="354"/>
      <c r="J679" s="354"/>
      <c r="K679" s="222"/>
      <c r="L679" s="222"/>
      <c r="M679" s="222"/>
      <c r="N679" s="222"/>
      <c r="O679" s="222"/>
      <c r="P679" s="222"/>
      <c r="Q679" s="222"/>
    </row>
    <row r="680" spans="8:17" s="223" customFormat="1" x14ac:dyDescent="0.25">
      <c r="H680" s="354"/>
      <c r="I680" s="354"/>
      <c r="J680" s="354"/>
      <c r="K680" s="222"/>
      <c r="L680" s="222"/>
      <c r="M680" s="222"/>
      <c r="N680" s="222"/>
      <c r="O680" s="222"/>
      <c r="P680" s="222"/>
      <c r="Q680" s="222"/>
    </row>
    <row r="681" spans="8:17" s="223" customFormat="1" x14ac:dyDescent="0.25">
      <c r="H681" s="354"/>
      <c r="I681" s="354"/>
      <c r="J681" s="354"/>
      <c r="K681" s="222"/>
      <c r="L681" s="222"/>
      <c r="M681" s="222"/>
      <c r="N681" s="222"/>
      <c r="O681" s="222"/>
      <c r="P681" s="222"/>
      <c r="Q681" s="222"/>
    </row>
    <row r="682" spans="8:17" s="223" customFormat="1" x14ac:dyDescent="0.25">
      <c r="H682" s="354"/>
      <c r="I682" s="354"/>
      <c r="J682" s="354"/>
      <c r="K682" s="222"/>
      <c r="L682" s="222"/>
      <c r="M682" s="222"/>
      <c r="N682" s="222"/>
      <c r="O682" s="222"/>
      <c r="P682" s="222"/>
      <c r="Q682" s="222"/>
    </row>
    <row r="683" spans="8:17" s="223" customFormat="1" x14ac:dyDescent="0.25">
      <c r="H683" s="354"/>
      <c r="I683" s="354"/>
      <c r="J683" s="354"/>
      <c r="K683" s="222"/>
      <c r="L683" s="222"/>
      <c r="M683" s="222"/>
      <c r="N683" s="222"/>
      <c r="O683" s="222"/>
      <c r="P683" s="222"/>
      <c r="Q683" s="222"/>
    </row>
    <row r="684" spans="8:17" s="223" customFormat="1" x14ac:dyDescent="0.25">
      <c r="H684" s="354"/>
      <c r="I684" s="354"/>
      <c r="J684" s="354"/>
      <c r="K684" s="222"/>
      <c r="L684" s="222"/>
      <c r="M684" s="222"/>
      <c r="N684" s="222"/>
      <c r="O684" s="222"/>
      <c r="P684" s="222"/>
      <c r="Q684" s="222"/>
    </row>
    <row r="685" spans="8:17" s="223" customFormat="1" x14ac:dyDescent="0.25">
      <c r="H685" s="354"/>
      <c r="I685" s="354"/>
      <c r="J685" s="354"/>
      <c r="K685" s="222"/>
      <c r="L685" s="222"/>
      <c r="M685" s="222"/>
      <c r="N685" s="222"/>
      <c r="O685" s="222"/>
      <c r="P685" s="222"/>
      <c r="Q685" s="222"/>
    </row>
    <row r="686" spans="8:17" s="223" customFormat="1" x14ac:dyDescent="0.25">
      <c r="H686" s="354"/>
      <c r="I686" s="354"/>
      <c r="J686" s="354"/>
      <c r="K686" s="222"/>
      <c r="L686" s="222"/>
      <c r="M686" s="222"/>
      <c r="N686" s="222"/>
      <c r="O686" s="222"/>
      <c r="P686" s="222"/>
      <c r="Q686" s="222"/>
    </row>
    <row r="687" spans="8:17" s="223" customFormat="1" x14ac:dyDescent="0.25">
      <c r="H687" s="354"/>
      <c r="I687" s="354"/>
      <c r="J687" s="354"/>
      <c r="K687" s="222"/>
      <c r="L687" s="222"/>
      <c r="M687" s="222"/>
      <c r="N687" s="222"/>
      <c r="O687" s="222"/>
      <c r="P687" s="222"/>
      <c r="Q687" s="222"/>
    </row>
    <row r="688" spans="8:17" s="223" customFormat="1" x14ac:dyDescent="0.25">
      <c r="H688" s="354"/>
      <c r="I688" s="354"/>
      <c r="J688" s="354"/>
      <c r="K688" s="222"/>
      <c r="L688" s="222"/>
      <c r="M688" s="222"/>
      <c r="N688" s="222"/>
      <c r="O688" s="222"/>
      <c r="P688" s="222"/>
      <c r="Q688" s="222"/>
    </row>
    <row r="689" spans="8:17" s="223" customFormat="1" x14ac:dyDescent="0.25">
      <c r="H689" s="354"/>
      <c r="I689" s="354"/>
      <c r="J689" s="354"/>
      <c r="K689" s="222"/>
      <c r="L689" s="222"/>
      <c r="M689" s="222"/>
      <c r="N689" s="222"/>
      <c r="O689" s="222"/>
      <c r="P689" s="222"/>
      <c r="Q689" s="222"/>
    </row>
    <row r="690" spans="8:17" s="223" customFormat="1" x14ac:dyDescent="0.25">
      <c r="H690" s="354"/>
      <c r="I690" s="354"/>
      <c r="J690" s="354"/>
      <c r="K690" s="222"/>
      <c r="L690" s="222"/>
      <c r="M690" s="222"/>
      <c r="N690" s="222"/>
      <c r="O690" s="222"/>
      <c r="P690" s="222"/>
      <c r="Q690" s="222"/>
    </row>
    <row r="691" spans="8:17" s="223" customFormat="1" x14ac:dyDescent="0.25">
      <c r="H691" s="354"/>
      <c r="I691" s="354"/>
      <c r="J691" s="354"/>
      <c r="K691" s="222"/>
      <c r="L691" s="222"/>
      <c r="M691" s="222"/>
      <c r="N691" s="222"/>
      <c r="O691" s="222"/>
      <c r="P691" s="222"/>
      <c r="Q691" s="222"/>
    </row>
    <row r="692" spans="8:17" s="223" customFormat="1" x14ac:dyDescent="0.25">
      <c r="H692" s="354"/>
      <c r="I692" s="354"/>
      <c r="J692" s="354"/>
      <c r="K692" s="222"/>
      <c r="L692" s="222"/>
      <c r="M692" s="222"/>
      <c r="N692" s="222"/>
      <c r="O692" s="222"/>
      <c r="P692" s="222"/>
      <c r="Q692" s="222"/>
    </row>
    <row r="693" spans="8:17" s="223" customFormat="1" x14ac:dyDescent="0.25">
      <c r="H693" s="354"/>
      <c r="I693" s="354"/>
      <c r="J693" s="354"/>
      <c r="K693" s="222"/>
      <c r="L693" s="222"/>
      <c r="M693" s="222"/>
      <c r="N693" s="222"/>
      <c r="O693" s="222"/>
      <c r="P693" s="222"/>
      <c r="Q693" s="222"/>
    </row>
    <row r="694" spans="8:17" s="223" customFormat="1" x14ac:dyDescent="0.25">
      <c r="H694" s="354"/>
      <c r="I694" s="354"/>
      <c r="J694" s="354"/>
      <c r="K694" s="222"/>
      <c r="L694" s="222"/>
      <c r="M694" s="222"/>
      <c r="N694" s="222"/>
      <c r="O694" s="222"/>
      <c r="P694" s="222"/>
      <c r="Q694" s="222"/>
    </row>
    <row r="695" spans="8:17" s="223" customFormat="1" x14ac:dyDescent="0.25">
      <c r="H695" s="354"/>
      <c r="I695" s="354"/>
      <c r="J695" s="354"/>
      <c r="K695" s="222"/>
      <c r="L695" s="222"/>
      <c r="M695" s="222"/>
      <c r="N695" s="222"/>
      <c r="O695" s="222"/>
      <c r="P695" s="222"/>
      <c r="Q695" s="222"/>
    </row>
    <row r="696" spans="8:17" s="223" customFormat="1" x14ac:dyDescent="0.25">
      <c r="H696" s="354"/>
      <c r="I696" s="354"/>
      <c r="J696" s="354"/>
      <c r="K696" s="222"/>
      <c r="L696" s="222"/>
      <c r="M696" s="222"/>
      <c r="N696" s="222"/>
      <c r="O696" s="222"/>
      <c r="P696" s="222"/>
      <c r="Q696" s="222"/>
    </row>
    <row r="697" spans="8:17" s="223" customFormat="1" x14ac:dyDescent="0.25">
      <c r="H697" s="354"/>
      <c r="I697" s="354"/>
      <c r="J697" s="354"/>
      <c r="K697" s="222"/>
      <c r="L697" s="222"/>
      <c r="M697" s="222"/>
      <c r="N697" s="222"/>
      <c r="O697" s="222"/>
      <c r="P697" s="222"/>
      <c r="Q697" s="222"/>
    </row>
    <row r="698" spans="8:17" s="223" customFormat="1" x14ac:dyDescent="0.25">
      <c r="H698" s="354"/>
      <c r="I698" s="354"/>
      <c r="J698" s="354"/>
      <c r="K698" s="222"/>
      <c r="L698" s="222"/>
      <c r="M698" s="222"/>
      <c r="N698" s="222"/>
      <c r="O698" s="222"/>
      <c r="P698" s="222"/>
      <c r="Q698" s="222"/>
    </row>
    <row r="699" spans="8:17" s="223" customFormat="1" x14ac:dyDescent="0.25">
      <c r="H699" s="354"/>
      <c r="I699" s="354"/>
      <c r="J699" s="354"/>
      <c r="K699" s="222"/>
      <c r="L699" s="222"/>
      <c r="M699" s="222"/>
      <c r="N699" s="222"/>
      <c r="O699" s="222"/>
      <c r="P699" s="222"/>
      <c r="Q699" s="222"/>
    </row>
    <row r="700" spans="8:17" s="223" customFormat="1" x14ac:dyDescent="0.25">
      <c r="H700" s="354"/>
      <c r="I700" s="354"/>
      <c r="J700" s="354"/>
      <c r="K700" s="222"/>
      <c r="L700" s="222"/>
      <c r="M700" s="222"/>
      <c r="N700" s="222"/>
      <c r="O700" s="222"/>
      <c r="P700" s="222"/>
      <c r="Q700" s="222"/>
    </row>
    <row r="701" spans="8:17" s="223" customFormat="1" x14ac:dyDescent="0.25">
      <c r="H701" s="354"/>
      <c r="I701" s="354"/>
      <c r="J701" s="354"/>
      <c r="K701" s="222"/>
      <c r="L701" s="222"/>
      <c r="M701" s="222"/>
      <c r="N701" s="222"/>
      <c r="O701" s="222"/>
      <c r="P701" s="222"/>
      <c r="Q701" s="222"/>
    </row>
    <row r="702" spans="8:17" s="223" customFormat="1" x14ac:dyDescent="0.25">
      <c r="H702" s="354"/>
      <c r="I702" s="354"/>
      <c r="J702" s="354"/>
      <c r="K702" s="222"/>
      <c r="L702" s="222"/>
      <c r="M702" s="222"/>
      <c r="N702" s="222"/>
      <c r="O702" s="222"/>
      <c r="P702" s="222"/>
      <c r="Q702" s="222"/>
    </row>
    <row r="703" spans="8:17" s="223" customFormat="1" x14ac:dyDescent="0.25">
      <c r="H703" s="354"/>
      <c r="I703" s="354"/>
      <c r="J703" s="354"/>
      <c r="K703" s="222"/>
      <c r="L703" s="222"/>
      <c r="M703" s="222"/>
      <c r="N703" s="222"/>
      <c r="O703" s="222"/>
      <c r="P703" s="222"/>
      <c r="Q703" s="222"/>
    </row>
  </sheetData>
  <sheetProtection password="EF5C" sheet="1" objects="1" scenarios="1"/>
  <mergeCells count="47">
    <mergeCell ref="C119:H119"/>
    <mergeCell ref="C142:H142"/>
    <mergeCell ref="I110:J110"/>
    <mergeCell ref="I112:J112"/>
    <mergeCell ref="C44:F44"/>
    <mergeCell ref="D46:F46"/>
    <mergeCell ref="D80:F80"/>
    <mergeCell ref="D106:F106"/>
    <mergeCell ref="D49:F49"/>
    <mergeCell ref="D78:F78"/>
    <mergeCell ref="B64:H64"/>
    <mergeCell ref="C55:E56"/>
    <mergeCell ref="B53:D53"/>
    <mergeCell ref="C1:F1"/>
    <mergeCell ref="C104:E104"/>
    <mergeCell ref="B4:D4"/>
    <mergeCell ref="C6:E6"/>
    <mergeCell ref="C7:E8"/>
    <mergeCell ref="C29:E30"/>
    <mergeCell ref="D101:F101"/>
    <mergeCell ref="D88:F88"/>
    <mergeCell ref="D90:F90"/>
    <mergeCell ref="D92:F92"/>
    <mergeCell ref="D94:F94"/>
    <mergeCell ref="D96:F96"/>
    <mergeCell ref="B69:B76"/>
    <mergeCell ref="B60:B62"/>
    <mergeCell ref="B5:D5"/>
    <mergeCell ref="B10:C10"/>
    <mergeCell ref="D11:D14"/>
    <mergeCell ref="D33:F33"/>
    <mergeCell ref="D35:F35"/>
    <mergeCell ref="B27:H27"/>
    <mergeCell ref="D37:F37"/>
    <mergeCell ref="D39:F39"/>
    <mergeCell ref="D41:F41"/>
    <mergeCell ref="D43:F43"/>
    <mergeCell ref="D116:F116"/>
    <mergeCell ref="B110:G110"/>
    <mergeCell ref="B112:G112"/>
    <mergeCell ref="C114:E114"/>
    <mergeCell ref="D108:F108"/>
    <mergeCell ref="C99:E99"/>
    <mergeCell ref="D82:F82"/>
    <mergeCell ref="B83:B84"/>
    <mergeCell ref="D45:F45"/>
    <mergeCell ref="B50:H50"/>
  </mergeCells>
  <conditionalFormatting sqref="B131">
    <cfRule type="cellIs" dxfId="28" priority="7" stopIfTrue="1" operator="equal">
      <formula>"Z01"</formula>
    </cfRule>
    <cfRule type="cellIs" dxfId="27" priority="8" stopIfTrue="1" operator="greaterThanOrEqual">
      <formula>"Z02"</formula>
    </cfRule>
    <cfRule type="cellIs" dxfId="26" priority="9" stopIfTrue="1" operator="equal">
      <formula>"B01"</formula>
    </cfRule>
  </conditionalFormatting>
  <conditionalFormatting sqref="B137">
    <cfRule type="cellIs" dxfId="25" priority="19" stopIfTrue="1" operator="equal">
      <formula>"Z01"</formula>
    </cfRule>
    <cfRule type="cellIs" dxfId="24" priority="20" stopIfTrue="1" operator="greaterThanOrEqual">
      <formula>"Z02"</formula>
    </cfRule>
    <cfRule type="cellIs" dxfId="23" priority="21" stopIfTrue="1" operator="equal">
      <formula>"B01"</formula>
    </cfRule>
  </conditionalFormatting>
  <conditionalFormatting sqref="B123">
    <cfRule type="cellIs" dxfId="22" priority="34" stopIfTrue="1" operator="equal">
      <formula>"Z01"</formula>
    </cfRule>
    <cfRule type="cellIs" dxfId="21" priority="35" stopIfTrue="1" operator="greaterThanOrEqual">
      <formula>"Z02"</formula>
    </cfRule>
    <cfRule type="cellIs" dxfId="20" priority="36" stopIfTrue="1" operator="equal">
      <formula>"B01"</formula>
    </cfRule>
  </conditionalFormatting>
  <conditionalFormatting sqref="B121">
    <cfRule type="cellIs" dxfId="19" priority="31" stopIfTrue="1" operator="equal">
      <formula>"Z01"</formula>
    </cfRule>
    <cfRule type="cellIs" dxfId="18" priority="32" stopIfTrue="1" operator="greaterThanOrEqual">
      <formula>"Z02"</formula>
    </cfRule>
    <cfRule type="cellIs" dxfId="17" priority="33" stopIfTrue="1" operator="equal">
      <formula>"B01"</formula>
    </cfRule>
  </conditionalFormatting>
  <conditionalFormatting sqref="B125">
    <cfRule type="cellIs" dxfId="16" priority="16" stopIfTrue="1" operator="equal">
      <formula>"Z01"</formula>
    </cfRule>
    <cfRule type="cellIs" dxfId="15" priority="17" stopIfTrue="1" operator="greaterThanOrEqual">
      <formula>"Z02"</formula>
    </cfRule>
    <cfRule type="cellIs" dxfId="14" priority="18" stopIfTrue="1" operator="equal">
      <formula>"B01"</formula>
    </cfRule>
  </conditionalFormatting>
  <conditionalFormatting sqref="B127">
    <cfRule type="cellIs" dxfId="13" priority="13" stopIfTrue="1" operator="equal">
      <formula>"Z01"</formula>
    </cfRule>
    <cfRule type="cellIs" dxfId="12" priority="14" stopIfTrue="1" operator="greaterThanOrEqual">
      <formula>"Z02"</formula>
    </cfRule>
    <cfRule type="cellIs" dxfId="11" priority="15" stopIfTrue="1" operator="equal">
      <formula>"B01"</formula>
    </cfRule>
  </conditionalFormatting>
  <conditionalFormatting sqref="B129">
    <cfRule type="cellIs" dxfId="10" priority="10" stopIfTrue="1" operator="equal">
      <formula>"Z01"</formula>
    </cfRule>
    <cfRule type="cellIs" dxfId="9" priority="11" stopIfTrue="1" operator="greaterThanOrEqual">
      <formula>"Z02"</formula>
    </cfRule>
    <cfRule type="cellIs" dxfId="8" priority="12" stopIfTrue="1" operator="equal">
      <formula>"B01"</formula>
    </cfRule>
  </conditionalFormatting>
  <conditionalFormatting sqref="B133">
    <cfRule type="cellIs" dxfId="7" priority="4" stopIfTrue="1" operator="equal">
      <formula>"Z01"</formula>
    </cfRule>
    <cfRule type="cellIs" dxfId="6" priority="5" stopIfTrue="1" operator="greaterThanOrEqual">
      <formula>"Z02"</formula>
    </cfRule>
    <cfRule type="cellIs" dxfId="5" priority="6" stopIfTrue="1" operator="equal">
      <formula>"B01"</formula>
    </cfRule>
  </conditionalFormatting>
  <conditionalFormatting sqref="B135">
    <cfRule type="cellIs" dxfId="4" priority="1" stopIfTrue="1" operator="equal">
      <formula>"Z01"</formula>
    </cfRule>
    <cfRule type="cellIs" dxfId="3" priority="2" stopIfTrue="1" operator="greaterThanOrEqual">
      <formula>"Z02"</formula>
    </cfRule>
    <cfRule type="cellIs" dxfId="2" priority="3" stopIfTrue="1" operator="equal">
      <formula>"B01"</formula>
    </cfRule>
  </conditionalFormatting>
  <dataValidations count="2">
    <dataValidation type="list" allowBlank="1" showInputMessage="1" showErrorMessage="1" sqref="D16:D18 D20 D23:D25">
      <formula1>"Select…,per hour,per child,lump sum"</formula1>
    </dataValidation>
    <dataValidation type="decimal" operator="greaterThanOrEqual" allowBlank="1" showInputMessage="1" showErrorMessage="1" errorTitle="Error" error="Thisfigure cannot be negative. Please provide a positive unit value." sqref="F131:G131 F127:G127 F146:G146 F144:G144 F121:G121 F123:G123 F125:G125 F129:G129 F135:G135 F133:G133 F148:G148">
      <formula1>0</formula1>
    </dataValidation>
  </dataValidations>
  <printOptions horizontalCentered="1"/>
  <pageMargins left="0.23622047244094491" right="0.23622047244094491" top="0.55118110236220474" bottom="0.35433070866141736" header="0.31496062992125984" footer="0.31496062992125984"/>
  <pageSetup paperSize="9" scale="44" fitToHeight="0" orientation="portrait" r:id="rId1"/>
  <headerFooter alignWithMargins="0">
    <oddHeader>&amp;A&amp;L&amp;"arial,Bold"&amp;11&amp;K008040Classification: OFFICIAL</oddHeader>
    <oddFooter>&amp;Z&amp;F&amp;L&amp;"arial,Bold"&amp;11&amp;K008040Classification: OFFICIAL</oddFooter>
    <evenHeader>&amp;C&amp;A&amp;L&amp;"arial,Bold"&amp;11&amp;K008040Classification: OFFICIAL</evenHeader>
    <evenFooter>&amp;C&amp;Z&amp;F&amp;L&amp;"arial,Bold"&amp;11&amp;K008040Classification: OFFICIAL</evenFooter>
    <firstHeader>&amp;C&amp;A&amp;L&amp;"arial,Bold"&amp;11&amp;K008040Classification: OFFICIAL</firstHeader>
    <firstFooter>&amp;C&amp;Z&amp;F&amp;L&amp;"arial,Bold"&amp;11&amp;K008040Classification: OFFICIAL</firstFooter>
  </headerFooter>
  <rowBreaks count="2" manualBreakCount="2">
    <brk id="51" min="1" max="9" man="1"/>
    <brk id="118" min="1"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'School &amp; Nursery Setting Lookup'!$A:$A</xm:f>
          </x14:formula1>
          <xm:sqref>B5:D5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BL100"/>
  <sheetViews>
    <sheetView workbookViewId="0">
      <pane xSplit="2" ySplit="2" topLeftCell="C87" activePane="bottomRight" state="frozen"/>
      <selection activeCell="D102" sqref="D102"/>
      <selection pane="topRight" activeCell="D102" sqref="D102"/>
      <selection pane="bottomLeft" activeCell="D102" sqref="D102"/>
      <selection pane="bottomRight" activeCell="C110" sqref="C110"/>
    </sheetView>
  </sheetViews>
  <sheetFormatPr defaultRowHeight="13.2" x14ac:dyDescent="0.25"/>
  <cols>
    <col min="1" max="1" width="47.109375" style="888" bestFit="1" customWidth="1"/>
    <col min="2" max="2" width="8.6640625" style="889" customWidth="1"/>
    <col min="3" max="3" width="11.88671875" style="890" customWidth="1"/>
    <col min="4" max="4" width="12.109375" style="891" customWidth="1"/>
    <col min="5" max="8" width="9.109375" style="891"/>
    <col min="11" max="21" width="9.109375" style="891"/>
    <col min="24" max="35" width="9.109375" style="891"/>
    <col min="38" max="38" width="9.109375" style="891"/>
    <col min="39" max="39" width="10.88671875" style="891" customWidth="1"/>
    <col min="45" max="45" width="9.109375" style="892"/>
    <col min="46" max="46" width="11.5546875" style="892" customWidth="1"/>
    <col min="47" max="47" width="8.88671875" customWidth="1"/>
    <col min="48" max="48" width="11.5546875" customWidth="1"/>
    <col min="51" max="51" width="10.109375" customWidth="1"/>
    <col min="58" max="58" width="11.6640625" customWidth="1"/>
    <col min="59" max="59" width="10.6640625" customWidth="1"/>
    <col min="60" max="62" width="9.109375" customWidth="1"/>
    <col min="63" max="64" width="10" style="1075" customWidth="1"/>
    <col min="65" max="82" width="9.109375" customWidth="1"/>
  </cols>
  <sheetData>
    <row r="1" spans="1:64" ht="12.75" x14ac:dyDescent="0.2">
      <c r="V1" s="891"/>
      <c r="BK1" s="1141" t="s">
        <v>1404</v>
      </c>
      <c r="BL1" s="1141"/>
    </row>
    <row r="2" spans="1:64" ht="51" x14ac:dyDescent="0.2">
      <c r="A2" s="893" t="s">
        <v>921</v>
      </c>
      <c r="B2" s="894" t="s">
        <v>81</v>
      </c>
      <c r="C2" s="895" t="s">
        <v>922</v>
      </c>
      <c r="D2" s="896" t="s">
        <v>923</v>
      </c>
      <c r="E2" s="897" t="s">
        <v>924</v>
      </c>
      <c r="F2" s="897" t="s">
        <v>925</v>
      </c>
      <c r="G2" s="895" t="s">
        <v>926</v>
      </c>
      <c r="H2" s="895" t="s">
        <v>927</v>
      </c>
      <c r="K2" s="898" t="s">
        <v>928</v>
      </c>
      <c r="L2" s="898" t="s">
        <v>929</v>
      </c>
      <c r="M2" s="898" t="s">
        <v>930</v>
      </c>
      <c r="N2" s="898" t="s">
        <v>931</v>
      </c>
      <c r="O2" s="898" t="s">
        <v>932</v>
      </c>
      <c r="P2" s="898" t="s">
        <v>933</v>
      </c>
      <c r="Q2" s="898" t="s">
        <v>934</v>
      </c>
      <c r="R2" s="898" t="s">
        <v>935</v>
      </c>
      <c r="S2" s="898" t="s">
        <v>936</v>
      </c>
      <c r="T2" s="898" t="s">
        <v>937</v>
      </c>
      <c r="U2" s="898" t="s">
        <v>938</v>
      </c>
      <c r="V2" s="899" t="s">
        <v>939</v>
      </c>
      <c r="W2" s="900"/>
      <c r="X2" s="895" t="s">
        <v>928</v>
      </c>
      <c r="Y2" s="895" t="s">
        <v>929</v>
      </c>
      <c r="Z2" s="895" t="s">
        <v>930</v>
      </c>
      <c r="AA2" s="895" t="s">
        <v>931</v>
      </c>
      <c r="AB2" s="895" t="s">
        <v>932</v>
      </c>
      <c r="AC2" s="895" t="s">
        <v>933</v>
      </c>
      <c r="AD2" s="895" t="s">
        <v>934</v>
      </c>
      <c r="AE2" s="895" t="s">
        <v>935</v>
      </c>
      <c r="AF2" s="895" t="s">
        <v>936</v>
      </c>
      <c r="AG2" s="895" t="s">
        <v>937</v>
      </c>
      <c r="AH2" s="895" t="s">
        <v>938</v>
      </c>
      <c r="AI2" s="895" t="s">
        <v>939</v>
      </c>
      <c r="AK2" s="901"/>
      <c r="AL2" s="898" t="s">
        <v>940</v>
      </c>
      <c r="AM2" s="898" t="s">
        <v>941</v>
      </c>
      <c r="AO2" s="895" t="s">
        <v>940</v>
      </c>
      <c r="AP2" s="895" t="s">
        <v>941</v>
      </c>
      <c r="AS2" s="902" t="s">
        <v>942</v>
      </c>
      <c r="AT2" s="902" t="s">
        <v>943</v>
      </c>
      <c r="AU2" s="900" t="s">
        <v>944</v>
      </c>
      <c r="AV2" s="900" t="s">
        <v>945</v>
      </c>
      <c r="AW2" s="900"/>
      <c r="AX2" s="903" t="s">
        <v>942</v>
      </c>
      <c r="AY2" s="903" t="s">
        <v>943</v>
      </c>
      <c r="BA2" s="904" t="s">
        <v>946</v>
      </c>
      <c r="BC2" s="905" t="s">
        <v>947</v>
      </c>
      <c r="BE2" s="906"/>
      <c r="BF2" s="899" t="s">
        <v>948</v>
      </c>
      <c r="BG2" s="903" t="s">
        <v>948</v>
      </c>
      <c r="BK2" s="1075" t="s">
        <v>942</v>
      </c>
      <c r="BL2" s="1075" t="s">
        <v>943</v>
      </c>
    </row>
    <row r="3" spans="1:64" ht="12.75" x14ac:dyDescent="0.2">
      <c r="A3" s="888" t="s">
        <v>1301</v>
      </c>
      <c r="B3" s="889">
        <v>2014</v>
      </c>
      <c r="C3" s="890">
        <v>32.75</v>
      </c>
      <c r="D3" s="890">
        <v>0</v>
      </c>
      <c r="E3" s="891">
        <v>0</v>
      </c>
      <c r="F3" s="891">
        <v>0</v>
      </c>
      <c r="G3" s="891">
        <f t="shared" ref="G3:H34" si="0">E3*C3</f>
        <v>0</v>
      </c>
      <c r="H3" s="891">
        <f t="shared" si="0"/>
        <v>0</v>
      </c>
      <c r="K3" s="891">
        <v>4.1666666666666699E-2</v>
      </c>
      <c r="L3" s="891">
        <v>0</v>
      </c>
      <c r="M3" s="891">
        <v>8.3333333333333301E-2</v>
      </c>
      <c r="N3" s="891">
        <v>0</v>
      </c>
      <c r="O3" s="891">
        <v>0.33333333333333298</v>
      </c>
      <c r="P3" s="891">
        <v>0</v>
      </c>
      <c r="Q3" s="891">
        <v>0.16666666666666699</v>
      </c>
      <c r="R3" s="891">
        <v>0</v>
      </c>
      <c r="S3" s="891">
        <v>0</v>
      </c>
      <c r="T3" s="891">
        <v>0</v>
      </c>
      <c r="U3" s="891">
        <v>0</v>
      </c>
      <c r="V3" s="891">
        <v>0</v>
      </c>
      <c r="X3" s="891">
        <f t="shared" ref="X3:Y34" si="1">K3*C3</f>
        <v>1.3645833333333344</v>
      </c>
      <c r="Y3" s="891">
        <f t="shared" si="1"/>
        <v>0</v>
      </c>
      <c r="Z3" s="891">
        <f t="shared" ref="Z3:AA34" si="2">M3*C3</f>
        <v>2.7291666666666656</v>
      </c>
      <c r="AA3" s="891">
        <f t="shared" si="2"/>
        <v>0</v>
      </c>
      <c r="AB3" s="891">
        <f t="shared" ref="AB3:AC34" si="3">O3*C3</f>
        <v>10.916666666666655</v>
      </c>
      <c r="AC3" s="891">
        <f t="shared" si="3"/>
        <v>0</v>
      </c>
      <c r="AD3" s="891">
        <f t="shared" ref="AD3:AE34" si="4">Q3*C3</f>
        <v>5.4583333333333437</v>
      </c>
      <c r="AE3" s="891">
        <f t="shared" si="4"/>
        <v>0</v>
      </c>
      <c r="AF3" s="891">
        <f t="shared" ref="AF3:AG34" si="5">S3*C3</f>
        <v>0</v>
      </c>
      <c r="AG3" s="891">
        <f t="shared" si="5"/>
        <v>0</v>
      </c>
      <c r="AH3" s="891">
        <f t="shared" ref="AH3:AI34" si="6">U3*C3</f>
        <v>0</v>
      </c>
      <c r="AI3" s="891">
        <f t="shared" si="6"/>
        <v>0</v>
      </c>
      <c r="AL3" s="891">
        <v>0.8</v>
      </c>
      <c r="AM3" s="891">
        <v>0</v>
      </c>
      <c r="AO3">
        <f t="shared" ref="AO3:AP34" si="7">AL3*C3</f>
        <v>26.200000000000003</v>
      </c>
      <c r="AP3">
        <f t="shared" si="7"/>
        <v>0</v>
      </c>
      <c r="AS3" s="892">
        <v>0</v>
      </c>
      <c r="AT3" s="892">
        <v>0</v>
      </c>
      <c r="AU3" s="892">
        <f>AS3-10%</f>
        <v>-0.1</v>
      </c>
      <c r="AV3" s="907">
        <f>AT3-10%</f>
        <v>-0.1</v>
      </c>
      <c r="AX3">
        <f>IF(AU3&gt;0,AU3*C3,0)</f>
        <v>0</v>
      </c>
      <c r="AY3">
        <f>IF(AV3&gt;0,AV3*D3,0)</f>
        <v>0</v>
      </c>
      <c r="BA3" s="891">
        <v>0</v>
      </c>
      <c r="BC3">
        <f>BA3*C3</f>
        <v>0</v>
      </c>
      <c r="BF3">
        <v>0</v>
      </c>
      <c r="BG3" s="891"/>
      <c r="BK3" s="1139">
        <f>AS3</f>
        <v>0</v>
      </c>
      <c r="BL3" s="1139">
        <f>AT3</f>
        <v>0</v>
      </c>
    </row>
    <row r="4" spans="1:64" ht="12.75" x14ac:dyDescent="0.2">
      <c r="A4" s="888" t="s">
        <v>10</v>
      </c>
      <c r="B4" s="889">
        <v>2012</v>
      </c>
      <c r="C4" s="890">
        <v>366</v>
      </c>
      <c r="D4" s="890">
        <v>0</v>
      </c>
      <c r="E4" s="891">
        <v>0.6394366197183099</v>
      </c>
      <c r="F4" s="891">
        <v>0</v>
      </c>
      <c r="G4" s="891">
        <f t="shared" si="0"/>
        <v>234.03380281690141</v>
      </c>
      <c r="H4" s="891">
        <f t="shared" si="0"/>
        <v>0</v>
      </c>
      <c r="K4" s="891">
        <v>0</v>
      </c>
      <c r="L4" s="891">
        <v>0</v>
      </c>
      <c r="M4" s="891">
        <v>5.4794520547945197E-3</v>
      </c>
      <c r="N4" s="891">
        <v>0</v>
      </c>
      <c r="O4" s="891">
        <v>0.21369863013698601</v>
      </c>
      <c r="P4" s="891">
        <v>0</v>
      </c>
      <c r="Q4" s="891">
        <v>0.61917808219178105</v>
      </c>
      <c r="R4" s="891">
        <v>0</v>
      </c>
      <c r="S4" s="891">
        <v>0.13424657534246601</v>
      </c>
      <c r="T4" s="891">
        <v>0</v>
      </c>
      <c r="U4" s="891">
        <v>0</v>
      </c>
      <c r="V4" s="891">
        <v>0</v>
      </c>
      <c r="X4" s="891">
        <f t="shared" si="1"/>
        <v>0</v>
      </c>
      <c r="Y4" s="891">
        <f t="shared" si="1"/>
        <v>0</v>
      </c>
      <c r="Z4" s="891">
        <f t="shared" si="2"/>
        <v>2.0054794520547943</v>
      </c>
      <c r="AA4" s="891">
        <f t="shared" si="2"/>
        <v>0</v>
      </c>
      <c r="AB4" s="891">
        <f t="shared" si="3"/>
        <v>78.213698630136875</v>
      </c>
      <c r="AC4" s="891">
        <f t="shared" si="3"/>
        <v>0</v>
      </c>
      <c r="AD4" s="891">
        <f t="shared" si="4"/>
        <v>226.61917808219187</v>
      </c>
      <c r="AE4" s="891">
        <f t="shared" si="4"/>
        <v>0</v>
      </c>
      <c r="AF4" s="891">
        <f t="shared" si="5"/>
        <v>49.134246575342559</v>
      </c>
      <c r="AG4" s="891">
        <f t="shared" si="5"/>
        <v>0</v>
      </c>
      <c r="AH4" s="891">
        <f t="shared" si="6"/>
        <v>0</v>
      </c>
      <c r="AI4" s="891">
        <f t="shared" si="6"/>
        <v>0</v>
      </c>
      <c r="AL4" s="891">
        <v>0.18849840255591099</v>
      </c>
      <c r="AM4" s="891">
        <v>0</v>
      </c>
      <c r="AO4">
        <f t="shared" si="7"/>
        <v>68.990415335463425</v>
      </c>
      <c r="AP4">
        <f t="shared" si="7"/>
        <v>0</v>
      </c>
      <c r="AS4" s="892">
        <v>0.68852459016393397</v>
      </c>
      <c r="AT4" s="892">
        <v>0</v>
      </c>
      <c r="AU4" s="892">
        <f>AS4-10%</f>
        <v>0.58852459016393399</v>
      </c>
      <c r="AV4" s="907">
        <f>AT4-10%</f>
        <v>-0.1</v>
      </c>
      <c r="AX4">
        <f>IF(AU4&gt;0,AU4*C4,0)</f>
        <v>215.39999999999984</v>
      </c>
      <c r="AY4">
        <f>IF(AV4&gt;0,AV4*D4,0)</f>
        <v>0</v>
      </c>
      <c r="BA4" s="891">
        <v>8.4507042253521118E-3</v>
      </c>
      <c r="BC4">
        <f>BA4*C4</f>
        <v>3.0929577464788731</v>
      </c>
      <c r="BF4">
        <v>0</v>
      </c>
      <c r="BG4" s="891"/>
      <c r="BK4" s="1139">
        <f t="shared" ref="BK4:BK10" si="8">AS4</f>
        <v>0.68852459016393397</v>
      </c>
      <c r="BL4" s="1139">
        <f t="shared" ref="BL4:BL10" si="9">AT4</f>
        <v>0</v>
      </c>
    </row>
    <row r="5" spans="1:64" ht="12.75" x14ac:dyDescent="0.2">
      <c r="A5" s="888" t="s">
        <v>11</v>
      </c>
      <c r="B5" s="889">
        <v>2443</v>
      </c>
      <c r="C5" s="890">
        <v>264</v>
      </c>
      <c r="D5" s="890">
        <v>0</v>
      </c>
      <c r="E5" s="891">
        <v>0.23166023166023167</v>
      </c>
      <c r="F5" s="891">
        <v>0</v>
      </c>
      <c r="G5" s="891">
        <f t="shared" si="0"/>
        <v>61.158301158301164</v>
      </c>
      <c r="H5" s="891">
        <f t="shared" si="0"/>
        <v>0</v>
      </c>
      <c r="K5" s="891">
        <v>0.10266159695817501</v>
      </c>
      <c r="L5" s="891">
        <v>0</v>
      </c>
      <c r="M5" s="891">
        <v>0.26615969581748999</v>
      </c>
      <c r="N5" s="891">
        <v>0</v>
      </c>
      <c r="O5" s="891">
        <v>0.22813688212927799</v>
      </c>
      <c r="P5" s="891">
        <v>0</v>
      </c>
      <c r="Q5" s="891">
        <v>0.20532319391635001</v>
      </c>
      <c r="R5" s="891">
        <v>0</v>
      </c>
      <c r="S5" s="891">
        <v>1.14068441064639E-2</v>
      </c>
      <c r="T5" s="891">
        <v>0</v>
      </c>
      <c r="U5" s="891">
        <v>0</v>
      </c>
      <c r="V5" s="891">
        <v>0</v>
      </c>
      <c r="X5" s="891">
        <f t="shared" si="1"/>
        <v>27.1026615969582</v>
      </c>
      <c r="Y5" s="891">
        <f t="shared" si="1"/>
        <v>0</v>
      </c>
      <c r="Z5" s="891">
        <f t="shared" si="2"/>
        <v>70.266159695817365</v>
      </c>
      <c r="AA5" s="891">
        <f t="shared" si="2"/>
        <v>0</v>
      </c>
      <c r="AB5" s="891">
        <f t="shared" si="3"/>
        <v>60.228136882129391</v>
      </c>
      <c r="AC5" s="891">
        <f t="shared" si="3"/>
        <v>0</v>
      </c>
      <c r="AD5" s="891">
        <f t="shared" si="4"/>
        <v>54.205323193916399</v>
      </c>
      <c r="AE5" s="891">
        <f t="shared" si="4"/>
        <v>0</v>
      </c>
      <c r="AF5" s="891">
        <f t="shared" si="5"/>
        <v>3.0114068441064696</v>
      </c>
      <c r="AG5" s="891">
        <f t="shared" si="5"/>
        <v>0</v>
      </c>
      <c r="AH5" s="891">
        <f t="shared" si="6"/>
        <v>0</v>
      </c>
      <c r="AI5" s="891">
        <f t="shared" si="6"/>
        <v>0</v>
      </c>
      <c r="AL5" s="891">
        <v>0.10404624277456601</v>
      </c>
      <c r="AM5" s="891">
        <v>0</v>
      </c>
      <c r="AO5">
        <f t="shared" si="7"/>
        <v>27.468208092485426</v>
      </c>
      <c r="AP5">
        <f t="shared" si="7"/>
        <v>0</v>
      </c>
      <c r="AS5" s="892">
        <v>4.9242424242424199E-2</v>
      </c>
      <c r="AT5" s="892">
        <v>0</v>
      </c>
      <c r="AU5" s="892">
        <f t="shared" ref="AU5:AV67" si="10">AS5-10%</f>
        <v>-5.0757575757575807E-2</v>
      </c>
      <c r="AV5" s="907">
        <f t="shared" si="10"/>
        <v>-0.1</v>
      </c>
      <c r="AX5">
        <f t="shared" ref="AX5:AY67" si="11">IF(AU5&gt;0,AU5*C5,0)</f>
        <v>0</v>
      </c>
      <c r="AY5">
        <f t="shared" si="11"/>
        <v>0</v>
      </c>
      <c r="BA5" s="891">
        <v>0</v>
      </c>
      <c r="BC5">
        <f t="shared" ref="BC5:BC22" si="12">BA5*C5</f>
        <v>0</v>
      </c>
      <c r="BF5">
        <v>0</v>
      </c>
      <c r="BG5" s="891"/>
      <c r="BK5" s="1139">
        <f t="shared" si="8"/>
        <v>4.9242424242424199E-2</v>
      </c>
      <c r="BL5" s="1139">
        <f t="shared" si="9"/>
        <v>0</v>
      </c>
    </row>
    <row r="6" spans="1:64" ht="12.75" x14ac:dyDescent="0.2">
      <c r="A6" s="888" t="s">
        <v>94</v>
      </c>
      <c r="B6" s="889">
        <v>2442</v>
      </c>
      <c r="C6" s="890">
        <v>320</v>
      </c>
      <c r="D6" s="890">
        <v>0</v>
      </c>
      <c r="E6" s="891">
        <v>0.41433021806853582</v>
      </c>
      <c r="F6" s="891">
        <v>0</v>
      </c>
      <c r="G6" s="891">
        <f t="shared" si="0"/>
        <v>132.58566978193147</v>
      </c>
      <c r="H6" s="891">
        <f t="shared" si="0"/>
        <v>0</v>
      </c>
      <c r="K6" s="891">
        <v>0.119760479041916</v>
      </c>
      <c r="L6" s="891">
        <v>0</v>
      </c>
      <c r="M6" s="891">
        <v>0.25449101796407197</v>
      </c>
      <c r="N6" s="891">
        <v>0</v>
      </c>
      <c r="O6" s="891">
        <v>0.21856287425149701</v>
      </c>
      <c r="P6" s="891">
        <v>0</v>
      </c>
      <c r="Q6" s="891">
        <v>0.21856287425149701</v>
      </c>
      <c r="R6" s="891">
        <v>0</v>
      </c>
      <c r="S6" s="891">
        <v>1.19760479041916E-2</v>
      </c>
      <c r="T6" s="891">
        <v>0</v>
      </c>
      <c r="U6" s="891">
        <v>0</v>
      </c>
      <c r="V6" s="891">
        <v>0</v>
      </c>
      <c r="X6" s="891">
        <f t="shared" si="1"/>
        <v>38.32335329341312</v>
      </c>
      <c r="Y6" s="891">
        <f t="shared" si="1"/>
        <v>0</v>
      </c>
      <c r="Z6" s="891">
        <f t="shared" si="2"/>
        <v>81.437125748503036</v>
      </c>
      <c r="AA6" s="891">
        <f t="shared" si="2"/>
        <v>0</v>
      </c>
      <c r="AB6" s="891">
        <f t="shared" si="3"/>
        <v>69.940119760479035</v>
      </c>
      <c r="AC6" s="891">
        <f t="shared" si="3"/>
        <v>0</v>
      </c>
      <c r="AD6" s="891">
        <f t="shared" si="4"/>
        <v>69.940119760479035</v>
      </c>
      <c r="AE6" s="891">
        <f t="shared" si="4"/>
        <v>0</v>
      </c>
      <c r="AF6" s="891">
        <f t="shared" si="5"/>
        <v>3.832335329341312</v>
      </c>
      <c r="AG6" s="891">
        <f t="shared" si="5"/>
        <v>0</v>
      </c>
      <c r="AH6" s="891">
        <f t="shared" si="6"/>
        <v>0</v>
      </c>
      <c r="AI6" s="891">
        <f t="shared" si="6"/>
        <v>0</v>
      </c>
      <c r="AL6" s="891">
        <v>1.35135135135135E-2</v>
      </c>
      <c r="AM6" s="891">
        <v>0</v>
      </c>
      <c r="AO6">
        <f t="shared" si="7"/>
        <v>4.3243243243243201</v>
      </c>
      <c r="AP6">
        <f t="shared" si="7"/>
        <v>0</v>
      </c>
      <c r="AS6" s="892">
        <v>5.9880239520958098E-2</v>
      </c>
      <c r="AT6" s="892">
        <v>0</v>
      </c>
      <c r="AU6" s="892">
        <f t="shared" si="10"/>
        <v>-4.0119760479041908E-2</v>
      </c>
      <c r="AV6" s="907">
        <f t="shared" si="10"/>
        <v>-0.1</v>
      </c>
      <c r="AX6">
        <f t="shared" si="11"/>
        <v>0</v>
      </c>
      <c r="AY6">
        <f t="shared" si="11"/>
        <v>0</v>
      </c>
      <c r="BA6" s="891">
        <v>3.1152647975077881E-3</v>
      </c>
      <c r="BC6">
        <f t="shared" si="12"/>
        <v>0.99688473520249221</v>
      </c>
      <c r="BF6">
        <v>0</v>
      </c>
      <c r="BG6" s="891"/>
      <c r="BK6" s="1139">
        <f t="shared" si="8"/>
        <v>5.9880239520958098E-2</v>
      </c>
      <c r="BL6" s="1139">
        <f t="shared" si="9"/>
        <v>0</v>
      </c>
    </row>
    <row r="7" spans="1:64" ht="12.75" x14ac:dyDescent="0.2">
      <c r="A7" s="888" t="s">
        <v>13</v>
      </c>
      <c r="B7" s="889">
        <v>2629</v>
      </c>
      <c r="C7" s="890">
        <v>478.5</v>
      </c>
      <c r="D7" s="890">
        <v>0</v>
      </c>
      <c r="E7" s="891">
        <v>0.37442922374429222</v>
      </c>
      <c r="F7" s="891">
        <v>0</v>
      </c>
      <c r="G7" s="891">
        <f t="shared" si="0"/>
        <v>179.16438356164383</v>
      </c>
      <c r="H7" s="891">
        <f t="shared" si="0"/>
        <v>0</v>
      </c>
      <c r="K7" s="891">
        <v>1.9313304721029999E-2</v>
      </c>
      <c r="L7" s="891">
        <v>0</v>
      </c>
      <c r="M7" s="891">
        <v>0</v>
      </c>
      <c r="N7" s="891">
        <v>0</v>
      </c>
      <c r="O7" s="891">
        <v>0.26824034334763902</v>
      </c>
      <c r="P7" s="891">
        <v>0</v>
      </c>
      <c r="Q7" s="891">
        <v>0.65021459227467804</v>
      </c>
      <c r="R7" s="891">
        <v>0</v>
      </c>
      <c r="S7" s="891">
        <v>1.9313304721029999E-2</v>
      </c>
      <c r="T7" s="891">
        <v>0</v>
      </c>
      <c r="U7" s="891">
        <v>0</v>
      </c>
      <c r="V7" s="891">
        <v>0</v>
      </c>
      <c r="X7" s="891">
        <f t="shared" si="1"/>
        <v>9.2414163090128554</v>
      </c>
      <c r="Y7" s="891">
        <f t="shared" si="1"/>
        <v>0</v>
      </c>
      <c r="Z7" s="891">
        <f t="shared" si="2"/>
        <v>0</v>
      </c>
      <c r="AA7" s="891">
        <f t="shared" si="2"/>
        <v>0</v>
      </c>
      <c r="AB7" s="891">
        <f t="shared" si="3"/>
        <v>128.35300429184528</v>
      </c>
      <c r="AC7" s="891">
        <f t="shared" si="3"/>
        <v>0</v>
      </c>
      <c r="AD7" s="891">
        <f t="shared" si="4"/>
        <v>311.12768240343343</v>
      </c>
      <c r="AE7" s="891">
        <f t="shared" si="4"/>
        <v>0</v>
      </c>
      <c r="AF7" s="891">
        <f t="shared" si="5"/>
        <v>9.2414163090128554</v>
      </c>
      <c r="AG7" s="891">
        <f t="shared" si="5"/>
        <v>0</v>
      </c>
      <c r="AH7" s="891">
        <f t="shared" si="6"/>
        <v>0</v>
      </c>
      <c r="AI7" s="891">
        <f t="shared" si="6"/>
        <v>0</v>
      </c>
      <c r="AL7" s="891">
        <v>0.53964194373401497</v>
      </c>
      <c r="AM7" s="891">
        <v>0</v>
      </c>
      <c r="AO7">
        <f t="shared" si="7"/>
        <v>258.21867007672614</v>
      </c>
      <c r="AP7">
        <f t="shared" si="7"/>
        <v>0</v>
      </c>
      <c r="AS7" s="892">
        <v>0.118025751072961</v>
      </c>
      <c r="AT7" s="892">
        <v>0</v>
      </c>
      <c r="AU7" s="892">
        <f t="shared" si="10"/>
        <v>1.8025751072960991E-2</v>
      </c>
      <c r="AV7" s="907">
        <f t="shared" si="10"/>
        <v>-0.1</v>
      </c>
      <c r="AX7">
        <f t="shared" si="11"/>
        <v>8.6253218884118343</v>
      </c>
      <c r="AY7">
        <f t="shared" si="11"/>
        <v>0</v>
      </c>
      <c r="BA7" s="891">
        <v>2.2831050228310501E-3</v>
      </c>
      <c r="BC7">
        <f t="shared" si="12"/>
        <v>1.0924657534246576</v>
      </c>
      <c r="BF7">
        <v>0</v>
      </c>
      <c r="BG7" s="891"/>
      <c r="BK7" s="1139">
        <f t="shared" si="8"/>
        <v>0.118025751072961</v>
      </c>
      <c r="BL7" s="1139">
        <f t="shared" si="9"/>
        <v>0</v>
      </c>
    </row>
    <row r="8" spans="1:64" ht="12.75" x14ac:dyDescent="0.2">
      <c r="A8" s="888" t="s">
        <v>14</v>
      </c>
      <c r="B8" s="889">
        <v>2509</v>
      </c>
      <c r="C8" s="890">
        <v>206</v>
      </c>
      <c r="D8" s="890">
        <v>0</v>
      </c>
      <c r="E8" s="891">
        <v>0.22772277227722773</v>
      </c>
      <c r="F8" s="891">
        <v>0</v>
      </c>
      <c r="G8" s="891">
        <f t="shared" si="0"/>
        <v>46.910891089108915</v>
      </c>
      <c r="H8" s="891">
        <f t="shared" si="0"/>
        <v>0</v>
      </c>
      <c r="K8" s="891">
        <v>2.4271844660194199E-2</v>
      </c>
      <c r="L8" s="891">
        <v>0</v>
      </c>
      <c r="M8" s="891">
        <v>0.111650485436893</v>
      </c>
      <c r="N8" s="891">
        <v>0</v>
      </c>
      <c r="O8" s="891">
        <v>0.28640776699029102</v>
      </c>
      <c r="P8" s="891">
        <v>0</v>
      </c>
      <c r="Q8" s="891">
        <v>0.121359223300971</v>
      </c>
      <c r="R8" s="891">
        <v>0</v>
      </c>
      <c r="S8" s="891">
        <v>4.3689320388349502E-2</v>
      </c>
      <c r="T8" s="891">
        <v>0</v>
      </c>
      <c r="U8" s="891">
        <v>0</v>
      </c>
      <c r="V8" s="891">
        <v>0</v>
      </c>
      <c r="X8" s="891">
        <f t="shared" si="1"/>
        <v>5.0000000000000053</v>
      </c>
      <c r="Y8" s="891">
        <f t="shared" si="1"/>
        <v>0</v>
      </c>
      <c r="Z8" s="891">
        <f t="shared" si="2"/>
        <v>22.999999999999957</v>
      </c>
      <c r="AA8" s="891">
        <f t="shared" si="2"/>
        <v>0</v>
      </c>
      <c r="AB8" s="891">
        <f t="shared" si="3"/>
        <v>58.99999999999995</v>
      </c>
      <c r="AC8" s="891">
        <f t="shared" si="3"/>
        <v>0</v>
      </c>
      <c r="AD8" s="891">
        <f t="shared" si="4"/>
        <v>25.000000000000025</v>
      </c>
      <c r="AE8" s="891">
        <f t="shared" si="4"/>
        <v>0</v>
      </c>
      <c r="AF8" s="891">
        <f t="shared" si="5"/>
        <v>8.9999999999999982</v>
      </c>
      <c r="AG8" s="891">
        <f t="shared" si="5"/>
        <v>0</v>
      </c>
      <c r="AH8" s="891">
        <f t="shared" si="6"/>
        <v>0</v>
      </c>
      <c r="AI8" s="891">
        <f t="shared" si="6"/>
        <v>0</v>
      </c>
      <c r="AL8" s="891">
        <v>0.185792349726776</v>
      </c>
      <c r="AM8" s="891">
        <v>0</v>
      </c>
      <c r="AO8">
        <f t="shared" si="7"/>
        <v>38.273224043715857</v>
      </c>
      <c r="AP8">
        <f t="shared" si="7"/>
        <v>0</v>
      </c>
      <c r="AS8" s="892">
        <v>0.20873786407767</v>
      </c>
      <c r="AT8" s="892">
        <v>0</v>
      </c>
      <c r="AU8" s="892">
        <f t="shared" si="10"/>
        <v>0.10873786407767</v>
      </c>
      <c r="AV8" s="907">
        <f t="shared" si="10"/>
        <v>-0.1</v>
      </c>
      <c r="AX8">
        <f t="shared" si="11"/>
        <v>22.40000000000002</v>
      </c>
      <c r="AY8">
        <f t="shared" si="11"/>
        <v>0</v>
      </c>
      <c r="BA8" s="891">
        <v>1.4851485148514851E-2</v>
      </c>
      <c r="BC8">
        <f t="shared" si="12"/>
        <v>3.0594059405940595</v>
      </c>
      <c r="BF8">
        <v>0</v>
      </c>
      <c r="BG8" s="891"/>
      <c r="BK8" s="1139">
        <f t="shared" si="8"/>
        <v>0.20873786407767</v>
      </c>
      <c r="BL8" s="1139">
        <f t="shared" si="9"/>
        <v>0</v>
      </c>
    </row>
    <row r="9" spans="1:64" ht="12.75" x14ac:dyDescent="0.2">
      <c r="A9" s="888" t="s">
        <v>15</v>
      </c>
      <c r="B9" s="889">
        <v>2005</v>
      </c>
      <c r="C9" s="890">
        <v>319</v>
      </c>
      <c r="D9" s="890">
        <v>0</v>
      </c>
      <c r="E9" s="891">
        <v>0.52777777777777779</v>
      </c>
      <c r="F9" s="891">
        <v>0</v>
      </c>
      <c r="G9" s="891">
        <f t="shared" si="0"/>
        <v>168.36111111111111</v>
      </c>
      <c r="H9" s="891">
        <f t="shared" si="0"/>
        <v>0</v>
      </c>
      <c r="K9" s="891">
        <v>0.155555555555556</v>
      </c>
      <c r="L9" s="891">
        <v>0</v>
      </c>
      <c r="M9" s="891">
        <v>0.206349206349206</v>
      </c>
      <c r="N9" s="891">
        <v>0</v>
      </c>
      <c r="O9" s="891">
        <v>0.33650793650793698</v>
      </c>
      <c r="P9" s="891">
        <v>0</v>
      </c>
      <c r="Q9" s="891">
        <v>0.19682539682539699</v>
      </c>
      <c r="R9" s="891">
        <v>0</v>
      </c>
      <c r="S9" s="891">
        <v>6.0317460317460297E-2</v>
      </c>
      <c r="T9" s="891">
        <v>0</v>
      </c>
      <c r="U9" s="891">
        <v>0</v>
      </c>
      <c r="V9" s="891">
        <v>0</v>
      </c>
      <c r="X9" s="891">
        <f t="shared" si="1"/>
        <v>49.622222222222362</v>
      </c>
      <c r="Y9" s="891">
        <f t="shared" si="1"/>
        <v>0</v>
      </c>
      <c r="Z9" s="891">
        <f t="shared" si="2"/>
        <v>65.825396825396709</v>
      </c>
      <c r="AA9" s="891">
        <f t="shared" si="2"/>
        <v>0</v>
      </c>
      <c r="AB9" s="891">
        <f t="shared" si="3"/>
        <v>107.3460317460319</v>
      </c>
      <c r="AC9" s="891">
        <f t="shared" si="3"/>
        <v>0</v>
      </c>
      <c r="AD9" s="891">
        <f t="shared" si="4"/>
        <v>62.787301587301641</v>
      </c>
      <c r="AE9" s="891">
        <f t="shared" si="4"/>
        <v>0</v>
      </c>
      <c r="AF9" s="891">
        <f t="shared" si="5"/>
        <v>19.241269841269833</v>
      </c>
      <c r="AG9" s="891">
        <f t="shared" si="5"/>
        <v>0</v>
      </c>
      <c r="AH9" s="891">
        <f t="shared" si="6"/>
        <v>0</v>
      </c>
      <c r="AI9" s="891">
        <f t="shared" si="6"/>
        <v>0</v>
      </c>
      <c r="AL9" s="891">
        <v>0.113207547169811</v>
      </c>
      <c r="AM9" s="891">
        <v>0</v>
      </c>
      <c r="AO9">
        <f t="shared" si="7"/>
        <v>36.113207547169708</v>
      </c>
      <c r="AP9">
        <f t="shared" si="7"/>
        <v>0</v>
      </c>
      <c r="AS9" s="892">
        <v>0.166144200626959</v>
      </c>
      <c r="AT9" s="892">
        <v>0</v>
      </c>
      <c r="AU9" s="892">
        <f t="shared" si="10"/>
        <v>6.6144200626958999E-2</v>
      </c>
      <c r="AV9" s="907">
        <f t="shared" si="10"/>
        <v>-0.1</v>
      </c>
      <c r="AX9">
        <f t="shared" si="11"/>
        <v>21.09999999999992</v>
      </c>
      <c r="AY9">
        <f t="shared" si="11"/>
        <v>0</v>
      </c>
      <c r="BA9" s="891">
        <v>3.0864197530864196E-3</v>
      </c>
      <c r="BC9">
        <f t="shared" si="12"/>
        <v>0.98456790123456783</v>
      </c>
      <c r="BF9">
        <v>0</v>
      </c>
      <c r="BG9" s="891"/>
      <c r="BK9" s="1139">
        <f t="shared" si="8"/>
        <v>0.166144200626959</v>
      </c>
      <c r="BL9" s="1139">
        <f t="shared" si="9"/>
        <v>0</v>
      </c>
    </row>
    <row r="10" spans="1:64" ht="12.75" x14ac:dyDescent="0.2">
      <c r="A10" s="888" t="s">
        <v>16</v>
      </c>
      <c r="B10" s="889">
        <v>2464</v>
      </c>
      <c r="C10" s="890">
        <v>201</v>
      </c>
      <c r="D10" s="890">
        <v>0</v>
      </c>
      <c r="E10" s="891">
        <v>0.3282051282051282</v>
      </c>
      <c r="F10" s="891">
        <v>0</v>
      </c>
      <c r="G10" s="891">
        <f t="shared" si="0"/>
        <v>65.969230769230762</v>
      </c>
      <c r="H10" s="891">
        <f t="shared" si="0"/>
        <v>0</v>
      </c>
      <c r="K10" s="891">
        <v>0.66169154228855698</v>
      </c>
      <c r="L10" s="891">
        <v>0</v>
      </c>
      <c r="M10" s="891">
        <v>0.20398009950248799</v>
      </c>
      <c r="N10" s="891">
        <v>0</v>
      </c>
      <c r="O10" s="891">
        <v>1.49253731343284E-2</v>
      </c>
      <c r="P10" s="891">
        <v>0</v>
      </c>
      <c r="Q10" s="891">
        <v>4.97512437810945E-3</v>
      </c>
      <c r="R10" s="891">
        <v>0</v>
      </c>
      <c r="S10" s="891">
        <v>0</v>
      </c>
      <c r="T10" s="891">
        <v>0</v>
      </c>
      <c r="U10" s="891">
        <v>0</v>
      </c>
      <c r="V10" s="891">
        <v>0</v>
      </c>
      <c r="X10" s="891">
        <f t="shared" si="1"/>
        <v>132.99999999999994</v>
      </c>
      <c r="Y10" s="891">
        <f t="shared" si="1"/>
        <v>0</v>
      </c>
      <c r="Z10" s="891">
        <f t="shared" si="2"/>
        <v>41.000000000000085</v>
      </c>
      <c r="AA10" s="891">
        <f t="shared" si="2"/>
        <v>0</v>
      </c>
      <c r="AB10" s="891">
        <f t="shared" si="3"/>
        <v>3.0000000000000084</v>
      </c>
      <c r="AC10" s="891">
        <f t="shared" si="3"/>
        <v>0</v>
      </c>
      <c r="AD10" s="891">
        <f t="shared" si="4"/>
        <v>0.99999999999999944</v>
      </c>
      <c r="AE10" s="891">
        <f t="shared" si="4"/>
        <v>0</v>
      </c>
      <c r="AF10" s="891">
        <f t="shared" si="5"/>
        <v>0</v>
      </c>
      <c r="AG10" s="891">
        <f t="shared" si="5"/>
        <v>0</v>
      </c>
      <c r="AH10" s="891">
        <f t="shared" si="6"/>
        <v>0</v>
      </c>
      <c r="AI10" s="891">
        <f t="shared" si="6"/>
        <v>0</v>
      </c>
      <c r="AL10" s="891">
        <v>1.1764705882352899E-2</v>
      </c>
      <c r="AM10" s="891">
        <v>0</v>
      </c>
      <c r="AO10">
        <f t="shared" si="7"/>
        <v>2.3647058823529328</v>
      </c>
      <c r="AP10">
        <f t="shared" si="7"/>
        <v>0</v>
      </c>
      <c r="AS10" s="892">
        <v>4.9751243781094502E-2</v>
      </c>
      <c r="AT10" s="892">
        <v>0</v>
      </c>
      <c r="AU10" s="892">
        <f t="shared" si="10"/>
        <v>-5.0248756218905503E-2</v>
      </c>
      <c r="AV10" s="907">
        <f t="shared" si="10"/>
        <v>-0.1</v>
      </c>
      <c r="AX10">
        <f t="shared" si="11"/>
        <v>0</v>
      </c>
      <c r="AY10">
        <f t="shared" si="11"/>
        <v>0</v>
      </c>
      <c r="BA10" s="891">
        <v>5.1282051282051282E-3</v>
      </c>
      <c r="BC10">
        <f t="shared" si="12"/>
        <v>1.0307692307692307</v>
      </c>
      <c r="BF10">
        <v>0</v>
      </c>
      <c r="BG10" s="891"/>
      <c r="BK10" s="1139">
        <f t="shared" si="8"/>
        <v>4.9751243781094502E-2</v>
      </c>
      <c r="BL10" s="1139">
        <f t="shared" si="9"/>
        <v>0</v>
      </c>
    </row>
    <row r="11" spans="1:64" ht="12.75" x14ac:dyDescent="0.2">
      <c r="A11" s="888" t="s">
        <v>17</v>
      </c>
      <c r="B11" s="889">
        <v>2004</v>
      </c>
      <c r="C11" s="890">
        <v>254</v>
      </c>
      <c r="D11" s="890">
        <v>0</v>
      </c>
      <c r="E11" s="891">
        <v>0.62737642585551334</v>
      </c>
      <c r="F11" s="891">
        <v>0</v>
      </c>
      <c r="G11" s="891">
        <f t="shared" si="0"/>
        <v>159.35361216730038</v>
      </c>
      <c r="H11" s="891">
        <f t="shared" si="0"/>
        <v>0</v>
      </c>
      <c r="K11" s="891">
        <v>7.9365079365079402E-2</v>
      </c>
      <c r="L11" s="891">
        <v>0</v>
      </c>
      <c r="M11" s="891">
        <v>0.123015873015873</v>
      </c>
      <c r="N11" s="891">
        <v>0</v>
      </c>
      <c r="O11" s="891">
        <v>4.7619047619047603E-2</v>
      </c>
      <c r="P11" s="891">
        <v>0</v>
      </c>
      <c r="Q11" s="891">
        <v>0.28968253968253999</v>
      </c>
      <c r="R11" s="891">
        <v>0</v>
      </c>
      <c r="S11" s="891">
        <v>0.38095238095238099</v>
      </c>
      <c r="T11" s="891">
        <v>0</v>
      </c>
      <c r="U11" s="891">
        <v>0</v>
      </c>
      <c r="V11" s="891">
        <v>0</v>
      </c>
      <c r="X11" s="891">
        <f t="shared" si="1"/>
        <v>20.158730158730169</v>
      </c>
      <c r="Y11" s="891">
        <f t="shared" si="1"/>
        <v>0</v>
      </c>
      <c r="Z11" s="891">
        <f t="shared" si="2"/>
        <v>31.24603174603174</v>
      </c>
      <c r="AA11" s="891">
        <f t="shared" si="2"/>
        <v>0</v>
      </c>
      <c r="AB11" s="891">
        <f t="shared" si="3"/>
        <v>12.095238095238091</v>
      </c>
      <c r="AC11" s="891">
        <f t="shared" si="3"/>
        <v>0</v>
      </c>
      <c r="AD11" s="891">
        <f t="shared" si="4"/>
        <v>73.579365079365161</v>
      </c>
      <c r="AE11" s="891">
        <f t="shared" si="4"/>
        <v>0</v>
      </c>
      <c r="AF11" s="891">
        <f t="shared" si="5"/>
        <v>96.761904761904773</v>
      </c>
      <c r="AG11" s="891">
        <f t="shared" si="5"/>
        <v>0</v>
      </c>
      <c r="AH11" s="891">
        <f t="shared" si="6"/>
        <v>0</v>
      </c>
      <c r="AI11" s="891">
        <f t="shared" si="6"/>
        <v>0</v>
      </c>
      <c r="AL11" s="891">
        <v>5.4794520547945202E-2</v>
      </c>
      <c r="AM11" s="891">
        <v>0</v>
      </c>
      <c r="AO11">
        <f t="shared" si="7"/>
        <v>13.917808219178081</v>
      </c>
      <c r="AP11">
        <f t="shared" si="7"/>
        <v>0</v>
      </c>
      <c r="AS11" s="892">
        <v>7.8740157480315001E-2</v>
      </c>
      <c r="AT11" s="892">
        <v>0</v>
      </c>
      <c r="AU11" s="892">
        <f t="shared" si="10"/>
        <v>-2.1259842519685004E-2</v>
      </c>
      <c r="AV11" s="907">
        <f t="shared" si="10"/>
        <v>-0.1</v>
      </c>
      <c r="AX11">
        <f t="shared" si="11"/>
        <v>0</v>
      </c>
      <c r="AY11">
        <f t="shared" si="11"/>
        <v>0</v>
      </c>
      <c r="BA11" s="891">
        <v>7.6045627376425855E-3</v>
      </c>
      <c r="BC11">
        <f t="shared" si="12"/>
        <v>1.9315589353612168</v>
      </c>
      <c r="BF11">
        <v>0</v>
      </c>
      <c r="BG11" s="891"/>
      <c r="BK11" s="1139">
        <f>AS11</f>
        <v>7.8740157480315001E-2</v>
      </c>
      <c r="BL11" s="1139">
        <f>AT11</f>
        <v>0</v>
      </c>
    </row>
    <row r="12" spans="1:64" ht="12.75" x14ac:dyDescent="0.2">
      <c r="A12" s="888" t="s">
        <v>18</v>
      </c>
      <c r="B12" s="889">
        <v>2405</v>
      </c>
      <c r="C12" s="890">
        <v>198</v>
      </c>
      <c r="D12" s="890">
        <v>0</v>
      </c>
      <c r="E12" s="891">
        <v>0.52427184466019416</v>
      </c>
      <c r="F12" s="891">
        <v>0</v>
      </c>
      <c r="G12" s="891">
        <f t="shared" si="0"/>
        <v>103.80582524271844</v>
      </c>
      <c r="H12" s="891">
        <f t="shared" si="0"/>
        <v>0</v>
      </c>
      <c r="K12" s="891">
        <v>1.9607843137254902E-2</v>
      </c>
      <c r="L12" s="891">
        <v>0</v>
      </c>
      <c r="M12" s="891">
        <v>8.3333333333333301E-2</v>
      </c>
      <c r="N12" s="891">
        <v>0</v>
      </c>
      <c r="O12" s="891">
        <v>0.70588235294117696</v>
      </c>
      <c r="P12" s="891">
        <v>0</v>
      </c>
      <c r="Q12" s="891">
        <v>6.8627450980392204E-2</v>
      </c>
      <c r="R12" s="891">
        <v>0</v>
      </c>
      <c r="S12" s="891">
        <v>0.10784313725490199</v>
      </c>
      <c r="T12" s="891">
        <v>0</v>
      </c>
      <c r="U12" s="891">
        <v>0</v>
      </c>
      <c r="V12" s="891">
        <v>0</v>
      </c>
      <c r="X12" s="891">
        <f t="shared" si="1"/>
        <v>3.8823529411764706</v>
      </c>
      <c r="Y12" s="891">
        <f t="shared" si="1"/>
        <v>0</v>
      </c>
      <c r="Z12" s="891">
        <f t="shared" si="2"/>
        <v>16.499999999999993</v>
      </c>
      <c r="AA12" s="891">
        <f t="shared" si="2"/>
        <v>0</v>
      </c>
      <c r="AB12" s="891">
        <f t="shared" si="3"/>
        <v>139.76470588235304</v>
      </c>
      <c r="AC12" s="891">
        <f t="shared" si="3"/>
        <v>0</v>
      </c>
      <c r="AD12" s="891">
        <f t="shared" si="4"/>
        <v>13.588235294117656</v>
      </c>
      <c r="AE12" s="891">
        <f t="shared" si="4"/>
        <v>0</v>
      </c>
      <c r="AF12" s="891">
        <f t="shared" si="5"/>
        <v>21.352941176470594</v>
      </c>
      <c r="AG12" s="891">
        <f t="shared" si="5"/>
        <v>0</v>
      </c>
      <c r="AH12" s="891">
        <f t="shared" si="6"/>
        <v>0</v>
      </c>
      <c r="AI12" s="891">
        <f t="shared" si="6"/>
        <v>0</v>
      </c>
      <c r="AL12" s="891">
        <v>0.26436781609195398</v>
      </c>
      <c r="AM12" s="891">
        <v>0</v>
      </c>
      <c r="AO12">
        <f t="shared" si="7"/>
        <v>52.34482758620689</v>
      </c>
      <c r="AP12">
        <f t="shared" si="7"/>
        <v>0</v>
      </c>
      <c r="AS12" s="892">
        <v>6.8627450980392204E-2</v>
      </c>
      <c r="AT12" s="892">
        <v>0</v>
      </c>
      <c r="AU12" s="892">
        <f t="shared" si="10"/>
        <v>-3.1372549019607801E-2</v>
      </c>
      <c r="AV12" s="907">
        <f t="shared" si="10"/>
        <v>-0.1</v>
      </c>
      <c r="AX12">
        <f t="shared" si="11"/>
        <v>0</v>
      </c>
      <c r="AY12">
        <f t="shared" si="11"/>
        <v>0</v>
      </c>
      <c r="BA12" s="891">
        <v>0</v>
      </c>
      <c r="BC12">
        <f t="shared" si="12"/>
        <v>0</v>
      </c>
      <c r="BF12">
        <v>0</v>
      </c>
      <c r="BG12" s="891"/>
      <c r="BK12" s="1139">
        <f t="shared" ref="BK12:BK27" si="13">AS12</f>
        <v>6.8627450980392204E-2</v>
      </c>
      <c r="BL12" s="1139">
        <f t="shared" ref="BL12:BL27" si="14">AT12</f>
        <v>0</v>
      </c>
    </row>
    <row r="13" spans="1:64" ht="12.75" x14ac:dyDescent="0.2">
      <c r="A13" s="888" t="s">
        <v>95</v>
      </c>
      <c r="B13" s="889">
        <v>2011</v>
      </c>
      <c r="C13" s="890">
        <v>211</v>
      </c>
      <c r="D13" s="890">
        <v>0</v>
      </c>
      <c r="E13" s="891">
        <v>0.37850467289719625</v>
      </c>
      <c r="F13" s="891">
        <v>0</v>
      </c>
      <c r="G13" s="891">
        <f t="shared" si="0"/>
        <v>79.864485981308405</v>
      </c>
      <c r="H13" s="891">
        <f t="shared" si="0"/>
        <v>0</v>
      </c>
      <c r="K13" s="891">
        <v>4.2654028436019002E-2</v>
      </c>
      <c r="L13" s="891">
        <v>0</v>
      </c>
      <c r="M13" s="891">
        <v>0.43601895734597201</v>
      </c>
      <c r="N13" s="891">
        <v>0</v>
      </c>
      <c r="O13" s="891">
        <v>0.393364928909953</v>
      </c>
      <c r="P13" s="891">
        <v>0</v>
      </c>
      <c r="Q13" s="891">
        <v>2.3696682464454999E-2</v>
      </c>
      <c r="R13" s="891">
        <v>0</v>
      </c>
      <c r="S13" s="891">
        <v>9.4786729857819895E-3</v>
      </c>
      <c r="T13" s="891">
        <v>0</v>
      </c>
      <c r="U13" s="891">
        <v>0</v>
      </c>
      <c r="V13" s="891">
        <v>0</v>
      </c>
      <c r="X13" s="891">
        <f t="shared" si="1"/>
        <v>9.0000000000000089</v>
      </c>
      <c r="Y13" s="891">
        <f t="shared" si="1"/>
        <v>0</v>
      </c>
      <c r="Z13" s="891">
        <f t="shared" si="2"/>
        <v>92.000000000000099</v>
      </c>
      <c r="AA13" s="891">
        <f t="shared" si="2"/>
        <v>0</v>
      </c>
      <c r="AB13" s="891">
        <f t="shared" si="3"/>
        <v>83.000000000000085</v>
      </c>
      <c r="AC13" s="891">
        <f t="shared" si="3"/>
        <v>0</v>
      </c>
      <c r="AD13" s="891">
        <f t="shared" si="4"/>
        <v>5.0000000000000044</v>
      </c>
      <c r="AE13" s="891">
        <f t="shared" si="4"/>
        <v>0</v>
      </c>
      <c r="AF13" s="891">
        <f t="shared" si="5"/>
        <v>1.9999999999999998</v>
      </c>
      <c r="AG13" s="891">
        <f t="shared" si="5"/>
        <v>0</v>
      </c>
      <c r="AH13" s="891">
        <f t="shared" si="6"/>
        <v>0</v>
      </c>
      <c r="AI13" s="891">
        <f t="shared" si="6"/>
        <v>0</v>
      </c>
      <c r="AL13" s="891">
        <v>5.7142857142857099E-2</v>
      </c>
      <c r="AM13" s="891">
        <v>0</v>
      </c>
      <c r="AO13">
        <f t="shared" si="7"/>
        <v>12.057142857142848</v>
      </c>
      <c r="AP13">
        <f t="shared" si="7"/>
        <v>0</v>
      </c>
      <c r="AS13" s="892">
        <v>0.66824644549763001</v>
      </c>
      <c r="AT13" s="892">
        <v>0</v>
      </c>
      <c r="AU13" s="892">
        <f t="shared" si="10"/>
        <v>0.56824644549763004</v>
      </c>
      <c r="AV13" s="907">
        <f t="shared" si="10"/>
        <v>-0.1</v>
      </c>
      <c r="AX13">
        <f t="shared" si="11"/>
        <v>119.89999999999993</v>
      </c>
      <c r="AY13">
        <f t="shared" si="11"/>
        <v>0</v>
      </c>
      <c r="BA13" s="891">
        <v>0</v>
      </c>
      <c r="BC13">
        <f t="shared" si="12"/>
        <v>0</v>
      </c>
      <c r="BF13">
        <v>0</v>
      </c>
      <c r="BG13" s="891"/>
      <c r="BK13" s="1139">
        <f t="shared" si="13"/>
        <v>0.66824644549763001</v>
      </c>
      <c r="BL13" s="1139">
        <f t="shared" si="14"/>
        <v>0</v>
      </c>
    </row>
    <row r="14" spans="1:64" ht="12.75" x14ac:dyDescent="0.2">
      <c r="A14" s="888" t="s">
        <v>20</v>
      </c>
      <c r="B14" s="889">
        <v>5201</v>
      </c>
      <c r="C14" s="890">
        <v>414</v>
      </c>
      <c r="D14" s="890">
        <v>0</v>
      </c>
      <c r="E14" s="891">
        <v>0.14150943396226415</v>
      </c>
      <c r="F14" s="891">
        <v>0</v>
      </c>
      <c r="G14" s="891">
        <f t="shared" si="0"/>
        <v>58.584905660377359</v>
      </c>
      <c r="H14" s="891">
        <f t="shared" si="0"/>
        <v>0</v>
      </c>
      <c r="K14" s="891">
        <v>0.18886198547215499</v>
      </c>
      <c r="L14" s="891">
        <v>0</v>
      </c>
      <c r="M14" s="891">
        <v>0.10653753026634399</v>
      </c>
      <c r="N14" s="891">
        <v>0</v>
      </c>
      <c r="O14" s="891">
        <v>3.6319612590799001E-2</v>
      </c>
      <c r="P14" s="891">
        <v>0</v>
      </c>
      <c r="Q14" s="891">
        <v>2.4213075060532702E-3</v>
      </c>
      <c r="R14" s="891">
        <v>0</v>
      </c>
      <c r="S14" s="891">
        <v>0</v>
      </c>
      <c r="T14" s="891">
        <v>0</v>
      </c>
      <c r="U14" s="891">
        <v>0</v>
      </c>
      <c r="V14" s="891">
        <v>0</v>
      </c>
      <c r="X14" s="891">
        <f t="shared" si="1"/>
        <v>78.188861985472172</v>
      </c>
      <c r="Y14" s="891">
        <f t="shared" si="1"/>
        <v>0</v>
      </c>
      <c r="Z14" s="891">
        <f t="shared" si="2"/>
        <v>44.106537530266415</v>
      </c>
      <c r="AA14" s="891">
        <f t="shared" si="2"/>
        <v>0</v>
      </c>
      <c r="AB14" s="891">
        <f t="shared" si="3"/>
        <v>15.036319612590786</v>
      </c>
      <c r="AC14" s="891">
        <f t="shared" si="3"/>
        <v>0</v>
      </c>
      <c r="AD14" s="891">
        <f t="shared" si="4"/>
        <v>1.002421307506054</v>
      </c>
      <c r="AE14" s="891">
        <f t="shared" si="4"/>
        <v>0</v>
      </c>
      <c r="AF14" s="891">
        <f t="shared" si="5"/>
        <v>0</v>
      </c>
      <c r="AG14" s="891">
        <f t="shared" si="5"/>
        <v>0</v>
      </c>
      <c r="AH14" s="891">
        <f t="shared" si="6"/>
        <v>0</v>
      </c>
      <c r="AI14" s="891">
        <f t="shared" si="6"/>
        <v>0</v>
      </c>
      <c r="AL14" s="891">
        <v>1.6949152542372899E-2</v>
      </c>
      <c r="AM14" s="891">
        <v>0</v>
      </c>
      <c r="AO14">
        <f t="shared" si="7"/>
        <v>7.0169491525423799</v>
      </c>
      <c r="AP14">
        <f t="shared" si="7"/>
        <v>0</v>
      </c>
      <c r="AS14" s="892">
        <v>3.3816425120772903E-2</v>
      </c>
      <c r="AT14" s="892">
        <v>0</v>
      </c>
      <c r="AU14" s="892">
        <f t="shared" si="10"/>
        <v>-6.6183574879227103E-2</v>
      </c>
      <c r="AV14" s="907">
        <f t="shared" si="10"/>
        <v>-0.1</v>
      </c>
      <c r="AX14">
        <f t="shared" si="11"/>
        <v>0</v>
      </c>
      <c r="AY14">
        <f t="shared" si="11"/>
        <v>0</v>
      </c>
      <c r="BA14" s="891">
        <v>7.0754716981132077E-3</v>
      </c>
      <c r="BC14">
        <f t="shared" si="12"/>
        <v>2.9292452830188678</v>
      </c>
      <c r="BF14">
        <v>0</v>
      </c>
      <c r="BG14" s="891"/>
      <c r="BK14" s="1139">
        <f t="shared" si="13"/>
        <v>3.3816425120772903E-2</v>
      </c>
      <c r="BL14" s="1139">
        <f t="shared" si="14"/>
        <v>0</v>
      </c>
    </row>
    <row r="15" spans="1:64" ht="12.75" x14ac:dyDescent="0.2">
      <c r="A15" s="888" t="s">
        <v>21</v>
      </c>
      <c r="B15" s="889">
        <v>2433</v>
      </c>
      <c r="C15" s="890">
        <v>166</v>
      </c>
      <c r="D15" s="890">
        <v>0</v>
      </c>
      <c r="E15" s="891">
        <v>0.37305699481865284</v>
      </c>
      <c r="F15" s="891">
        <v>0</v>
      </c>
      <c r="G15" s="891">
        <f t="shared" si="0"/>
        <v>61.927461139896373</v>
      </c>
      <c r="H15" s="891">
        <f t="shared" si="0"/>
        <v>0</v>
      </c>
      <c r="K15" s="891">
        <v>0.280612244897959</v>
      </c>
      <c r="L15" s="891">
        <v>0</v>
      </c>
      <c r="M15" s="891">
        <v>0.280612244897959</v>
      </c>
      <c r="N15" s="891">
        <v>0</v>
      </c>
      <c r="O15" s="891">
        <v>0.32653061224489799</v>
      </c>
      <c r="P15" s="891">
        <v>0</v>
      </c>
      <c r="Q15" s="891">
        <v>5.10204081632653E-2</v>
      </c>
      <c r="R15" s="891">
        <v>0</v>
      </c>
      <c r="S15" s="891">
        <v>1.53061224489796E-2</v>
      </c>
      <c r="T15" s="891">
        <v>0</v>
      </c>
      <c r="U15" s="891">
        <v>0</v>
      </c>
      <c r="V15" s="891">
        <v>0</v>
      </c>
      <c r="X15" s="891">
        <f t="shared" si="1"/>
        <v>46.581632653061192</v>
      </c>
      <c r="Y15" s="891">
        <f t="shared" si="1"/>
        <v>0</v>
      </c>
      <c r="Z15" s="891">
        <f t="shared" si="2"/>
        <v>46.581632653061192</v>
      </c>
      <c r="AA15" s="891">
        <f t="shared" si="2"/>
        <v>0</v>
      </c>
      <c r="AB15" s="891">
        <f t="shared" si="3"/>
        <v>54.204081632653065</v>
      </c>
      <c r="AC15" s="891">
        <f t="shared" si="3"/>
        <v>0</v>
      </c>
      <c r="AD15" s="891">
        <f t="shared" si="4"/>
        <v>8.4693877551020407</v>
      </c>
      <c r="AE15" s="891">
        <f t="shared" si="4"/>
        <v>0</v>
      </c>
      <c r="AF15" s="891">
        <f t="shared" si="5"/>
        <v>2.5408163265306136</v>
      </c>
      <c r="AG15" s="891">
        <f t="shared" si="5"/>
        <v>0</v>
      </c>
      <c r="AH15" s="891">
        <f t="shared" si="6"/>
        <v>0</v>
      </c>
      <c r="AI15" s="891">
        <f t="shared" si="6"/>
        <v>0</v>
      </c>
      <c r="AL15" s="891">
        <v>6.7669172932330796E-2</v>
      </c>
      <c r="AM15" s="891">
        <v>0</v>
      </c>
      <c r="AO15">
        <f t="shared" si="7"/>
        <v>11.233082706766911</v>
      </c>
      <c r="AP15">
        <f t="shared" si="7"/>
        <v>0</v>
      </c>
      <c r="AS15" s="892">
        <v>2.5510204081632699E-2</v>
      </c>
      <c r="AT15" s="892">
        <v>0</v>
      </c>
      <c r="AU15" s="892">
        <f t="shared" si="10"/>
        <v>-7.448979591836731E-2</v>
      </c>
      <c r="AV15" s="907">
        <f t="shared" si="10"/>
        <v>-0.1</v>
      </c>
      <c r="AX15">
        <f t="shared" si="11"/>
        <v>0</v>
      </c>
      <c r="AY15">
        <f t="shared" si="11"/>
        <v>0</v>
      </c>
      <c r="BA15" s="891">
        <v>0</v>
      </c>
      <c r="BC15">
        <f t="shared" si="12"/>
        <v>0</v>
      </c>
      <c r="BF15">
        <v>0</v>
      </c>
      <c r="BG15" s="891"/>
      <c r="BK15" s="1139">
        <f t="shared" si="13"/>
        <v>2.5510204081632699E-2</v>
      </c>
      <c r="BL15" s="1139">
        <f t="shared" si="14"/>
        <v>0</v>
      </c>
    </row>
    <row r="16" spans="1:64" ht="12.75" x14ac:dyDescent="0.2">
      <c r="A16" s="888" t="s">
        <v>22</v>
      </c>
      <c r="B16" s="889">
        <v>2432</v>
      </c>
      <c r="C16" s="890">
        <v>204</v>
      </c>
      <c r="D16" s="890">
        <v>0</v>
      </c>
      <c r="E16" s="891">
        <v>0.50202429149797567</v>
      </c>
      <c r="F16" s="891">
        <v>0</v>
      </c>
      <c r="G16" s="891">
        <f t="shared" si="0"/>
        <v>102.41295546558703</v>
      </c>
      <c r="H16" s="891">
        <f t="shared" si="0"/>
        <v>0</v>
      </c>
      <c r="K16" s="891">
        <v>0.23140495867768601</v>
      </c>
      <c r="L16" s="891">
        <v>0</v>
      </c>
      <c r="M16" s="891">
        <v>0.23553719008264501</v>
      </c>
      <c r="N16" s="891">
        <v>0</v>
      </c>
      <c r="O16" s="891">
        <v>0.330578512396694</v>
      </c>
      <c r="P16" s="891">
        <v>0</v>
      </c>
      <c r="Q16" s="891">
        <v>5.7851239669421503E-2</v>
      </c>
      <c r="R16" s="891">
        <v>0</v>
      </c>
      <c r="S16" s="891">
        <v>3.3057851239669402E-2</v>
      </c>
      <c r="T16" s="891">
        <v>0</v>
      </c>
      <c r="U16" s="891">
        <v>0</v>
      </c>
      <c r="V16" s="891">
        <v>0</v>
      </c>
      <c r="X16" s="891">
        <f t="shared" si="1"/>
        <v>47.206611570247944</v>
      </c>
      <c r="Y16" s="891">
        <f t="shared" si="1"/>
        <v>0</v>
      </c>
      <c r="Z16" s="891">
        <f t="shared" si="2"/>
        <v>48.049586776859584</v>
      </c>
      <c r="AA16" s="891">
        <f t="shared" si="2"/>
        <v>0</v>
      </c>
      <c r="AB16" s="891">
        <f t="shared" si="3"/>
        <v>67.438016528925573</v>
      </c>
      <c r="AC16" s="891">
        <f t="shared" si="3"/>
        <v>0</v>
      </c>
      <c r="AD16" s="891">
        <f t="shared" si="4"/>
        <v>11.801652892561986</v>
      </c>
      <c r="AE16" s="891">
        <f t="shared" si="4"/>
        <v>0</v>
      </c>
      <c r="AF16" s="891">
        <f t="shared" si="5"/>
        <v>6.7438016528925582</v>
      </c>
      <c r="AG16" s="891">
        <f t="shared" si="5"/>
        <v>0</v>
      </c>
      <c r="AH16" s="891">
        <f t="shared" si="6"/>
        <v>0</v>
      </c>
      <c r="AI16" s="891">
        <f t="shared" si="6"/>
        <v>0</v>
      </c>
      <c r="AL16" s="891">
        <v>2.9166666666666698E-2</v>
      </c>
      <c r="AM16" s="891">
        <v>0</v>
      </c>
      <c r="AO16">
        <f t="shared" si="7"/>
        <v>5.9500000000000064</v>
      </c>
      <c r="AP16">
        <f t="shared" si="7"/>
        <v>0</v>
      </c>
      <c r="AS16" s="892">
        <v>7.43801652892562E-2</v>
      </c>
      <c r="AT16" s="892">
        <v>0</v>
      </c>
      <c r="AU16" s="892">
        <f t="shared" si="10"/>
        <v>-2.5619834710743805E-2</v>
      </c>
      <c r="AV16" s="907">
        <f t="shared" si="10"/>
        <v>-0.1</v>
      </c>
      <c r="AX16">
        <f t="shared" si="11"/>
        <v>0</v>
      </c>
      <c r="AY16">
        <f t="shared" si="11"/>
        <v>0</v>
      </c>
      <c r="BA16" s="891">
        <v>4.048582995951417E-3</v>
      </c>
      <c r="BC16">
        <f t="shared" si="12"/>
        <v>0.82591093117408909</v>
      </c>
      <c r="BF16">
        <v>0</v>
      </c>
      <c r="BG16" s="891"/>
      <c r="BK16" s="1139">
        <f t="shared" si="13"/>
        <v>7.43801652892562E-2</v>
      </c>
      <c r="BL16" s="1139">
        <f t="shared" si="14"/>
        <v>0</v>
      </c>
    </row>
    <row r="17" spans="1:64" ht="12.75" x14ac:dyDescent="0.2">
      <c r="A17" s="888" t="s">
        <v>949</v>
      </c>
      <c r="B17" s="889">
        <v>2447</v>
      </c>
      <c r="C17" s="890">
        <v>424</v>
      </c>
      <c r="D17" s="890">
        <v>0</v>
      </c>
      <c r="E17" s="891">
        <v>0.36150234741784038</v>
      </c>
      <c r="F17" s="891">
        <v>0</v>
      </c>
      <c r="G17" s="891">
        <f t="shared" si="0"/>
        <v>153.27699530516432</v>
      </c>
      <c r="H17" s="891">
        <f t="shared" si="0"/>
        <v>0</v>
      </c>
      <c r="K17" s="891">
        <v>3.77358490566038E-2</v>
      </c>
      <c r="L17" s="891">
        <v>0</v>
      </c>
      <c r="M17" s="891">
        <v>0.35141509433962298</v>
      </c>
      <c r="N17" s="891">
        <v>0</v>
      </c>
      <c r="O17" s="891">
        <v>0.16273584905660399</v>
      </c>
      <c r="P17" s="891">
        <v>0</v>
      </c>
      <c r="Q17" s="891">
        <v>6.6037735849056603E-2</v>
      </c>
      <c r="R17" s="891">
        <v>0</v>
      </c>
      <c r="S17" s="891">
        <v>0.10141509433962299</v>
      </c>
      <c r="T17" s="891">
        <v>0</v>
      </c>
      <c r="U17" s="891">
        <v>0</v>
      </c>
      <c r="V17" s="891">
        <v>0</v>
      </c>
      <c r="X17" s="891">
        <f t="shared" si="1"/>
        <v>16.000000000000011</v>
      </c>
      <c r="Y17" s="891">
        <f t="shared" si="1"/>
        <v>0</v>
      </c>
      <c r="Z17" s="891">
        <f t="shared" si="2"/>
        <v>149.00000000000014</v>
      </c>
      <c r="AA17" s="891">
        <f t="shared" si="2"/>
        <v>0</v>
      </c>
      <c r="AB17" s="891">
        <f t="shared" si="3"/>
        <v>69.000000000000085</v>
      </c>
      <c r="AC17" s="891">
        <f t="shared" si="3"/>
        <v>0</v>
      </c>
      <c r="AD17" s="891">
        <f t="shared" si="4"/>
        <v>28</v>
      </c>
      <c r="AE17" s="891">
        <f t="shared" si="4"/>
        <v>0</v>
      </c>
      <c r="AF17" s="891">
        <f t="shared" si="5"/>
        <v>43.000000000000149</v>
      </c>
      <c r="AG17" s="891">
        <f t="shared" si="5"/>
        <v>0</v>
      </c>
      <c r="AH17" s="891">
        <f t="shared" si="6"/>
        <v>0</v>
      </c>
      <c r="AI17" s="891">
        <f t="shared" si="6"/>
        <v>0</v>
      </c>
      <c r="AL17" s="891">
        <v>5.6818181818181802E-2</v>
      </c>
      <c r="AM17" s="891">
        <v>0</v>
      </c>
      <c r="AO17">
        <f t="shared" si="7"/>
        <v>24.090909090909083</v>
      </c>
      <c r="AP17">
        <f t="shared" si="7"/>
        <v>0</v>
      </c>
      <c r="AS17" s="892">
        <v>0.43632075471698101</v>
      </c>
      <c r="AT17" s="892">
        <v>0</v>
      </c>
      <c r="AU17" s="892">
        <f t="shared" si="10"/>
        <v>0.33632075471698097</v>
      </c>
      <c r="AV17" s="907">
        <f t="shared" si="10"/>
        <v>-0.1</v>
      </c>
      <c r="AX17">
        <f t="shared" si="11"/>
        <v>142.59999999999994</v>
      </c>
      <c r="AY17">
        <f t="shared" si="11"/>
        <v>0</v>
      </c>
      <c r="BA17" s="891">
        <v>0</v>
      </c>
      <c r="BC17">
        <f t="shared" si="12"/>
        <v>0</v>
      </c>
      <c r="BF17">
        <v>0</v>
      </c>
      <c r="BG17" s="891"/>
      <c r="BK17" s="1139">
        <f t="shared" si="13"/>
        <v>0.43632075471698101</v>
      </c>
      <c r="BL17" s="1139">
        <f t="shared" si="14"/>
        <v>0</v>
      </c>
    </row>
    <row r="18" spans="1:64" ht="12.75" x14ac:dyDescent="0.2">
      <c r="A18" s="888" t="s">
        <v>23</v>
      </c>
      <c r="B18" s="889">
        <v>2512</v>
      </c>
      <c r="C18" s="890">
        <v>213</v>
      </c>
      <c r="D18" s="890">
        <v>0</v>
      </c>
      <c r="E18" s="891">
        <v>0.14691943127962084</v>
      </c>
      <c r="F18" s="891">
        <v>0</v>
      </c>
      <c r="G18" s="891">
        <f t="shared" si="0"/>
        <v>31.293838862559241</v>
      </c>
      <c r="H18" s="891">
        <f t="shared" si="0"/>
        <v>0</v>
      </c>
      <c r="K18" s="891">
        <v>6.19047619047619E-2</v>
      </c>
      <c r="L18" s="891">
        <v>0</v>
      </c>
      <c r="M18" s="891">
        <v>9.5238095238095195E-3</v>
      </c>
      <c r="N18" s="891">
        <v>0</v>
      </c>
      <c r="O18" s="891">
        <v>1.9047619047619001E-2</v>
      </c>
      <c r="P18" s="891">
        <v>0</v>
      </c>
      <c r="Q18" s="891">
        <v>9.5238095238095195E-3</v>
      </c>
      <c r="R18" s="891">
        <v>0</v>
      </c>
      <c r="S18" s="891">
        <v>0</v>
      </c>
      <c r="T18" s="891">
        <v>0</v>
      </c>
      <c r="U18" s="891">
        <v>0</v>
      </c>
      <c r="V18" s="891">
        <v>0</v>
      </c>
      <c r="X18" s="891">
        <f t="shared" si="1"/>
        <v>13.185714285714285</v>
      </c>
      <c r="Y18" s="891">
        <f t="shared" si="1"/>
        <v>0</v>
      </c>
      <c r="Z18" s="891">
        <f t="shared" si="2"/>
        <v>2.0285714285714276</v>
      </c>
      <c r="AA18" s="891">
        <f t="shared" si="2"/>
        <v>0</v>
      </c>
      <c r="AB18" s="891">
        <f t="shared" si="3"/>
        <v>4.0571428571428472</v>
      </c>
      <c r="AC18" s="891">
        <f t="shared" si="3"/>
        <v>0</v>
      </c>
      <c r="AD18" s="891">
        <f t="shared" si="4"/>
        <v>2.0285714285714276</v>
      </c>
      <c r="AE18" s="891">
        <f t="shared" si="4"/>
        <v>0</v>
      </c>
      <c r="AF18" s="891">
        <f t="shared" si="5"/>
        <v>0</v>
      </c>
      <c r="AG18" s="891">
        <f t="shared" si="5"/>
        <v>0</v>
      </c>
      <c r="AH18" s="891">
        <f t="shared" si="6"/>
        <v>0</v>
      </c>
      <c r="AI18" s="891">
        <f t="shared" si="6"/>
        <v>0</v>
      </c>
      <c r="AL18" s="891">
        <v>0.109289617486339</v>
      </c>
      <c r="AM18" s="891">
        <v>0</v>
      </c>
      <c r="AO18">
        <f t="shared" si="7"/>
        <v>23.278688524590208</v>
      </c>
      <c r="AP18">
        <f t="shared" si="7"/>
        <v>0</v>
      </c>
      <c r="AS18" s="892">
        <v>9.3896713615023497E-2</v>
      </c>
      <c r="AT18" s="892">
        <v>0</v>
      </c>
      <c r="AU18" s="892">
        <f t="shared" si="10"/>
        <v>-6.1032863849765084E-3</v>
      </c>
      <c r="AV18" s="907">
        <f t="shared" si="10"/>
        <v>-0.1</v>
      </c>
      <c r="AX18">
        <f t="shared" si="11"/>
        <v>0</v>
      </c>
      <c r="AY18">
        <f t="shared" si="11"/>
        <v>0</v>
      </c>
      <c r="BA18" s="891">
        <v>0</v>
      </c>
      <c r="BC18">
        <f t="shared" si="12"/>
        <v>0</v>
      </c>
      <c r="BF18">
        <v>0</v>
      </c>
      <c r="BG18" s="891"/>
      <c r="BK18" s="1139">
        <f t="shared" si="13"/>
        <v>9.3896713615023497E-2</v>
      </c>
      <c r="BL18" s="1139">
        <f t="shared" si="14"/>
        <v>0</v>
      </c>
    </row>
    <row r="19" spans="1:64" ht="12.75" x14ac:dyDescent="0.2">
      <c r="A19" s="888" t="s">
        <v>24</v>
      </c>
      <c r="B19" s="889">
        <v>2456</v>
      </c>
      <c r="C19" s="890">
        <v>176</v>
      </c>
      <c r="D19" s="890">
        <v>0</v>
      </c>
      <c r="E19" s="891">
        <v>0.10112359550561797</v>
      </c>
      <c r="F19" s="891">
        <v>0</v>
      </c>
      <c r="G19" s="891">
        <f t="shared" si="0"/>
        <v>17.797752808988765</v>
      </c>
      <c r="H19" s="891">
        <f t="shared" si="0"/>
        <v>0</v>
      </c>
      <c r="K19" s="891">
        <v>1.1428571428571401E-2</v>
      </c>
      <c r="L19" s="891">
        <v>0</v>
      </c>
      <c r="M19" s="891">
        <v>5.14285714285714E-2</v>
      </c>
      <c r="N19" s="891">
        <v>0</v>
      </c>
      <c r="O19" s="891">
        <v>1.1428571428571401E-2</v>
      </c>
      <c r="P19" s="891">
        <v>0</v>
      </c>
      <c r="Q19" s="891">
        <v>5.14285714285714E-2</v>
      </c>
      <c r="R19" s="891">
        <v>0</v>
      </c>
      <c r="S19" s="891">
        <v>0</v>
      </c>
      <c r="T19" s="891">
        <v>0</v>
      </c>
      <c r="U19" s="891">
        <v>0</v>
      </c>
      <c r="V19" s="891">
        <v>0</v>
      </c>
      <c r="X19" s="891">
        <f t="shared" si="1"/>
        <v>2.0114285714285667</v>
      </c>
      <c r="Y19" s="891">
        <f t="shared" si="1"/>
        <v>0</v>
      </c>
      <c r="Z19" s="891">
        <f t="shared" si="2"/>
        <v>9.0514285714285663</v>
      </c>
      <c r="AA19" s="891">
        <f t="shared" si="2"/>
        <v>0</v>
      </c>
      <c r="AB19" s="891">
        <f t="shared" si="3"/>
        <v>2.0114285714285667</v>
      </c>
      <c r="AC19" s="891">
        <f t="shared" si="3"/>
        <v>0</v>
      </c>
      <c r="AD19" s="891">
        <f t="shared" si="4"/>
        <v>9.0514285714285663</v>
      </c>
      <c r="AE19" s="891">
        <f t="shared" si="4"/>
        <v>0</v>
      </c>
      <c r="AF19" s="891">
        <f t="shared" si="5"/>
        <v>0</v>
      </c>
      <c r="AG19" s="891">
        <f t="shared" si="5"/>
        <v>0</v>
      </c>
      <c r="AH19" s="891">
        <f t="shared" si="6"/>
        <v>0</v>
      </c>
      <c r="AI19" s="891">
        <f t="shared" si="6"/>
        <v>0</v>
      </c>
      <c r="AL19" s="891">
        <v>0.22608695652173899</v>
      </c>
      <c r="AM19" s="891">
        <v>0</v>
      </c>
      <c r="AO19">
        <f t="shared" si="7"/>
        <v>39.791304347826063</v>
      </c>
      <c r="AP19">
        <f t="shared" si="7"/>
        <v>0</v>
      </c>
      <c r="AS19" s="892">
        <v>2.27272727272727E-2</v>
      </c>
      <c r="AT19" s="892">
        <v>0</v>
      </c>
      <c r="AU19" s="892">
        <f t="shared" si="10"/>
        <v>-7.7272727272727298E-2</v>
      </c>
      <c r="AV19" s="907">
        <f t="shared" si="10"/>
        <v>-0.1</v>
      </c>
      <c r="AX19">
        <f t="shared" si="11"/>
        <v>0</v>
      </c>
      <c r="AY19">
        <f t="shared" si="11"/>
        <v>0</v>
      </c>
      <c r="BA19" s="891">
        <v>5.6179775280898875E-3</v>
      </c>
      <c r="BC19">
        <f t="shared" si="12"/>
        <v>0.9887640449438202</v>
      </c>
      <c r="BF19">
        <v>0</v>
      </c>
      <c r="BG19" s="891"/>
      <c r="BK19" s="1139">
        <f t="shared" si="13"/>
        <v>2.27272727272727E-2</v>
      </c>
      <c r="BL19" s="1139">
        <f t="shared" si="14"/>
        <v>0</v>
      </c>
    </row>
    <row r="20" spans="1:64" ht="12.75" x14ac:dyDescent="0.2">
      <c r="A20" s="888" t="s">
        <v>25</v>
      </c>
      <c r="B20" s="889">
        <v>2449</v>
      </c>
      <c r="C20" s="890">
        <v>267</v>
      </c>
      <c r="D20" s="890">
        <v>0</v>
      </c>
      <c r="E20" s="891">
        <v>0.2</v>
      </c>
      <c r="F20" s="891">
        <v>0</v>
      </c>
      <c r="G20" s="891">
        <f t="shared" si="0"/>
        <v>53.400000000000006</v>
      </c>
      <c r="H20" s="891">
        <f t="shared" si="0"/>
        <v>0</v>
      </c>
      <c r="K20" s="891">
        <v>4.8689138576778999E-2</v>
      </c>
      <c r="L20" s="891">
        <v>0</v>
      </c>
      <c r="M20" s="891">
        <v>0.16853932584269701</v>
      </c>
      <c r="N20" s="891">
        <v>0</v>
      </c>
      <c r="O20" s="891">
        <v>0.116104868913858</v>
      </c>
      <c r="P20" s="891">
        <v>0</v>
      </c>
      <c r="Q20" s="891">
        <v>2.6217228464419502E-2</v>
      </c>
      <c r="R20" s="891">
        <v>0</v>
      </c>
      <c r="S20" s="891">
        <v>3.3707865168539297E-2</v>
      </c>
      <c r="T20" s="891">
        <v>0</v>
      </c>
      <c r="U20" s="891">
        <v>0</v>
      </c>
      <c r="V20" s="891">
        <v>0</v>
      </c>
      <c r="X20" s="891">
        <f t="shared" si="1"/>
        <v>12.999999999999993</v>
      </c>
      <c r="Y20" s="891">
        <f t="shared" si="1"/>
        <v>0</v>
      </c>
      <c r="Z20" s="891">
        <f t="shared" si="2"/>
        <v>45.000000000000099</v>
      </c>
      <c r="AA20" s="891">
        <f t="shared" si="2"/>
        <v>0</v>
      </c>
      <c r="AB20" s="891">
        <f t="shared" si="3"/>
        <v>31.000000000000085</v>
      </c>
      <c r="AC20" s="891">
        <f t="shared" si="3"/>
        <v>0</v>
      </c>
      <c r="AD20" s="891">
        <f t="shared" si="4"/>
        <v>7.0000000000000071</v>
      </c>
      <c r="AE20" s="891">
        <f t="shared" si="4"/>
        <v>0</v>
      </c>
      <c r="AF20" s="891">
        <f t="shared" si="5"/>
        <v>8.9999999999999929</v>
      </c>
      <c r="AG20" s="891">
        <f t="shared" si="5"/>
        <v>0</v>
      </c>
      <c r="AH20" s="891">
        <f t="shared" si="6"/>
        <v>0</v>
      </c>
      <c r="AI20" s="891">
        <f t="shared" si="6"/>
        <v>0</v>
      </c>
      <c r="AL20" s="891">
        <v>3.3519553072625698E-2</v>
      </c>
      <c r="AM20" s="891">
        <v>0</v>
      </c>
      <c r="AO20">
        <f t="shared" si="7"/>
        <v>8.949720670391061</v>
      </c>
      <c r="AP20">
        <f t="shared" si="7"/>
        <v>0</v>
      </c>
      <c r="AS20" s="892">
        <v>1.1235955056179799E-2</v>
      </c>
      <c r="AT20" s="892">
        <v>0</v>
      </c>
      <c r="AU20" s="892">
        <f t="shared" si="10"/>
        <v>-8.8764044943820203E-2</v>
      </c>
      <c r="AV20" s="907">
        <f t="shared" si="10"/>
        <v>-0.1</v>
      </c>
      <c r="AX20">
        <f t="shared" si="11"/>
        <v>0</v>
      </c>
      <c r="AY20">
        <f t="shared" si="11"/>
        <v>0</v>
      </c>
      <c r="BA20" s="891">
        <v>0</v>
      </c>
      <c r="BC20">
        <f t="shared" si="12"/>
        <v>0</v>
      </c>
      <c r="BF20">
        <v>0</v>
      </c>
      <c r="BG20" s="891"/>
      <c r="BK20" s="1139">
        <f t="shared" si="13"/>
        <v>1.1235955056179799E-2</v>
      </c>
      <c r="BL20" s="1139">
        <f t="shared" si="14"/>
        <v>0</v>
      </c>
    </row>
    <row r="21" spans="1:64" ht="12.75" x14ac:dyDescent="0.2">
      <c r="A21" s="888" t="s">
        <v>26</v>
      </c>
      <c r="B21" s="889">
        <v>2448</v>
      </c>
      <c r="C21" s="890">
        <v>345</v>
      </c>
      <c r="D21" s="890">
        <v>0</v>
      </c>
      <c r="E21" s="891">
        <v>0.35240963855421686</v>
      </c>
      <c r="F21" s="891">
        <v>0</v>
      </c>
      <c r="G21" s="891">
        <f t="shared" si="0"/>
        <v>121.58132530120481</v>
      </c>
      <c r="H21" s="891">
        <f t="shared" si="0"/>
        <v>0</v>
      </c>
      <c r="K21" s="891">
        <v>5.5072463768115899E-2</v>
      </c>
      <c r="L21" s="891">
        <v>0</v>
      </c>
      <c r="M21" s="891">
        <v>0.173913043478261</v>
      </c>
      <c r="N21" s="891">
        <v>0</v>
      </c>
      <c r="O21" s="891">
        <v>0.12463768115942001</v>
      </c>
      <c r="P21" s="891">
        <v>0</v>
      </c>
      <c r="Q21" s="891">
        <v>1.7391304347826101E-2</v>
      </c>
      <c r="R21" s="891">
        <v>0</v>
      </c>
      <c r="S21" s="891">
        <v>3.7681159420289899E-2</v>
      </c>
      <c r="T21" s="891">
        <v>0</v>
      </c>
      <c r="U21" s="891">
        <v>0</v>
      </c>
      <c r="V21" s="891">
        <v>0</v>
      </c>
      <c r="X21" s="891">
        <f t="shared" si="1"/>
        <v>18.999999999999986</v>
      </c>
      <c r="Y21" s="891">
        <f t="shared" si="1"/>
        <v>0</v>
      </c>
      <c r="Z21" s="891">
        <f t="shared" si="2"/>
        <v>60.00000000000005</v>
      </c>
      <c r="AA21" s="891">
        <f t="shared" si="2"/>
        <v>0</v>
      </c>
      <c r="AB21" s="891">
        <f t="shared" si="3"/>
        <v>42.999999999999901</v>
      </c>
      <c r="AC21" s="891">
        <f t="shared" si="3"/>
        <v>0</v>
      </c>
      <c r="AD21" s="891">
        <f t="shared" si="4"/>
        <v>6.0000000000000044</v>
      </c>
      <c r="AE21" s="891">
        <f t="shared" si="4"/>
        <v>0</v>
      </c>
      <c r="AF21" s="891">
        <f t="shared" si="5"/>
        <v>13.000000000000016</v>
      </c>
      <c r="AG21" s="891">
        <f t="shared" si="5"/>
        <v>0</v>
      </c>
      <c r="AH21" s="891">
        <f t="shared" si="6"/>
        <v>0</v>
      </c>
      <c r="AI21" s="891">
        <f t="shared" si="6"/>
        <v>0</v>
      </c>
      <c r="AL21" s="891">
        <v>1.1695906432748499E-2</v>
      </c>
      <c r="AM21" s="891">
        <v>0</v>
      </c>
      <c r="AO21">
        <f t="shared" si="7"/>
        <v>4.0350877192982324</v>
      </c>
      <c r="AP21">
        <f t="shared" si="7"/>
        <v>0</v>
      </c>
      <c r="AS21" s="892">
        <v>3.7681159420289899E-2</v>
      </c>
      <c r="AT21" s="892">
        <v>0</v>
      </c>
      <c r="AU21" s="892">
        <f t="shared" si="10"/>
        <v>-6.2318840579710107E-2</v>
      </c>
      <c r="AV21" s="907">
        <f t="shared" si="10"/>
        <v>-0.1</v>
      </c>
      <c r="AX21">
        <f t="shared" si="11"/>
        <v>0</v>
      </c>
      <c r="AY21">
        <f t="shared" si="11"/>
        <v>0</v>
      </c>
      <c r="BA21" s="891">
        <v>0</v>
      </c>
      <c r="BC21">
        <f t="shared" si="12"/>
        <v>0</v>
      </c>
      <c r="BF21">
        <v>0</v>
      </c>
      <c r="BG21" s="891"/>
      <c r="BK21" s="1139">
        <f t="shared" si="13"/>
        <v>3.7681159420289899E-2</v>
      </c>
      <c r="BL21" s="1139">
        <f t="shared" si="14"/>
        <v>0</v>
      </c>
    </row>
    <row r="22" spans="1:64" ht="12.75" x14ac:dyDescent="0.2">
      <c r="A22" s="908" t="s">
        <v>126</v>
      </c>
      <c r="B22" s="909">
        <v>2467</v>
      </c>
      <c r="C22" s="890">
        <v>338</v>
      </c>
      <c r="D22" s="890">
        <v>0</v>
      </c>
      <c r="E22" s="891">
        <v>0.28908554572271389</v>
      </c>
      <c r="F22" s="891">
        <v>0</v>
      </c>
      <c r="G22" s="891">
        <f t="shared" si="0"/>
        <v>97.710914454277301</v>
      </c>
      <c r="H22" s="891">
        <f t="shared" si="0"/>
        <v>0</v>
      </c>
      <c r="K22" s="891">
        <v>0.16320474777448099</v>
      </c>
      <c r="L22" s="891">
        <v>0</v>
      </c>
      <c r="M22" s="891">
        <v>5.3412462908011903E-2</v>
      </c>
      <c r="N22" s="891">
        <v>0</v>
      </c>
      <c r="O22" s="891">
        <v>0.27596439169139497</v>
      </c>
      <c r="P22" s="891">
        <v>0</v>
      </c>
      <c r="Q22" s="891">
        <v>1.78041543026706E-2</v>
      </c>
      <c r="R22" s="891">
        <v>0</v>
      </c>
      <c r="S22" s="891">
        <v>4.7477744807121698E-2</v>
      </c>
      <c r="T22" s="891">
        <v>0</v>
      </c>
      <c r="U22" s="891">
        <v>0</v>
      </c>
      <c r="V22" s="891">
        <v>0</v>
      </c>
      <c r="X22" s="891">
        <f t="shared" si="1"/>
        <v>55.163204747774572</v>
      </c>
      <c r="Y22" s="891">
        <f t="shared" si="1"/>
        <v>0</v>
      </c>
      <c r="Z22" s="891">
        <f t="shared" si="2"/>
        <v>18.053412462908025</v>
      </c>
      <c r="AA22" s="891">
        <f t="shared" si="2"/>
        <v>0</v>
      </c>
      <c r="AB22" s="891">
        <f t="shared" si="3"/>
        <v>93.275964391691502</v>
      </c>
      <c r="AC22" s="891">
        <f t="shared" si="3"/>
        <v>0</v>
      </c>
      <c r="AD22" s="891">
        <f t="shared" si="4"/>
        <v>6.017804154302663</v>
      </c>
      <c r="AE22" s="891">
        <f t="shared" si="4"/>
        <v>0</v>
      </c>
      <c r="AF22" s="891">
        <f t="shared" si="5"/>
        <v>16.047477744807136</v>
      </c>
      <c r="AG22" s="891">
        <f t="shared" si="5"/>
        <v>0</v>
      </c>
      <c r="AH22" s="891">
        <f t="shared" si="6"/>
        <v>0</v>
      </c>
      <c r="AI22" s="891">
        <f t="shared" si="6"/>
        <v>0</v>
      </c>
      <c r="AL22" s="891">
        <v>4.6511627906976702E-2</v>
      </c>
      <c r="AM22" s="891">
        <v>0</v>
      </c>
      <c r="AO22">
        <f t="shared" si="7"/>
        <v>15.720930232558125</v>
      </c>
      <c r="AP22">
        <f t="shared" si="7"/>
        <v>0</v>
      </c>
      <c r="AS22" s="892">
        <v>4.1420118343195297E-2</v>
      </c>
      <c r="AT22" s="892">
        <v>0</v>
      </c>
      <c r="AU22" s="892">
        <f t="shared" si="10"/>
        <v>-5.8579881656804708E-2</v>
      </c>
      <c r="AV22" s="907">
        <f t="shared" si="10"/>
        <v>-0.1</v>
      </c>
      <c r="AX22">
        <f t="shared" si="11"/>
        <v>0</v>
      </c>
      <c r="AY22">
        <f t="shared" si="11"/>
        <v>0</v>
      </c>
      <c r="BA22" s="891">
        <v>0</v>
      </c>
      <c r="BC22">
        <f t="shared" si="12"/>
        <v>0</v>
      </c>
      <c r="BF22">
        <v>0</v>
      </c>
      <c r="BG22" s="891"/>
      <c r="BK22" s="1139">
        <f t="shared" si="13"/>
        <v>4.1420118343195297E-2</v>
      </c>
      <c r="BL22" s="1139">
        <f t="shared" si="14"/>
        <v>0</v>
      </c>
    </row>
    <row r="23" spans="1:64" ht="12.75" x14ac:dyDescent="0.2">
      <c r="A23" s="910" t="s">
        <v>75</v>
      </c>
      <c r="B23" s="911">
        <v>5402</v>
      </c>
      <c r="C23" s="890">
        <v>0</v>
      </c>
      <c r="D23" s="890">
        <v>1318</v>
      </c>
      <c r="E23" s="891">
        <v>0</v>
      </c>
      <c r="F23" s="891">
        <v>0.15105740181268881</v>
      </c>
      <c r="G23" s="891">
        <f t="shared" si="0"/>
        <v>0</v>
      </c>
      <c r="H23" s="891">
        <f t="shared" si="0"/>
        <v>199.09365558912384</v>
      </c>
      <c r="K23" s="891">
        <v>0</v>
      </c>
      <c r="L23" s="891">
        <v>4.5592705167173302E-3</v>
      </c>
      <c r="M23" s="891">
        <v>0</v>
      </c>
      <c r="N23" s="891">
        <v>0.10790273556231</v>
      </c>
      <c r="O23" s="891">
        <v>0</v>
      </c>
      <c r="P23" s="891">
        <v>1.97568389057751E-2</v>
      </c>
      <c r="Q23" s="891">
        <v>0</v>
      </c>
      <c r="R23" s="891">
        <v>1.3677811550152E-2</v>
      </c>
      <c r="S23" s="891">
        <v>0</v>
      </c>
      <c r="T23" s="891">
        <v>1.5197568389057801E-3</v>
      </c>
      <c r="U23" s="891">
        <v>0</v>
      </c>
      <c r="V23" s="891">
        <v>0</v>
      </c>
      <c r="X23" s="891">
        <f t="shared" si="1"/>
        <v>0</v>
      </c>
      <c r="Y23" s="891">
        <f t="shared" si="1"/>
        <v>6.0091185410334411</v>
      </c>
      <c r="Z23" s="891">
        <f t="shared" si="2"/>
        <v>0</v>
      </c>
      <c r="AA23" s="891">
        <f t="shared" si="2"/>
        <v>142.21580547112458</v>
      </c>
      <c r="AB23" s="891">
        <f t="shared" si="3"/>
        <v>0</v>
      </c>
      <c r="AC23" s="891">
        <f t="shared" si="3"/>
        <v>26.039513677811581</v>
      </c>
      <c r="AD23" s="891">
        <f t="shared" si="4"/>
        <v>0</v>
      </c>
      <c r="AE23" s="891">
        <f t="shared" si="4"/>
        <v>18.027355623100338</v>
      </c>
      <c r="AF23" s="891">
        <f t="shared" si="5"/>
        <v>0</v>
      </c>
      <c r="AG23" s="891">
        <f t="shared" si="5"/>
        <v>2.0030395136778183</v>
      </c>
      <c r="AH23" s="891">
        <f t="shared" si="6"/>
        <v>0</v>
      </c>
      <c r="AI23" s="891">
        <f t="shared" si="6"/>
        <v>0</v>
      </c>
      <c r="AL23" s="891">
        <v>0</v>
      </c>
      <c r="AM23" s="891">
        <v>1.44376899696049E-2</v>
      </c>
      <c r="AO23">
        <f t="shared" si="7"/>
        <v>0</v>
      </c>
      <c r="AP23">
        <f t="shared" si="7"/>
        <v>19.028875379939258</v>
      </c>
      <c r="AS23" s="892">
        <v>0</v>
      </c>
      <c r="AT23" s="892">
        <v>2.04855842185129E-2</v>
      </c>
      <c r="AU23" s="892">
        <f t="shared" si="10"/>
        <v>-0.1</v>
      </c>
      <c r="AV23" s="907">
        <f t="shared" si="10"/>
        <v>-7.9514415781487102E-2</v>
      </c>
      <c r="AX23">
        <f t="shared" si="11"/>
        <v>0</v>
      </c>
      <c r="AY23">
        <f t="shared" si="11"/>
        <v>0</v>
      </c>
      <c r="BA23" s="891">
        <v>5.287009063444109E-3</v>
      </c>
      <c r="BC23">
        <f>BA23*D23</f>
        <v>6.9682779456193353</v>
      </c>
      <c r="BF23">
        <v>0.135899450117832</v>
      </c>
      <c r="BG23" s="891">
        <f>BF23*D23</f>
        <v>179.11547525530258</v>
      </c>
      <c r="BK23" s="1139">
        <f t="shared" si="13"/>
        <v>0</v>
      </c>
      <c r="BL23" s="1139">
        <f t="shared" si="14"/>
        <v>2.04855842185129E-2</v>
      </c>
    </row>
    <row r="24" spans="1:64" ht="12.75" x14ac:dyDescent="0.2">
      <c r="A24" s="888" t="s">
        <v>28</v>
      </c>
      <c r="B24" s="889">
        <v>2455</v>
      </c>
      <c r="C24" s="890">
        <v>354</v>
      </c>
      <c r="D24" s="890">
        <v>0</v>
      </c>
      <c r="E24" s="891">
        <v>0.12640449438202248</v>
      </c>
      <c r="F24" s="891">
        <v>0</v>
      </c>
      <c r="G24" s="891">
        <f t="shared" si="0"/>
        <v>44.747191011235955</v>
      </c>
      <c r="H24" s="891">
        <f t="shared" si="0"/>
        <v>0</v>
      </c>
      <c r="K24" s="891">
        <v>2.8571428571428602E-3</v>
      </c>
      <c r="L24" s="891">
        <v>0</v>
      </c>
      <c r="M24" s="891">
        <v>0.23142857142857101</v>
      </c>
      <c r="N24" s="891">
        <v>0</v>
      </c>
      <c r="O24" s="891">
        <v>3.7142857142857102E-2</v>
      </c>
      <c r="P24" s="891">
        <v>0</v>
      </c>
      <c r="Q24" s="891">
        <v>2.57142857142857E-2</v>
      </c>
      <c r="R24" s="891">
        <v>0</v>
      </c>
      <c r="S24" s="891">
        <v>5.7142857142857099E-3</v>
      </c>
      <c r="T24" s="891">
        <v>0</v>
      </c>
      <c r="U24" s="891">
        <v>0</v>
      </c>
      <c r="V24" s="891">
        <v>0</v>
      </c>
      <c r="X24" s="891">
        <f t="shared" si="1"/>
        <v>1.0114285714285725</v>
      </c>
      <c r="Y24" s="891">
        <f t="shared" si="1"/>
        <v>0</v>
      </c>
      <c r="Z24" s="891">
        <f t="shared" si="2"/>
        <v>81.925714285714136</v>
      </c>
      <c r="AA24" s="891">
        <f t="shared" si="2"/>
        <v>0</v>
      </c>
      <c r="AB24" s="891">
        <f t="shared" si="3"/>
        <v>13.148571428571413</v>
      </c>
      <c r="AC24" s="891">
        <f t="shared" si="3"/>
        <v>0</v>
      </c>
      <c r="AD24" s="891">
        <f t="shared" si="4"/>
        <v>9.1028571428571379</v>
      </c>
      <c r="AE24" s="891">
        <f t="shared" si="4"/>
        <v>0</v>
      </c>
      <c r="AF24" s="891">
        <f t="shared" si="5"/>
        <v>2.0228571428571414</v>
      </c>
      <c r="AG24" s="891">
        <f t="shared" si="5"/>
        <v>0</v>
      </c>
      <c r="AH24" s="891">
        <f t="shared" si="6"/>
        <v>0</v>
      </c>
      <c r="AI24" s="891">
        <f t="shared" si="6"/>
        <v>0</v>
      </c>
      <c r="AL24" s="891">
        <v>7.2649572649572697E-2</v>
      </c>
      <c r="AM24" s="891">
        <v>0</v>
      </c>
      <c r="AO24">
        <f t="shared" si="7"/>
        <v>25.717948717948733</v>
      </c>
      <c r="AP24">
        <f t="shared" si="7"/>
        <v>0</v>
      </c>
      <c r="AS24" s="892">
        <v>3.3898305084745797E-2</v>
      </c>
      <c r="AT24" s="892">
        <v>0</v>
      </c>
      <c r="AU24" s="892">
        <f t="shared" si="10"/>
        <v>-6.6101694915254208E-2</v>
      </c>
      <c r="AV24" s="907">
        <f t="shared" si="10"/>
        <v>-0.1</v>
      </c>
      <c r="AX24">
        <f t="shared" si="11"/>
        <v>0</v>
      </c>
      <c r="AY24">
        <f t="shared" si="11"/>
        <v>0</v>
      </c>
      <c r="BA24" s="891">
        <v>0</v>
      </c>
      <c r="BC24">
        <f>BA24*C24</f>
        <v>0</v>
      </c>
      <c r="BF24">
        <v>0</v>
      </c>
      <c r="BG24" s="891"/>
      <c r="BK24" s="1139">
        <f t="shared" si="13"/>
        <v>3.3898305084745797E-2</v>
      </c>
      <c r="BL24" s="1139">
        <f t="shared" si="14"/>
        <v>0</v>
      </c>
    </row>
    <row r="25" spans="1:64" ht="12.75" x14ac:dyDescent="0.2">
      <c r="A25" s="888" t="s">
        <v>29</v>
      </c>
      <c r="B25" s="889">
        <v>5203</v>
      </c>
      <c r="C25" s="890">
        <v>491</v>
      </c>
      <c r="D25" s="890">
        <v>0</v>
      </c>
      <c r="E25" s="891">
        <v>0.19461697722567287</v>
      </c>
      <c r="F25" s="891">
        <v>0</v>
      </c>
      <c r="G25" s="891">
        <f t="shared" si="0"/>
        <v>95.556935817805382</v>
      </c>
      <c r="H25" s="891">
        <f t="shared" si="0"/>
        <v>0</v>
      </c>
      <c r="K25" s="891">
        <v>0</v>
      </c>
      <c r="L25" s="891">
        <v>0</v>
      </c>
      <c r="M25" s="891">
        <v>0.21030927835051499</v>
      </c>
      <c r="N25" s="891">
        <v>0</v>
      </c>
      <c r="O25" s="891">
        <v>2.06185567010309E-2</v>
      </c>
      <c r="P25" s="891">
        <v>0</v>
      </c>
      <c r="Q25" s="891">
        <v>1.4432989690721701E-2</v>
      </c>
      <c r="R25" s="891">
        <v>0</v>
      </c>
      <c r="S25" s="891">
        <v>2.0618556701030898E-3</v>
      </c>
      <c r="T25" s="891">
        <v>0</v>
      </c>
      <c r="U25" s="891">
        <v>0</v>
      </c>
      <c r="V25" s="891">
        <v>0</v>
      </c>
      <c r="X25" s="891">
        <f t="shared" si="1"/>
        <v>0</v>
      </c>
      <c r="Y25" s="891">
        <f t="shared" si="1"/>
        <v>0</v>
      </c>
      <c r="Z25" s="891">
        <f t="shared" si="2"/>
        <v>103.26185567010286</v>
      </c>
      <c r="AA25" s="891">
        <f t="shared" si="2"/>
        <v>0</v>
      </c>
      <c r="AB25" s="891">
        <f t="shared" si="3"/>
        <v>10.123711340206171</v>
      </c>
      <c r="AC25" s="891">
        <f t="shared" si="3"/>
        <v>0</v>
      </c>
      <c r="AD25" s="891">
        <f t="shared" si="4"/>
        <v>7.0865979381443553</v>
      </c>
      <c r="AE25" s="891">
        <f t="shared" si="4"/>
        <v>0</v>
      </c>
      <c r="AF25" s="891">
        <f t="shared" si="5"/>
        <v>1.0123711340206172</v>
      </c>
      <c r="AG25" s="891">
        <f t="shared" si="5"/>
        <v>0</v>
      </c>
      <c r="AH25" s="891">
        <f t="shared" si="6"/>
        <v>0</v>
      </c>
      <c r="AI25" s="891">
        <f t="shared" si="6"/>
        <v>0</v>
      </c>
      <c r="AL25" s="891">
        <v>1.6359918200408999E-2</v>
      </c>
      <c r="AM25" s="891">
        <v>0</v>
      </c>
      <c r="AO25">
        <f t="shared" si="7"/>
        <v>8.032719836400819</v>
      </c>
      <c r="AP25">
        <f t="shared" si="7"/>
        <v>0</v>
      </c>
      <c r="AS25" s="892">
        <v>3.0549898167006099E-2</v>
      </c>
      <c r="AT25" s="892">
        <v>0</v>
      </c>
      <c r="AU25" s="892">
        <f t="shared" si="10"/>
        <v>-6.945010183299391E-2</v>
      </c>
      <c r="AV25" s="907">
        <f t="shared" si="10"/>
        <v>-0.1</v>
      </c>
      <c r="AX25">
        <f t="shared" si="11"/>
        <v>0</v>
      </c>
      <c r="AY25">
        <f t="shared" si="11"/>
        <v>0</v>
      </c>
      <c r="BA25" s="891">
        <v>2.070393374741201E-3</v>
      </c>
      <c r="BC25">
        <f>BA25*C25</f>
        <v>1.0165631469979297</v>
      </c>
      <c r="BF25">
        <v>0</v>
      </c>
      <c r="BG25" s="891"/>
      <c r="BK25" s="1139">
        <f t="shared" si="13"/>
        <v>3.0549898167006099E-2</v>
      </c>
      <c r="BL25" s="1139">
        <f t="shared" si="14"/>
        <v>0</v>
      </c>
    </row>
    <row r="26" spans="1:64" ht="12.75" x14ac:dyDescent="0.2">
      <c r="A26" s="888" t="s">
        <v>30</v>
      </c>
      <c r="B26" s="889">
        <v>2451</v>
      </c>
      <c r="C26" s="890">
        <v>508</v>
      </c>
      <c r="D26" s="890">
        <v>0</v>
      </c>
      <c r="E26" s="891">
        <v>0.19624217118997914</v>
      </c>
      <c r="F26" s="891">
        <v>0</v>
      </c>
      <c r="G26" s="891">
        <f t="shared" si="0"/>
        <v>99.691022964509401</v>
      </c>
      <c r="H26" s="891">
        <f t="shared" si="0"/>
        <v>0</v>
      </c>
      <c r="K26" s="891">
        <v>0.30511811023621999</v>
      </c>
      <c r="L26" s="891">
        <v>0</v>
      </c>
      <c r="M26" s="891">
        <v>2.7559055118110201E-2</v>
      </c>
      <c r="N26" s="891">
        <v>0</v>
      </c>
      <c r="O26" s="891">
        <v>0.15551181102362199</v>
      </c>
      <c r="P26" s="891">
        <v>0</v>
      </c>
      <c r="Q26" s="891">
        <v>9.8425196850393699E-3</v>
      </c>
      <c r="R26" s="891">
        <v>0</v>
      </c>
      <c r="S26" s="891">
        <v>1.3779527559055101E-2</v>
      </c>
      <c r="T26" s="891">
        <v>0</v>
      </c>
      <c r="U26" s="891">
        <v>0</v>
      </c>
      <c r="V26" s="891">
        <v>0</v>
      </c>
      <c r="X26" s="891">
        <f t="shared" si="1"/>
        <v>154.99999999999974</v>
      </c>
      <c r="Y26" s="891">
        <f t="shared" si="1"/>
        <v>0</v>
      </c>
      <c r="Z26" s="891">
        <f t="shared" si="2"/>
        <v>13.999999999999982</v>
      </c>
      <c r="AA26" s="891">
        <f t="shared" si="2"/>
        <v>0</v>
      </c>
      <c r="AB26" s="891">
        <f t="shared" si="3"/>
        <v>78.999999999999972</v>
      </c>
      <c r="AC26" s="891">
        <f t="shared" si="3"/>
        <v>0</v>
      </c>
      <c r="AD26" s="891">
        <f t="shared" si="4"/>
        <v>5</v>
      </c>
      <c r="AE26" s="891">
        <f t="shared" si="4"/>
        <v>0</v>
      </c>
      <c r="AF26" s="891">
        <f t="shared" si="5"/>
        <v>6.9999999999999911</v>
      </c>
      <c r="AG26" s="891">
        <f t="shared" si="5"/>
        <v>0</v>
      </c>
      <c r="AH26" s="891">
        <f t="shared" si="6"/>
        <v>0</v>
      </c>
      <c r="AI26" s="891">
        <f t="shared" si="6"/>
        <v>0</v>
      </c>
      <c r="AL26" s="891">
        <v>2.10280373831776E-2</v>
      </c>
      <c r="AM26" s="891">
        <v>0</v>
      </c>
      <c r="AO26">
        <f t="shared" si="7"/>
        <v>10.68224299065422</v>
      </c>
      <c r="AP26">
        <f t="shared" si="7"/>
        <v>0</v>
      </c>
      <c r="AS26" s="892">
        <v>6.4960629921259797E-2</v>
      </c>
      <c r="AT26" s="892">
        <v>0</v>
      </c>
      <c r="AU26" s="892">
        <f t="shared" si="10"/>
        <v>-3.5039370078740209E-2</v>
      </c>
      <c r="AV26" s="907">
        <f t="shared" si="10"/>
        <v>-0.1</v>
      </c>
      <c r="AX26">
        <f t="shared" si="11"/>
        <v>0</v>
      </c>
      <c r="AY26">
        <f t="shared" si="11"/>
        <v>0</v>
      </c>
      <c r="BA26" s="891">
        <v>0</v>
      </c>
      <c r="BC26">
        <f>BA26*C26</f>
        <v>0</v>
      </c>
      <c r="BF26">
        <v>0</v>
      </c>
      <c r="BG26" s="891"/>
      <c r="BK26" s="1139">
        <f t="shared" si="13"/>
        <v>6.4960629921259797E-2</v>
      </c>
      <c r="BL26" s="1139">
        <f t="shared" si="14"/>
        <v>0</v>
      </c>
    </row>
    <row r="27" spans="1:64" ht="12.75" x14ac:dyDescent="0.2">
      <c r="A27" s="888" t="s">
        <v>68</v>
      </c>
      <c r="B27" s="889">
        <v>4608</v>
      </c>
      <c r="C27" s="890">
        <v>0</v>
      </c>
      <c r="D27" s="890">
        <v>555</v>
      </c>
      <c r="E27" s="891">
        <v>0</v>
      </c>
      <c r="F27" s="891">
        <v>0.59380692167577409</v>
      </c>
      <c r="G27" s="891">
        <f t="shared" si="0"/>
        <v>0</v>
      </c>
      <c r="H27" s="891">
        <f t="shared" si="0"/>
        <v>329.56284153005464</v>
      </c>
      <c r="K27" s="891">
        <v>0</v>
      </c>
      <c r="L27" s="891">
        <v>8.6486486486486505E-2</v>
      </c>
      <c r="M27" s="891">
        <v>0</v>
      </c>
      <c r="N27" s="891">
        <v>0.20900900900900901</v>
      </c>
      <c r="O27" s="891">
        <v>0</v>
      </c>
      <c r="P27" s="891">
        <v>0.124324324324324</v>
      </c>
      <c r="Q27" s="891">
        <v>0</v>
      </c>
      <c r="R27" s="891">
        <v>0.2</v>
      </c>
      <c r="S27" s="891">
        <v>0</v>
      </c>
      <c r="T27" s="891">
        <v>0.205405405405405</v>
      </c>
      <c r="U27" s="891">
        <v>0</v>
      </c>
      <c r="V27" s="891">
        <v>0</v>
      </c>
      <c r="X27" s="891">
        <f t="shared" si="1"/>
        <v>0</v>
      </c>
      <c r="Y27" s="891">
        <f t="shared" si="1"/>
        <v>48.000000000000007</v>
      </c>
      <c r="Z27" s="891">
        <f t="shared" si="2"/>
        <v>0</v>
      </c>
      <c r="AA27" s="891">
        <f t="shared" si="2"/>
        <v>116</v>
      </c>
      <c r="AB27" s="891">
        <f t="shared" si="3"/>
        <v>0</v>
      </c>
      <c r="AC27" s="891">
        <f t="shared" si="3"/>
        <v>68.999999999999815</v>
      </c>
      <c r="AD27" s="891">
        <f t="shared" si="4"/>
        <v>0</v>
      </c>
      <c r="AE27" s="891">
        <f t="shared" si="4"/>
        <v>111</v>
      </c>
      <c r="AF27" s="891">
        <f t="shared" si="5"/>
        <v>0</v>
      </c>
      <c r="AG27" s="891">
        <f t="shared" si="5"/>
        <v>113.99999999999977</v>
      </c>
      <c r="AH27" s="891">
        <f t="shared" si="6"/>
        <v>0</v>
      </c>
      <c r="AI27" s="891">
        <f t="shared" si="6"/>
        <v>0</v>
      </c>
      <c r="AL27" s="891">
        <v>0</v>
      </c>
      <c r="AM27" s="891">
        <v>2.1621621621621599E-2</v>
      </c>
      <c r="AO27">
        <f t="shared" si="7"/>
        <v>0</v>
      </c>
      <c r="AP27">
        <f t="shared" si="7"/>
        <v>11.999999999999988</v>
      </c>
      <c r="AS27" s="892">
        <v>0</v>
      </c>
      <c r="AT27" s="892">
        <v>6.6666666666666693E-2</v>
      </c>
      <c r="AU27" s="892">
        <f t="shared" si="10"/>
        <v>-0.1</v>
      </c>
      <c r="AV27" s="907">
        <f t="shared" si="10"/>
        <v>-3.3333333333333312E-2</v>
      </c>
      <c r="AX27">
        <f t="shared" si="11"/>
        <v>0</v>
      </c>
      <c r="AY27">
        <f t="shared" si="11"/>
        <v>0</v>
      </c>
      <c r="BA27" s="891">
        <v>5.4644808743169399E-3</v>
      </c>
      <c r="BC27">
        <f>BA27*D27</f>
        <v>3.0327868852459017</v>
      </c>
      <c r="BF27">
        <v>0.314711359404097</v>
      </c>
      <c r="BG27" s="891">
        <f>BF27*D27</f>
        <v>174.66480446927383</v>
      </c>
      <c r="BK27" s="1139">
        <f t="shared" si="13"/>
        <v>0</v>
      </c>
      <c r="BL27" s="1139">
        <f t="shared" si="14"/>
        <v>6.6666666666666693E-2</v>
      </c>
    </row>
    <row r="28" spans="1:64" ht="12.75" x14ac:dyDescent="0.2">
      <c r="A28" s="888" t="s">
        <v>31</v>
      </c>
      <c r="B28" s="889">
        <v>2409</v>
      </c>
      <c r="C28" s="890">
        <v>544</v>
      </c>
      <c r="D28" s="890">
        <v>0</v>
      </c>
      <c r="E28" s="891">
        <v>0.31272727272727274</v>
      </c>
      <c r="F28" s="891">
        <v>0</v>
      </c>
      <c r="G28" s="891">
        <f t="shared" si="0"/>
        <v>170.12363636363636</v>
      </c>
      <c r="H28" s="891">
        <f t="shared" si="0"/>
        <v>0</v>
      </c>
      <c r="K28" s="891">
        <v>4.4117647058823498E-2</v>
      </c>
      <c r="L28" s="891">
        <v>0</v>
      </c>
      <c r="M28" s="891">
        <v>1.8382352941176501E-3</v>
      </c>
      <c r="N28" s="891">
        <v>0</v>
      </c>
      <c r="O28" s="891">
        <v>0.51654411764705899</v>
      </c>
      <c r="P28" s="891">
        <v>0</v>
      </c>
      <c r="Q28" s="891">
        <v>0.159926470588235</v>
      </c>
      <c r="R28" s="891">
        <v>0</v>
      </c>
      <c r="S28" s="891">
        <v>5.5147058823529398E-3</v>
      </c>
      <c r="T28" s="891">
        <v>0</v>
      </c>
      <c r="U28" s="891">
        <v>0</v>
      </c>
      <c r="V28" s="891">
        <v>0</v>
      </c>
      <c r="X28" s="891">
        <f t="shared" si="1"/>
        <v>23.999999999999982</v>
      </c>
      <c r="Y28" s="891">
        <f t="shared" si="1"/>
        <v>0</v>
      </c>
      <c r="Z28" s="891">
        <f t="shared" si="2"/>
        <v>1.0000000000000016</v>
      </c>
      <c r="AA28" s="891">
        <f t="shared" si="2"/>
        <v>0</v>
      </c>
      <c r="AB28" s="891">
        <f t="shared" si="3"/>
        <v>281.00000000000011</v>
      </c>
      <c r="AC28" s="891">
        <f t="shared" si="3"/>
        <v>0</v>
      </c>
      <c r="AD28" s="891">
        <f t="shared" si="4"/>
        <v>86.999999999999844</v>
      </c>
      <c r="AE28" s="891">
        <f t="shared" si="4"/>
        <v>0</v>
      </c>
      <c r="AF28" s="891">
        <f t="shared" si="5"/>
        <v>2.9999999999999991</v>
      </c>
      <c r="AG28" s="891">
        <f t="shared" si="5"/>
        <v>0</v>
      </c>
      <c r="AH28" s="891">
        <f t="shared" si="6"/>
        <v>0</v>
      </c>
      <c r="AI28" s="891">
        <f t="shared" si="6"/>
        <v>0</v>
      </c>
      <c r="AL28" s="891">
        <v>0.38580931263858098</v>
      </c>
      <c r="AM28" s="891">
        <v>0</v>
      </c>
      <c r="AO28">
        <f t="shared" si="7"/>
        <v>209.88026607538805</v>
      </c>
      <c r="AP28">
        <f t="shared" si="7"/>
        <v>0</v>
      </c>
      <c r="AS28" s="892">
        <v>8.8235294117647106E-2</v>
      </c>
      <c r="AT28" s="892">
        <v>0</v>
      </c>
      <c r="AU28" s="892">
        <f t="shared" si="10"/>
        <v>-1.1764705882352899E-2</v>
      </c>
      <c r="AV28" s="907">
        <f t="shared" si="10"/>
        <v>-0.1</v>
      </c>
      <c r="AX28">
        <f t="shared" si="11"/>
        <v>0</v>
      </c>
      <c r="AY28">
        <f t="shared" si="11"/>
        <v>0</v>
      </c>
      <c r="BA28" s="891">
        <v>0</v>
      </c>
      <c r="BC28">
        <f>BA28*C28</f>
        <v>0</v>
      </c>
      <c r="BF28">
        <v>0</v>
      </c>
      <c r="BG28" s="891"/>
      <c r="BK28" s="1139">
        <f t="shared" ref="BK28:BK85" si="15">AS28</f>
        <v>8.8235294117647106E-2</v>
      </c>
      <c r="BL28" s="1139">
        <f t="shared" ref="BL28:BL85" si="16">AT28</f>
        <v>0</v>
      </c>
    </row>
    <row r="29" spans="1:64" ht="12.75" x14ac:dyDescent="0.2">
      <c r="A29" s="888" t="s">
        <v>111</v>
      </c>
      <c r="B29" s="889">
        <v>4178</v>
      </c>
      <c r="C29" s="890">
        <v>0</v>
      </c>
      <c r="D29" s="890">
        <v>1293</v>
      </c>
      <c r="E29" s="891">
        <v>0</v>
      </c>
      <c r="F29" s="891">
        <v>0.39421613394216132</v>
      </c>
      <c r="G29" s="891">
        <f t="shared" si="0"/>
        <v>0</v>
      </c>
      <c r="H29" s="891">
        <f t="shared" si="0"/>
        <v>509.72146118721457</v>
      </c>
      <c r="K29" s="891">
        <v>0</v>
      </c>
      <c r="L29" s="891">
        <v>5.1162790697674397E-2</v>
      </c>
      <c r="M29" s="891">
        <v>0</v>
      </c>
      <c r="N29" s="891">
        <v>7.2093023255814001E-2</v>
      </c>
      <c r="O29" s="891">
        <v>0</v>
      </c>
      <c r="P29" s="891">
        <v>0.31627906976744202</v>
      </c>
      <c r="Q29" s="891">
        <v>0</v>
      </c>
      <c r="R29" s="891">
        <v>0.24728682170542601</v>
      </c>
      <c r="S29" s="891">
        <v>0</v>
      </c>
      <c r="T29" s="891">
        <v>2.2480620155038801E-2</v>
      </c>
      <c r="U29" s="891">
        <v>0</v>
      </c>
      <c r="V29" s="891">
        <v>0</v>
      </c>
      <c r="X29" s="891">
        <f t="shared" si="1"/>
        <v>0</v>
      </c>
      <c r="Y29" s="891">
        <f t="shared" si="1"/>
        <v>66.153488372092994</v>
      </c>
      <c r="Z29" s="891">
        <f t="shared" si="2"/>
        <v>0</v>
      </c>
      <c r="AA29" s="891">
        <f t="shared" si="2"/>
        <v>93.216279069767509</v>
      </c>
      <c r="AB29" s="891">
        <f t="shared" si="3"/>
        <v>0</v>
      </c>
      <c r="AC29" s="891">
        <f t="shared" si="3"/>
        <v>408.94883720930255</v>
      </c>
      <c r="AD29" s="891">
        <f t="shared" si="4"/>
        <v>0</v>
      </c>
      <c r="AE29" s="891">
        <f t="shared" si="4"/>
        <v>319.74186046511585</v>
      </c>
      <c r="AF29" s="891">
        <f t="shared" si="5"/>
        <v>0</v>
      </c>
      <c r="AG29" s="891">
        <f t="shared" si="5"/>
        <v>29.06744186046517</v>
      </c>
      <c r="AH29" s="891">
        <f t="shared" si="6"/>
        <v>0</v>
      </c>
      <c r="AI29" s="891">
        <f t="shared" si="6"/>
        <v>0</v>
      </c>
      <c r="AL29" s="891">
        <v>0</v>
      </c>
      <c r="AM29" s="891">
        <v>3.2659409020217703E-2</v>
      </c>
      <c r="AO29">
        <f t="shared" si="7"/>
        <v>0</v>
      </c>
      <c r="AP29">
        <f t="shared" si="7"/>
        <v>42.228615863141492</v>
      </c>
      <c r="AS29" s="892">
        <v>0</v>
      </c>
      <c r="AT29" s="892">
        <v>6.65119876256767E-2</v>
      </c>
      <c r="AU29" s="892">
        <f t="shared" si="10"/>
        <v>-0.1</v>
      </c>
      <c r="AV29" s="907">
        <f t="shared" si="10"/>
        <v>-3.3488012374323306E-2</v>
      </c>
      <c r="AX29">
        <f t="shared" si="11"/>
        <v>0</v>
      </c>
      <c r="AY29">
        <f t="shared" si="11"/>
        <v>0</v>
      </c>
      <c r="BA29" s="891">
        <v>6.8493150684931503E-3</v>
      </c>
      <c r="BC29">
        <f>BA29*D29</f>
        <v>8.8561643835616426</v>
      </c>
      <c r="BF29">
        <v>0.241185897435897</v>
      </c>
      <c r="BG29" s="891">
        <f>BF29*D29</f>
        <v>311.85336538461479</v>
      </c>
      <c r="BK29" s="1139">
        <f t="shared" si="15"/>
        <v>0</v>
      </c>
      <c r="BL29" s="1139">
        <f t="shared" si="16"/>
        <v>6.65119876256767E-2</v>
      </c>
    </row>
    <row r="30" spans="1:64" ht="12.75" x14ac:dyDescent="0.2">
      <c r="A30" s="888" t="s">
        <v>98</v>
      </c>
      <c r="B30" s="889">
        <v>3158</v>
      </c>
      <c r="C30" s="890">
        <v>120</v>
      </c>
      <c r="D30" s="890">
        <v>0</v>
      </c>
      <c r="E30" s="891">
        <v>0.3</v>
      </c>
      <c r="F30" s="891">
        <v>0</v>
      </c>
      <c r="G30" s="891">
        <f t="shared" si="0"/>
        <v>36</v>
      </c>
      <c r="H30" s="891">
        <f t="shared" si="0"/>
        <v>0</v>
      </c>
      <c r="K30" s="891">
        <v>0.28333333333333299</v>
      </c>
      <c r="L30" s="891">
        <v>0</v>
      </c>
      <c r="M30" s="891">
        <v>1.6666666666666701E-2</v>
      </c>
      <c r="N30" s="891">
        <v>0</v>
      </c>
      <c r="O30" s="891">
        <v>0.46666666666666701</v>
      </c>
      <c r="P30" s="891">
        <v>0</v>
      </c>
      <c r="Q30" s="891">
        <v>0.133333333333333</v>
      </c>
      <c r="R30" s="891">
        <v>0</v>
      </c>
      <c r="S30" s="891">
        <v>3.3333333333333298E-2</v>
      </c>
      <c r="T30" s="891">
        <v>0</v>
      </c>
      <c r="U30" s="891">
        <v>0</v>
      </c>
      <c r="V30" s="891">
        <v>0</v>
      </c>
      <c r="X30" s="891">
        <f t="shared" si="1"/>
        <v>33.999999999999957</v>
      </c>
      <c r="Y30" s="891">
        <f t="shared" si="1"/>
        <v>0</v>
      </c>
      <c r="Z30" s="891">
        <f t="shared" si="2"/>
        <v>2.000000000000004</v>
      </c>
      <c r="AA30" s="891">
        <f t="shared" si="2"/>
        <v>0</v>
      </c>
      <c r="AB30" s="891">
        <f t="shared" si="3"/>
        <v>56.000000000000043</v>
      </c>
      <c r="AC30" s="891">
        <f t="shared" si="3"/>
        <v>0</v>
      </c>
      <c r="AD30" s="891">
        <f t="shared" si="4"/>
        <v>15.999999999999959</v>
      </c>
      <c r="AE30" s="891">
        <f t="shared" si="4"/>
        <v>0</v>
      </c>
      <c r="AF30" s="891">
        <f t="shared" si="5"/>
        <v>3.9999999999999956</v>
      </c>
      <c r="AG30" s="891">
        <f t="shared" si="5"/>
        <v>0</v>
      </c>
      <c r="AH30" s="891">
        <f t="shared" si="6"/>
        <v>0</v>
      </c>
      <c r="AI30" s="891">
        <f t="shared" si="6"/>
        <v>0</v>
      </c>
      <c r="AL30" s="891">
        <v>0.911392405063291</v>
      </c>
      <c r="AM30" s="891">
        <v>0</v>
      </c>
      <c r="AO30">
        <f t="shared" si="7"/>
        <v>109.36708860759492</v>
      </c>
      <c r="AP30">
        <f t="shared" si="7"/>
        <v>0</v>
      </c>
      <c r="AS30" s="892">
        <v>3.3333333333333298E-2</v>
      </c>
      <c r="AT30" s="892">
        <v>0</v>
      </c>
      <c r="AU30" s="892">
        <f t="shared" si="10"/>
        <v>-6.6666666666666707E-2</v>
      </c>
      <c r="AV30" s="907">
        <f t="shared" si="10"/>
        <v>-0.1</v>
      </c>
      <c r="AX30">
        <f t="shared" si="11"/>
        <v>0</v>
      </c>
      <c r="AY30">
        <f t="shared" si="11"/>
        <v>0</v>
      </c>
      <c r="BA30" s="891">
        <v>0</v>
      </c>
      <c r="BC30">
        <f t="shared" ref="BC30:BC39" si="17">BA30*C30</f>
        <v>0</v>
      </c>
      <c r="BF30">
        <v>0</v>
      </c>
      <c r="BG30" s="891"/>
      <c r="BK30" s="1139">
        <f t="shared" si="15"/>
        <v>3.3333333333333298E-2</v>
      </c>
      <c r="BL30" s="1139">
        <f t="shared" si="16"/>
        <v>0</v>
      </c>
    </row>
    <row r="31" spans="1:64" ht="12.75" x14ac:dyDescent="0.2">
      <c r="A31" s="888" t="s">
        <v>32</v>
      </c>
      <c r="B31" s="889">
        <v>2619</v>
      </c>
      <c r="C31" s="890">
        <v>221.08333333333331</v>
      </c>
      <c r="D31" s="890">
        <v>0</v>
      </c>
      <c r="E31" s="891">
        <v>0.63285024154589375</v>
      </c>
      <c r="F31" s="891">
        <v>0</v>
      </c>
      <c r="G31" s="891">
        <f t="shared" si="0"/>
        <v>139.91264090177134</v>
      </c>
      <c r="H31" s="891">
        <f t="shared" si="0"/>
        <v>0</v>
      </c>
      <c r="K31" s="891">
        <v>0.21568627450980399</v>
      </c>
      <c r="L31" s="891">
        <v>0</v>
      </c>
      <c r="M31" s="891">
        <v>4.9019607843137303E-2</v>
      </c>
      <c r="N31" s="891">
        <v>0</v>
      </c>
      <c r="O31" s="891">
        <v>9.8039215686274508E-3</v>
      </c>
      <c r="P31" s="891">
        <v>0</v>
      </c>
      <c r="Q31" s="891">
        <v>0.43137254901960798</v>
      </c>
      <c r="R31" s="891">
        <v>0</v>
      </c>
      <c r="S31" s="891">
        <v>0.28921568627451</v>
      </c>
      <c r="T31" s="891">
        <v>0</v>
      </c>
      <c r="U31" s="891">
        <v>0</v>
      </c>
      <c r="V31" s="891">
        <v>0</v>
      </c>
      <c r="X31" s="891">
        <f t="shared" si="1"/>
        <v>47.684640522875824</v>
      </c>
      <c r="Y31" s="891">
        <f t="shared" si="1"/>
        <v>0</v>
      </c>
      <c r="Z31" s="891">
        <f t="shared" si="2"/>
        <v>10.837418300653605</v>
      </c>
      <c r="AA31" s="891">
        <f t="shared" si="2"/>
        <v>0</v>
      </c>
      <c r="AB31" s="891">
        <f t="shared" si="3"/>
        <v>2.1674836601307188</v>
      </c>
      <c r="AC31" s="891">
        <f t="shared" si="3"/>
        <v>0</v>
      </c>
      <c r="AD31" s="891">
        <f t="shared" si="4"/>
        <v>95.369281045751649</v>
      </c>
      <c r="AE31" s="891">
        <f t="shared" si="4"/>
        <v>0</v>
      </c>
      <c r="AF31" s="891">
        <f t="shared" si="5"/>
        <v>63.940767973856246</v>
      </c>
      <c r="AG31" s="891">
        <f t="shared" si="5"/>
        <v>0</v>
      </c>
      <c r="AH31" s="891">
        <f t="shared" si="6"/>
        <v>0</v>
      </c>
      <c r="AI31" s="891">
        <f t="shared" si="6"/>
        <v>0</v>
      </c>
      <c r="AL31" s="891">
        <v>0.112359550561798</v>
      </c>
      <c r="AM31" s="891">
        <v>0</v>
      </c>
      <c r="AO31">
        <f t="shared" si="7"/>
        <v>24.840823970037505</v>
      </c>
      <c r="AP31">
        <f t="shared" si="7"/>
        <v>0</v>
      </c>
      <c r="AS31" s="892">
        <v>8.5714285714285701E-2</v>
      </c>
      <c r="AT31" s="892">
        <v>0</v>
      </c>
      <c r="AU31" s="892">
        <f t="shared" si="10"/>
        <v>-1.4285714285714304E-2</v>
      </c>
      <c r="AV31" s="907">
        <f t="shared" si="10"/>
        <v>-0.1</v>
      </c>
      <c r="AX31">
        <f t="shared" si="11"/>
        <v>0</v>
      </c>
      <c r="AY31">
        <f t="shared" si="11"/>
        <v>0</v>
      </c>
      <c r="BA31" s="891">
        <v>4.830917874396135E-3</v>
      </c>
      <c r="BC31">
        <f t="shared" si="17"/>
        <v>1.0680354267310788</v>
      </c>
      <c r="BF31">
        <v>0</v>
      </c>
      <c r="BG31" s="891"/>
      <c r="BK31" s="1139">
        <f t="shared" si="15"/>
        <v>8.5714285714285701E-2</v>
      </c>
      <c r="BL31" s="1139">
        <f t="shared" si="16"/>
        <v>0</v>
      </c>
    </row>
    <row r="32" spans="1:64" ht="12.75" x14ac:dyDescent="0.2">
      <c r="A32" s="888" t="s">
        <v>33</v>
      </c>
      <c r="B32" s="889">
        <v>2518</v>
      </c>
      <c r="C32" s="890">
        <v>315</v>
      </c>
      <c r="D32" s="890">
        <v>0</v>
      </c>
      <c r="E32" s="891">
        <v>0.51453488372093026</v>
      </c>
      <c r="F32" s="891">
        <v>0</v>
      </c>
      <c r="G32" s="891">
        <f t="shared" si="0"/>
        <v>162.07848837209303</v>
      </c>
      <c r="H32" s="891">
        <f t="shared" si="0"/>
        <v>0</v>
      </c>
      <c r="K32" s="891">
        <v>5.0793650793650801E-2</v>
      </c>
      <c r="L32" s="891">
        <v>0</v>
      </c>
      <c r="M32" s="891">
        <v>0.101587301587302</v>
      </c>
      <c r="N32" s="891">
        <v>0</v>
      </c>
      <c r="O32" s="891">
        <v>0.56507936507936496</v>
      </c>
      <c r="P32" s="891">
        <v>0</v>
      </c>
      <c r="Q32" s="891">
        <v>0.17142857142857101</v>
      </c>
      <c r="R32" s="891">
        <v>0</v>
      </c>
      <c r="S32" s="891">
        <v>6.9841269841269801E-2</v>
      </c>
      <c r="T32" s="891">
        <v>0</v>
      </c>
      <c r="U32" s="891">
        <v>0</v>
      </c>
      <c r="V32" s="891">
        <v>0</v>
      </c>
      <c r="X32" s="891">
        <f t="shared" si="1"/>
        <v>16.000000000000004</v>
      </c>
      <c r="Y32" s="891">
        <f t="shared" si="1"/>
        <v>0</v>
      </c>
      <c r="Z32" s="891">
        <f t="shared" si="2"/>
        <v>32.000000000000128</v>
      </c>
      <c r="AA32" s="891">
        <f t="shared" si="2"/>
        <v>0</v>
      </c>
      <c r="AB32" s="891">
        <f t="shared" si="3"/>
        <v>177.99999999999997</v>
      </c>
      <c r="AC32" s="891">
        <f t="shared" si="3"/>
        <v>0</v>
      </c>
      <c r="AD32" s="891">
        <f t="shared" si="4"/>
        <v>53.999999999999872</v>
      </c>
      <c r="AE32" s="891">
        <f t="shared" si="4"/>
        <v>0</v>
      </c>
      <c r="AF32" s="891">
        <f t="shared" si="5"/>
        <v>21.999999999999986</v>
      </c>
      <c r="AG32" s="891">
        <f t="shared" si="5"/>
        <v>0</v>
      </c>
      <c r="AH32" s="891">
        <f t="shared" si="6"/>
        <v>0</v>
      </c>
      <c r="AI32" s="891">
        <f t="shared" si="6"/>
        <v>0</v>
      </c>
      <c r="AL32" s="891">
        <v>0.48188405797101402</v>
      </c>
      <c r="AM32" s="891">
        <v>0</v>
      </c>
      <c r="AO32">
        <f t="shared" si="7"/>
        <v>151.79347826086942</v>
      </c>
      <c r="AP32">
        <f t="shared" si="7"/>
        <v>0</v>
      </c>
      <c r="AS32" s="892">
        <v>0.32380952380952399</v>
      </c>
      <c r="AT32" s="892">
        <v>0</v>
      </c>
      <c r="AU32" s="892">
        <f t="shared" si="10"/>
        <v>0.22380952380952399</v>
      </c>
      <c r="AV32" s="907">
        <f t="shared" si="10"/>
        <v>-0.1</v>
      </c>
      <c r="AX32">
        <f t="shared" si="11"/>
        <v>70.500000000000057</v>
      </c>
      <c r="AY32">
        <f t="shared" si="11"/>
        <v>0</v>
      </c>
      <c r="BA32" s="891">
        <v>5.8139534883720929E-3</v>
      </c>
      <c r="BC32">
        <f t="shared" si="17"/>
        <v>1.8313953488372092</v>
      </c>
      <c r="BF32">
        <v>0</v>
      </c>
      <c r="BG32" s="891"/>
      <c r="BK32" s="1139">
        <f t="shared" si="15"/>
        <v>0.32380952380952399</v>
      </c>
      <c r="BL32" s="1139">
        <f t="shared" si="16"/>
        <v>0</v>
      </c>
    </row>
    <row r="33" spans="1:64" ht="12.75" x14ac:dyDescent="0.2">
      <c r="A33" s="888" t="s">
        <v>34</v>
      </c>
      <c r="B33" s="889">
        <v>2457</v>
      </c>
      <c r="C33" s="890">
        <v>366</v>
      </c>
      <c r="D33" s="890">
        <v>0</v>
      </c>
      <c r="E33" s="891">
        <v>0.23076923076923078</v>
      </c>
      <c r="F33" s="891">
        <v>0</v>
      </c>
      <c r="G33" s="891">
        <f t="shared" si="0"/>
        <v>84.461538461538467</v>
      </c>
      <c r="H33" s="891">
        <f t="shared" si="0"/>
        <v>0</v>
      </c>
      <c r="K33" s="891">
        <v>8.4931506849315094E-2</v>
      </c>
      <c r="L33" s="891">
        <v>0</v>
      </c>
      <c r="M33" s="891">
        <v>0.219178082191781</v>
      </c>
      <c r="N33" s="891">
        <v>0</v>
      </c>
      <c r="O33" s="891">
        <v>8.2191780821917804E-2</v>
      </c>
      <c r="P33" s="891">
        <v>0</v>
      </c>
      <c r="Q33" s="891">
        <v>4.65753424657534E-2</v>
      </c>
      <c r="R33" s="891">
        <v>0</v>
      </c>
      <c r="S33" s="891">
        <v>1.0958904109589E-2</v>
      </c>
      <c r="T33" s="891">
        <v>0</v>
      </c>
      <c r="U33" s="891">
        <v>0</v>
      </c>
      <c r="V33" s="891">
        <v>0</v>
      </c>
      <c r="X33" s="891">
        <f t="shared" si="1"/>
        <v>31.084931506849326</v>
      </c>
      <c r="Y33" s="891">
        <f t="shared" si="1"/>
        <v>0</v>
      </c>
      <c r="Z33" s="891">
        <f t="shared" si="2"/>
        <v>80.219178082191846</v>
      </c>
      <c r="AA33" s="891">
        <f t="shared" si="2"/>
        <v>0</v>
      </c>
      <c r="AB33" s="891">
        <f t="shared" si="3"/>
        <v>30.082191780821915</v>
      </c>
      <c r="AC33" s="891">
        <f t="shared" si="3"/>
        <v>0</v>
      </c>
      <c r="AD33" s="891">
        <f t="shared" si="4"/>
        <v>17.046575342465744</v>
      </c>
      <c r="AE33" s="891">
        <f t="shared" si="4"/>
        <v>0</v>
      </c>
      <c r="AF33" s="891">
        <f t="shared" si="5"/>
        <v>4.0109589041095735</v>
      </c>
      <c r="AG33" s="891">
        <f t="shared" si="5"/>
        <v>0</v>
      </c>
      <c r="AH33" s="891">
        <f t="shared" si="6"/>
        <v>0</v>
      </c>
      <c r="AI33" s="891">
        <f t="shared" si="6"/>
        <v>0</v>
      </c>
      <c r="AL33" s="891">
        <v>0.10655737704918</v>
      </c>
      <c r="AM33" s="891">
        <v>0</v>
      </c>
      <c r="AO33">
        <f t="shared" si="7"/>
        <v>38.999999999999879</v>
      </c>
      <c r="AP33">
        <f t="shared" si="7"/>
        <v>0</v>
      </c>
      <c r="AS33" s="892">
        <v>4.91803278688525E-2</v>
      </c>
      <c r="AT33" s="892">
        <v>0</v>
      </c>
      <c r="AU33" s="892">
        <f t="shared" si="10"/>
        <v>-5.0819672131147506E-2</v>
      </c>
      <c r="AV33" s="907">
        <f t="shared" si="10"/>
        <v>-0.1</v>
      </c>
      <c r="AX33">
        <f t="shared" si="11"/>
        <v>0</v>
      </c>
      <c r="AY33">
        <f t="shared" si="11"/>
        <v>0</v>
      </c>
      <c r="BA33" s="891">
        <v>1.3736263736263736E-2</v>
      </c>
      <c r="BC33">
        <f t="shared" si="17"/>
        <v>5.0274725274725274</v>
      </c>
      <c r="BF33">
        <v>0</v>
      </c>
      <c r="BG33" s="891"/>
      <c r="BK33" s="1139">
        <f t="shared" si="15"/>
        <v>4.91803278688525E-2</v>
      </c>
      <c r="BL33" s="1139">
        <f t="shared" si="16"/>
        <v>0</v>
      </c>
    </row>
    <row r="34" spans="1:64" ht="12.75" x14ac:dyDescent="0.2">
      <c r="A34" s="888" t="s">
        <v>950</v>
      </c>
      <c r="B34" s="27">
        <v>2010</v>
      </c>
      <c r="C34" s="890">
        <v>211</v>
      </c>
      <c r="D34" s="890">
        <v>0</v>
      </c>
      <c r="E34" s="891">
        <v>0.54455445544554459</v>
      </c>
      <c r="F34" s="891">
        <v>0</v>
      </c>
      <c r="G34" s="891">
        <f t="shared" si="0"/>
        <v>114.9009900990099</v>
      </c>
      <c r="H34" s="891">
        <f t="shared" si="0"/>
        <v>0</v>
      </c>
      <c r="K34" s="891">
        <v>0</v>
      </c>
      <c r="L34" s="891">
        <v>0</v>
      </c>
      <c r="M34" s="891">
        <v>0.11848341232227499</v>
      </c>
      <c r="N34" s="891">
        <v>0</v>
      </c>
      <c r="O34" s="891">
        <v>0.66350710900473897</v>
      </c>
      <c r="P34" s="891">
        <v>0</v>
      </c>
      <c r="Q34" s="891">
        <v>3.7914691943128E-2</v>
      </c>
      <c r="R34" s="891">
        <v>0</v>
      </c>
      <c r="S34" s="891">
        <v>9.4786729857819899E-2</v>
      </c>
      <c r="T34" s="891">
        <v>0</v>
      </c>
      <c r="U34" s="891">
        <v>0</v>
      </c>
      <c r="V34" s="891">
        <v>0</v>
      </c>
      <c r="X34" s="891">
        <f t="shared" si="1"/>
        <v>0</v>
      </c>
      <c r="Y34" s="891">
        <f t="shared" si="1"/>
        <v>0</v>
      </c>
      <c r="Z34" s="891">
        <f t="shared" si="2"/>
        <v>25.000000000000025</v>
      </c>
      <c r="AA34" s="891">
        <f t="shared" si="2"/>
        <v>0</v>
      </c>
      <c r="AB34" s="891">
        <f t="shared" si="3"/>
        <v>139.99999999999991</v>
      </c>
      <c r="AC34" s="891">
        <f t="shared" si="3"/>
        <v>0</v>
      </c>
      <c r="AD34" s="891">
        <f t="shared" si="4"/>
        <v>8.0000000000000071</v>
      </c>
      <c r="AE34" s="891">
        <f t="shared" si="4"/>
        <v>0</v>
      </c>
      <c r="AF34" s="891">
        <f t="shared" si="5"/>
        <v>20</v>
      </c>
      <c r="AG34" s="891">
        <f t="shared" si="5"/>
        <v>0</v>
      </c>
      <c r="AH34" s="891">
        <f t="shared" si="6"/>
        <v>0</v>
      </c>
      <c r="AI34" s="891">
        <f t="shared" si="6"/>
        <v>0</v>
      </c>
      <c r="AL34" s="891">
        <v>0.17777777777777801</v>
      </c>
      <c r="AM34" s="891">
        <v>0</v>
      </c>
      <c r="AO34">
        <f t="shared" si="7"/>
        <v>37.511111111111163</v>
      </c>
      <c r="AP34">
        <f t="shared" si="7"/>
        <v>0</v>
      </c>
      <c r="AS34" s="892">
        <v>0.559241706161137</v>
      </c>
      <c r="AT34" s="892">
        <v>0</v>
      </c>
      <c r="AU34" s="892">
        <f t="shared" si="10"/>
        <v>0.45924170616113702</v>
      </c>
      <c r="AV34" s="907">
        <f t="shared" si="10"/>
        <v>-0.1</v>
      </c>
      <c r="AX34">
        <f t="shared" si="11"/>
        <v>96.899999999999906</v>
      </c>
      <c r="AY34">
        <f t="shared" si="11"/>
        <v>0</v>
      </c>
      <c r="BA34" s="891">
        <v>0</v>
      </c>
      <c r="BC34">
        <f t="shared" si="17"/>
        <v>0</v>
      </c>
      <c r="BF34">
        <v>0</v>
      </c>
      <c r="BG34" s="891"/>
      <c r="BK34" s="1139">
        <f t="shared" si="15"/>
        <v>0.559241706161137</v>
      </c>
      <c r="BL34" s="1139">
        <f t="shared" si="16"/>
        <v>0</v>
      </c>
    </row>
    <row r="35" spans="1:64" ht="12.75" x14ac:dyDescent="0.2">
      <c r="A35" s="888" t="s">
        <v>35</v>
      </c>
      <c r="B35" s="889">
        <v>2002</v>
      </c>
      <c r="C35" s="890">
        <v>430</v>
      </c>
      <c r="D35" s="890">
        <v>0</v>
      </c>
      <c r="E35" s="891">
        <v>0.10023310023310024</v>
      </c>
      <c r="F35" s="891">
        <v>0</v>
      </c>
      <c r="G35" s="891">
        <f t="shared" ref="G35:H66" si="18">E35*C35</f>
        <v>43.100233100233105</v>
      </c>
      <c r="H35" s="891">
        <f t="shared" si="18"/>
        <v>0</v>
      </c>
      <c r="K35" s="891">
        <v>7.0257611241217799E-3</v>
      </c>
      <c r="L35" s="891">
        <v>0</v>
      </c>
      <c r="M35" s="891">
        <v>7.0257611241217799E-3</v>
      </c>
      <c r="N35" s="891">
        <v>0</v>
      </c>
      <c r="O35" s="891">
        <v>0</v>
      </c>
      <c r="P35" s="891">
        <v>0</v>
      </c>
      <c r="Q35" s="891">
        <v>1.40515222482436E-2</v>
      </c>
      <c r="R35" s="891">
        <v>0</v>
      </c>
      <c r="S35" s="891">
        <v>0</v>
      </c>
      <c r="T35" s="891">
        <v>0</v>
      </c>
      <c r="U35" s="891">
        <v>0</v>
      </c>
      <c r="V35" s="891">
        <v>0</v>
      </c>
      <c r="X35" s="891">
        <f t="shared" ref="X35:Y66" si="19">K35*C35</f>
        <v>3.0210772833723651</v>
      </c>
      <c r="Y35" s="891">
        <f t="shared" si="19"/>
        <v>0</v>
      </c>
      <c r="Z35" s="891">
        <f t="shared" ref="Z35:AA66" si="20">M35*C35</f>
        <v>3.0210772833723651</v>
      </c>
      <c r="AA35" s="891">
        <f t="shared" si="20"/>
        <v>0</v>
      </c>
      <c r="AB35" s="891">
        <f t="shared" ref="AB35:AC66" si="21">O35*C35</f>
        <v>0</v>
      </c>
      <c r="AC35" s="891">
        <f t="shared" si="21"/>
        <v>0</v>
      </c>
      <c r="AD35" s="891">
        <f t="shared" ref="AD35:AE66" si="22">Q35*C35</f>
        <v>6.042154566744748</v>
      </c>
      <c r="AE35" s="891">
        <f t="shared" si="22"/>
        <v>0</v>
      </c>
      <c r="AF35" s="891">
        <f t="shared" ref="AF35:AG66" si="23">S35*C35</f>
        <v>0</v>
      </c>
      <c r="AG35" s="891">
        <f t="shared" si="23"/>
        <v>0</v>
      </c>
      <c r="AH35" s="891">
        <f t="shared" ref="AH35:AI66" si="24">U35*C35</f>
        <v>0</v>
      </c>
      <c r="AI35" s="891">
        <f t="shared" si="24"/>
        <v>0</v>
      </c>
      <c r="AL35" s="891">
        <v>4.3478260869565202E-2</v>
      </c>
      <c r="AM35" s="891">
        <v>0</v>
      </c>
      <c r="AO35">
        <f t="shared" ref="AO35:AP66" si="25">AL35*C35</f>
        <v>18.695652173913036</v>
      </c>
      <c r="AP35">
        <f t="shared" si="25"/>
        <v>0</v>
      </c>
      <c r="AS35" s="892">
        <v>5.5813953488372099E-2</v>
      </c>
      <c r="AT35" s="892">
        <v>0</v>
      </c>
      <c r="AU35" s="892">
        <f t="shared" si="10"/>
        <v>-4.4186046511627906E-2</v>
      </c>
      <c r="AV35" s="907">
        <f t="shared" si="10"/>
        <v>-0.1</v>
      </c>
      <c r="AX35">
        <f t="shared" si="11"/>
        <v>0</v>
      </c>
      <c r="AY35">
        <f t="shared" si="11"/>
        <v>0</v>
      </c>
      <c r="BA35" s="891">
        <v>2.331002331002331E-3</v>
      </c>
      <c r="BC35">
        <f t="shared" si="17"/>
        <v>1.0023310023310024</v>
      </c>
      <c r="BF35">
        <v>0</v>
      </c>
      <c r="BG35" s="891"/>
      <c r="BK35" s="1139">
        <f t="shared" si="15"/>
        <v>5.5813953488372099E-2</v>
      </c>
      <c r="BL35" s="1139">
        <f t="shared" si="16"/>
        <v>0</v>
      </c>
    </row>
    <row r="36" spans="1:64" ht="12.75" x14ac:dyDescent="0.2">
      <c r="A36" s="888" t="s">
        <v>36</v>
      </c>
      <c r="B36" s="889">
        <v>3544</v>
      </c>
      <c r="C36" s="890">
        <v>532</v>
      </c>
      <c r="D36" s="890">
        <v>0</v>
      </c>
      <c r="E36" s="891">
        <v>0.39332096474953615</v>
      </c>
      <c r="F36" s="891">
        <v>0</v>
      </c>
      <c r="G36" s="891">
        <f t="shared" si="18"/>
        <v>209.24675324675323</v>
      </c>
      <c r="H36" s="891">
        <f t="shared" si="18"/>
        <v>0</v>
      </c>
      <c r="K36" s="891">
        <v>6.5789473684210495E-2</v>
      </c>
      <c r="L36" s="891">
        <v>0</v>
      </c>
      <c r="M36" s="891">
        <v>0</v>
      </c>
      <c r="N36" s="891">
        <v>0</v>
      </c>
      <c r="O36" s="891">
        <v>0.477443609022556</v>
      </c>
      <c r="P36" s="891">
        <v>0</v>
      </c>
      <c r="Q36" s="891">
        <v>0.41165413533834599</v>
      </c>
      <c r="R36" s="891">
        <v>0</v>
      </c>
      <c r="S36" s="891">
        <v>5.6390977443609002E-3</v>
      </c>
      <c r="T36" s="891">
        <v>0</v>
      </c>
      <c r="U36" s="891">
        <v>0</v>
      </c>
      <c r="V36" s="891">
        <v>0</v>
      </c>
      <c r="X36" s="891">
        <f t="shared" si="19"/>
        <v>34.999999999999986</v>
      </c>
      <c r="Y36" s="891">
        <f t="shared" si="19"/>
        <v>0</v>
      </c>
      <c r="Z36" s="891">
        <f t="shared" si="20"/>
        <v>0</v>
      </c>
      <c r="AA36" s="891">
        <f t="shared" si="20"/>
        <v>0</v>
      </c>
      <c r="AB36" s="891">
        <f t="shared" si="21"/>
        <v>253.9999999999998</v>
      </c>
      <c r="AC36" s="891">
        <f t="shared" si="21"/>
        <v>0</v>
      </c>
      <c r="AD36" s="891">
        <f t="shared" si="22"/>
        <v>219.00000000000006</v>
      </c>
      <c r="AE36" s="891">
        <f t="shared" si="22"/>
        <v>0</v>
      </c>
      <c r="AF36" s="891">
        <f t="shared" si="23"/>
        <v>2.9999999999999991</v>
      </c>
      <c r="AG36" s="891">
        <f t="shared" si="23"/>
        <v>0</v>
      </c>
      <c r="AH36" s="891">
        <f t="shared" si="24"/>
        <v>0</v>
      </c>
      <c r="AI36" s="891">
        <f t="shared" si="24"/>
        <v>0</v>
      </c>
      <c r="AL36" s="891">
        <v>0.483050847457627</v>
      </c>
      <c r="AM36" s="891">
        <v>0</v>
      </c>
      <c r="AO36">
        <f t="shared" si="25"/>
        <v>256.98305084745755</v>
      </c>
      <c r="AP36">
        <f t="shared" si="25"/>
        <v>0</v>
      </c>
      <c r="AS36" s="892">
        <v>7.7067669172932299E-2</v>
      </c>
      <c r="AT36" s="892">
        <v>0</v>
      </c>
      <c r="AU36" s="892">
        <f t="shared" si="10"/>
        <v>-2.2932330827067707E-2</v>
      </c>
      <c r="AV36" s="907">
        <f t="shared" si="10"/>
        <v>-0.1</v>
      </c>
      <c r="AX36">
        <f t="shared" si="11"/>
        <v>0</v>
      </c>
      <c r="AY36">
        <f t="shared" si="11"/>
        <v>0</v>
      </c>
      <c r="BA36" s="891">
        <v>1.8552875695732839E-2</v>
      </c>
      <c r="BC36">
        <f t="shared" si="17"/>
        <v>9.8701298701298708</v>
      </c>
      <c r="BF36">
        <v>0</v>
      </c>
      <c r="BG36" s="891"/>
      <c r="BK36" s="1139">
        <f t="shared" si="15"/>
        <v>7.7067669172932299E-2</v>
      </c>
      <c r="BL36" s="1139">
        <f t="shared" si="16"/>
        <v>0</v>
      </c>
    </row>
    <row r="37" spans="1:64" ht="12.75" x14ac:dyDescent="0.2">
      <c r="A37" s="888" t="s">
        <v>100</v>
      </c>
      <c r="B37" s="889">
        <v>2006</v>
      </c>
      <c r="C37" s="890">
        <v>288</v>
      </c>
      <c r="D37" s="890">
        <v>0</v>
      </c>
      <c r="E37" s="891">
        <v>5.2631578947368418E-2</v>
      </c>
      <c r="F37" s="891">
        <v>0</v>
      </c>
      <c r="G37" s="891">
        <f t="shared" si="18"/>
        <v>15.157894736842104</v>
      </c>
      <c r="H37" s="891">
        <f t="shared" si="18"/>
        <v>0</v>
      </c>
      <c r="K37" s="891">
        <v>0</v>
      </c>
      <c r="L37" s="891">
        <v>0</v>
      </c>
      <c r="M37" s="891">
        <v>1.06761565836299E-2</v>
      </c>
      <c r="N37" s="891">
        <v>0</v>
      </c>
      <c r="O37" s="891">
        <v>0</v>
      </c>
      <c r="P37" s="891">
        <v>0</v>
      </c>
      <c r="Q37" s="891">
        <v>0</v>
      </c>
      <c r="R37" s="891">
        <v>0</v>
      </c>
      <c r="S37" s="891">
        <v>0</v>
      </c>
      <c r="T37" s="891">
        <v>0</v>
      </c>
      <c r="U37" s="891">
        <v>0</v>
      </c>
      <c r="V37" s="891">
        <v>0</v>
      </c>
      <c r="X37" s="891">
        <f t="shared" si="19"/>
        <v>0</v>
      </c>
      <c r="Y37" s="891">
        <f t="shared" si="19"/>
        <v>0</v>
      </c>
      <c r="Z37" s="891">
        <f t="shared" si="20"/>
        <v>3.0747330960854113</v>
      </c>
      <c r="AA37" s="891">
        <f t="shared" si="20"/>
        <v>0</v>
      </c>
      <c r="AB37" s="891">
        <f t="shared" si="21"/>
        <v>0</v>
      </c>
      <c r="AC37" s="891">
        <f t="shared" si="21"/>
        <v>0</v>
      </c>
      <c r="AD37" s="891">
        <f t="shared" si="22"/>
        <v>0</v>
      </c>
      <c r="AE37" s="891">
        <f t="shared" si="22"/>
        <v>0</v>
      </c>
      <c r="AF37" s="891">
        <f t="shared" si="23"/>
        <v>0</v>
      </c>
      <c r="AG37" s="891">
        <f t="shared" si="23"/>
        <v>0</v>
      </c>
      <c r="AH37" s="891">
        <f t="shared" si="24"/>
        <v>0</v>
      </c>
      <c r="AI37" s="891">
        <f t="shared" si="24"/>
        <v>0</v>
      </c>
      <c r="AL37" s="891">
        <v>2.1834061135371199E-2</v>
      </c>
      <c r="AM37" s="891">
        <v>0</v>
      </c>
      <c r="AO37">
        <f t="shared" si="25"/>
        <v>6.2882096069869053</v>
      </c>
      <c r="AP37">
        <f t="shared" si="25"/>
        <v>0</v>
      </c>
      <c r="AS37" s="892">
        <v>4.2704626334519602E-2</v>
      </c>
      <c r="AT37" s="892">
        <v>0</v>
      </c>
      <c r="AU37" s="892">
        <f t="shared" si="10"/>
        <v>-5.7295373665480404E-2</v>
      </c>
      <c r="AV37" s="907">
        <f t="shared" si="10"/>
        <v>-0.1</v>
      </c>
      <c r="AX37">
        <f t="shared" si="11"/>
        <v>0</v>
      </c>
      <c r="AY37">
        <f t="shared" si="11"/>
        <v>0</v>
      </c>
      <c r="BA37" s="891">
        <v>0</v>
      </c>
      <c r="BC37">
        <f t="shared" si="17"/>
        <v>0</v>
      </c>
      <c r="BF37">
        <v>0</v>
      </c>
      <c r="BG37" s="891"/>
      <c r="BK37" s="1139">
        <f t="shared" si="15"/>
        <v>4.2704626334519602E-2</v>
      </c>
      <c r="BL37" s="1139">
        <f t="shared" si="16"/>
        <v>0</v>
      </c>
    </row>
    <row r="38" spans="1:64" ht="12.75" x14ac:dyDescent="0.2">
      <c r="A38" s="888" t="s">
        <v>37</v>
      </c>
      <c r="B38" s="889">
        <v>2434</v>
      </c>
      <c r="C38" s="890">
        <v>527.5</v>
      </c>
      <c r="D38" s="890">
        <v>0</v>
      </c>
      <c r="E38" s="891">
        <v>0.38034188034188032</v>
      </c>
      <c r="F38" s="891">
        <v>0</v>
      </c>
      <c r="G38" s="891">
        <f t="shared" si="18"/>
        <v>200.63034188034186</v>
      </c>
      <c r="H38" s="891">
        <f t="shared" si="18"/>
        <v>0</v>
      </c>
      <c r="K38" s="891">
        <v>7.5901328273244801E-3</v>
      </c>
      <c r="L38" s="891">
        <v>0</v>
      </c>
      <c r="M38" s="891">
        <v>1.13851992409867E-2</v>
      </c>
      <c r="N38" s="891">
        <v>0</v>
      </c>
      <c r="O38" s="891">
        <v>0.77229601518026603</v>
      </c>
      <c r="P38" s="891">
        <v>0</v>
      </c>
      <c r="Q38" s="891">
        <v>0.149905123339658</v>
      </c>
      <c r="R38" s="891">
        <v>0</v>
      </c>
      <c r="S38" s="891">
        <v>1.32827324478178E-2</v>
      </c>
      <c r="T38" s="891">
        <v>0</v>
      </c>
      <c r="U38" s="891">
        <v>0</v>
      </c>
      <c r="V38" s="891">
        <v>0</v>
      </c>
      <c r="X38" s="891">
        <f t="shared" si="19"/>
        <v>4.0037950664136632</v>
      </c>
      <c r="Y38" s="891">
        <f t="shared" si="19"/>
        <v>0</v>
      </c>
      <c r="Z38" s="891">
        <f t="shared" si="20"/>
        <v>6.0056925996204837</v>
      </c>
      <c r="AA38" s="891">
        <f t="shared" si="20"/>
        <v>0</v>
      </c>
      <c r="AB38" s="891">
        <f t="shared" si="21"/>
        <v>407.38614800759035</v>
      </c>
      <c r="AC38" s="891">
        <f t="shared" si="21"/>
        <v>0</v>
      </c>
      <c r="AD38" s="891">
        <f t="shared" si="22"/>
        <v>79.074952561669591</v>
      </c>
      <c r="AE38" s="891">
        <f t="shared" si="22"/>
        <v>0</v>
      </c>
      <c r="AF38" s="891">
        <f t="shared" si="23"/>
        <v>7.0066413662238896</v>
      </c>
      <c r="AG38" s="891">
        <f t="shared" si="23"/>
        <v>0</v>
      </c>
      <c r="AH38" s="891">
        <f t="shared" si="24"/>
        <v>0</v>
      </c>
      <c r="AI38" s="891">
        <f t="shared" si="24"/>
        <v>0</v>
      </c>
      <c r="AL38" s="891">
        <v>3.8901601830663601E-2</v>
      </c>
      <c r="AM38" s="891">
        <v>0</v>
      </c>
      <c r="AO38">
        <f t="shared" si="25"/>
        <v>20.520594965675048</v>
      </c>
      <c r="AP38">
        <f t="shared" si="25"/>
        <v>0</v>
      </c>
      <c r="AS38" s="892">
        <v>0.124293785310734</v>
      </c>
      <c r="AT38" s="892">
        <v>0</v>
      </c>
      <c r="AU38" s="892">
        <f t="shared" si="10"/>
        <v>2.4293785310733992E-2</v>
      </c>
      <c r="AV38" s="907">
        <f t="shared" si="10"/>
        <v>-0.1</v>
      </c>
      <c r="AX38">
        <f t="shared" si="11"/>
        <v>12.81497175141218</v>
      </c>
      <c r="AY38">
        <f t="shared" si="11"/>
        <v>0</v>
      </c>
      <c r="BA38" s="891">
        <v>1.282051282051282E-2</v>
      </c>
      <c r="BC38">
        <f t="shared" si="17"/>
        <v>6.7628205128205128</v>
      </c>
      <c r="BF38">
        <v>0</v>
      </c>
      <c r="BG38" s="891"/>
      <c r="BK38" s="1139">
        <f t="shared" si="15"/>
        <v>0.124293785310734</v>
      </c>
      <c r="BL38" s="1139">
        <f t="shared" si="16"/>
        <v>0</v>
      </c>
    </row>
    <row r="39" spans="1:64" ht="12.75" x14ac:dyDescent="0.2">
      <c r="A39" s="888" t="s">
        <v>38</v>
      </c>
      <c r="B39" s="889">
        <v>2522</v>
      </c>
      <c r="C39" s="890">
        <v>395</v>
      </c>
      <c r="D39" s="890">
        <v>0</v>
      </c>
      <c r="E39" s="891">
        <v>0.12371134020618557</v>
      </c>
      <c r="F39" s="891">
        <v>0</v>
      </c>
      <c r="G39" s="891">
        <f t="shared" si="18"/>
        <v>48.865979381443303</v>
      </c>
      <c r="H39" s="891">
        <f t="shared" si="18"/>
        <v>0</v>
      </c>
      <c r="K39" s="891">
        <v>7.8481012658227906E-2</v>
      </c>
      <c r="L39" s="891">
        <v>0</v>
      </c>
      <c r="M39" s="891">
        <v>5.0632911392405097E-2</v>
      </c>
      <c r="N39" s="891">
        <v>0</v>
      </c>
      <c r="O39" s="891">
        <v>7.8481012658227906E-2</v>
      </c>
      <c r="P39" s="891">
        <v>0</v>
      </c>
      <c r="Q39" s="891">
        <v>2.2784810126582299E-2</v>
      </c>
      <c r="R39" s="891">
        <v>0</v>
      </c>
      <c r="S39" s="891">
        <v>1.5189873417721499E-2</v>
      </c>
      <c r="T39" s="891">
        <v>0</v>
      </c>
      <c r="U39" s="891">
        <v>0</v>
      </c>
      <c r="V39" s="891">
        <v>0</v>
      </c>
      <c r="X39" s="891">
        <f t="shared" si="19"/>
        <v>31.000000000000021</v>
      </c>
      <c r="Y39" s="891">
        <f t="shared" si="19"/>
        <v>0</v>
      </c>
      <c r="Z39" s="891">
        <f t="shared" si="20"/>
        <v>20.000000000000014</v>
      </c>
      <c r="AA39" s="891">
        <f t="shared" si="20"/>
        <v>0</v>
      </c>
      <c r="AB39" s="891">
        <f t="shared" si="21"/>
        <v>31.000000000000021</v>
      </c>
      <c r="AC39" s="891">
        <f t="shared" si="21"/>
        <v>0</v>
      </c>
      <c r="AD39" s="891">
        <f t="shared" si="22"/>
        <v>9.0000000000000089</v>
      </c>
      <c r="AE39" s="891">
        <f t="shared" si="22"/>
        <v>0</v>
      </c>
      <c r="AF39" s="891">
        <f t="shared" si="23"/>
        <v>5.999999999999992</v>
      </c>
      <c r="AG39" s="891">
        <f t="shared" si="23"/>
        <v>0</v>
      </c>
      <c r="AH39" s="891">
        <f t="shared" si="24"/>
        <v>0</v>
      </c>
      <c r="AI39" s="891">
        <f t="shared" si="24"/>
        <v>0</v>
      </c>
      <c r="AL39" s="891">
        <v>2.6865671641791E-2</v>
      </c>
      <c r="AM39" s="891">
        <v>0</v>
      </c>
      <c r="AO39">
        <f t="shared" si="25"/>
        <v>10.611940298507445</v>
      </c>
      <c r="AP39">
        <f t="shared" si="25"/>
        <v>0</v>
      </c>
      <c r="AS39" s="892">
        <v>7.8481012658227906E-2</v>
      </c>
      <c r="AT39" s="892">
        <v>0</v>
      </c>
      <c r="AU39" s="892">
        <f t="shared" si="10"/>
        <v>-2.15189873417721E-2</v>
      </c>
      <c r="AV39" s="907">
        <f t="shared" si="10"/>
        <v>-0.1</v>
      </c>
      <c r="AX39">
        <f t="shared" si="11"/>
        <v>0</v>
      </c>
      <c r="AY39">
        <f t="shared" si="11"/>
        <v>0</v>
      </c>
      <c r="BA39" s="891">
        <v>0</v>
      </c>
      <c r="BC39">
        <f t="shared" si="17"/>
        <v>0</v>
      </c>
      <c r="BF39">
        <v>0</v>
      </c>
      <c r="BG39" s="891"/>
      <c r="BK39" s="1139">
        <f t="shared" si="15"/>
        <v>7.8481012658227906E-2</v>
      </c>
      <c r="BL39" s="1139">
        <f t="shared" si="16"/>
        <v>0</v>
      </c>
    </row>
    <row r="40" spans="1:64" ht="12.75" x14ac:dyDescent="0.2">
      <c r="A40" s="910" t="s">
        <v>69</v>
      </c>
      <c r="B40" s="911">
        <v>4181</v>
      </c>
      <c r="C40" s="890">
        <v>0</v>
      </c>
      <c r="D40" s="890">
        <v>1065</v>
      </c>
      <c r="E40" s="891">
        <v>0</v>
      </c>
      <c r="F40" s="891">
        <v>0.28200371057513912</v>
      </c>
      <c r="G40" s="891">
        <f t="shared" si="18"/>
        <v>0</v>
      </c>
      <c r="H40" s="891">
        <f t="shared" si="18"/>
        <v>300.33395176252316</v>
      </c>
      <c r="K40" s="891">
        <v>0</v>
      </c>
      <c r="L40" s="891">
        <v>8.2407407407407401E-2</v>
      </c>
      <c r="M40" s="891">
        <v>0</v>
      </c>
      <c r="N40" s="891">
        <v>0.12037037037037</v>
      </c>
      <c r="O40" s="891">
        <v>0</v>
      </c>
      <c r="P40" s="891">
        <v>0.11851851851851899</v>
      </c>
      <c r="Q40" s="891">
        <v>0</v>
      </c>
      <c r="R40" s="891">
        <v>4.9074074074074103E-2</v>
      </c>
      <c r="S40" s="891">
        <v>0</v>
      </c>
      <c r="T40" s="891">
        <v>5.4629629629629597E-2</v>
      </c>
      <c r="U40" s="891">
        <v>0</v>
      </c>
      <c r="V40" s="891">
        <v>0</v>
      </c>
      <c r="X40" s="891">
        <f t="shared" si="19"/>
        <v>0</v>
      </c>
      <c r="Y40" s="891">
        <f t="shared" si="19"/>
        <v>87.763888888888886</v>
      </c>
      <c r="Z40" s="891">
        <f t="shared" si="20"/>
        <v>0</v>
      </c>
      <c r="AA40" s="891">
        <f t="shared" si="20"/>
        <v>128.19444444444406</v>
      </c>
      <c r="AB40" s="891">
        <f t="shared" si="21"/>
        <v>0</v>
      </c>
      <c r="AC40" s="891">
        <f t="shared" si="21"/>
        <v>126.22222222222273</v>
      </c>
      <c r="AD40" s="891">
        <f t="shared" si="22"/>
        <v>0</v>
      </c>
      <c r="AE40" s="891">
        <f t="shared" si="22"/>
        <v>52.263888888888921</v>
      </c>
      <c r="AF40" s="891">
        <f t="shared" si="23"/>
        <v>0</v>
      </c>
      <c r="AG40" s="891">
        <f t="shared" si="23"/>
        <v>58.180555555555522</v>
      </c>
      <c r="AH40" s="891">
        <f t="shared" si="24"/>
        <v>0</v>
      </c>
      <c r="AI40" s="891">
        <f t="shared" si="24"/>
        <v>0</v>
      </c>
      <c r="AL40" s="891">
        <v>0</v>
      </c>
      <c r="AM40" s="891">
        <v>8.3256244218316393E-3</v>
      </c>
      <c r="AO40">
        <f t="shared" si="25"/>
        <v>0</v>
      </c>
      <c r="AP40">
        <f t="shared" si="25"/>
        <v>8.8667900092506962</v>
      </c>
      <c r="AS40" s="892">
        <v>0</v>
      </c>
      <c r="AT40" s="892">
        <v>5.0878815911193302E-2</v>
      </c>
      <c r="AU40" s="892">
        <f t="shared" si="10"/>
        <v>-0.1</v>
      </c>
      <c r="AV40" s="907">
        <f t="shared" si="10"/>
        <v>-4.9121184088806703E-2</v>
      </c>
      <c r="AX40">
        <f t="shared" si="11"/>
        <v>0</v>
      </c>
      <c r="AY40">
        <f t="shared" si="11"/>
        <v>0</v>
      </c>
      <c r="BA40" s="891">
        <v>1.8552875695732839E-3</v>
      </c>
      <c r="BC40">
        <f>BA40*D40</f>
        <v>1.9758812615955474</v>
      </c>
      <c r="BF40">
        <v>0.26534466477809299</v>
      </c>
      <c r="BG40" s="891">
        <f>BF40*D40</f>
        <v>282.59206798866904</v>
      </c>
      <c r="BK40" s="1139">
        <f t="shared" si="15"/>
        <v>0</v>
      </c>
      <c r="BL40" s="1139">
        <f t="shared" si="16"/>
        <v>5.0878815911193302E-2</v>
      </c>
    </row>
    <row r="41" spans="1:64" ht="12.75" x14ac:dyDescent="0.2">
      <c r="A41" s="888" t="s">
        <v>70</v>
      </c>
      <c r="B41" s="889">
        <v>4182</v>
      </c>
      <c r="C41" s="890">
        <v>0</v>
      </c>
      <c r="D41" s="890">
        <v>1428</v>
      </c>
      <c r="E41" s="891">
        <v>0</v>
      </c>
      <c r="F41" s="891">
        <v>0.13505747126436782</v>
      </c>
      <c r="G41" s="891">
        <f t="shared" si="18"/>
        <v>0</v>
      </c>
      <c r="H41" s="891">
        <f t="shared" si="18"/>
        <v>192.86206896551724</v>
      </c>
      <c r="K41" s="891">
        <v>0</v>
      </c>
      <c r="L41" s="891">
        <v>5.0455501051156301E-2</v>
      </c>
      <c r="M41" s="891">
        <v>0</v>
      </c>
      <c r="N41" s="891">
        <v>9.1100210231254402E-3</v>
      </c>
      <c r="O41" s="891">
        <v>0</v>
      </c>
      <c r="P41" s="891">
        <v>3.1534688156972697E-2</v>
      </c>
      <c r="Q41" s="891">
        <v>0</v>
      </c>
      <c r="R41" s="891">
        <v>7.7084793272599898E-3</v>
      </c>
      <c r="S41" s="891">
        <v>0</v>
      </c>
      <c r="T41" s="891">
        <v>3.5038542396636299E-3</v>
      </c>
      <c r="U41" s="891">
        <v>0</v>
      </c>
      <c r="V41" s="891">
        <v>0</v>
      </c>
      <c r="X41" s="891">
        <f t="shared" si="19"/>
        <v>0</v>
      </c>
      <c r="Y41" s="891">
        <f t="shared" si="19"/>
        <v>72.050455501051204</v>
      </c>
      <c r="Z41" s="891">
        <f t="shared" si="20"/>
        <v>0</v>
      </c>
      <c r="AA41" s="891">
        <f t="shared" si="20"/>
        <v>13.009110021023128</v>
      </c>
      <c r="AB41" s="891">
        <f t="shared" si="21"/>
        <v>0</v>
      </c>
      <c r="AC41" s="891">
        <f t="shared" si="21"/>
        <v>45.031534688157009</v>
      </c>
      <c r="AD41" s="891">
        <f t="shared" si="22"/>
        <v>0</v>
      </c>
      <c r="AE41" s="891">
        <f t="shared" si="22"/>
        <v>11.007708479327265</v>
      </c>
      <c r="AF41" s="891">
        <f t="shared" si="23"/>
        <v>0</v>
      </c>
      <c r="AG41" s="891">
        <f t="shared" si="23"/>
        <v>5.0035038542396633</v>
      </c>
      <c r="AH41" s="891">
        <f t="shared" si="24"/>
        <v>0</v>
      </c>
      <c r="AI41" s="891">
        <f t="shared" si="24"/>
        <v>0</v>
      </c>
      <c r="AL41" s="891">
        <v>0</v>
      </c>
      <c r="AM41" s="891">
        <v>2.6704146170063201E-2</v>
      </c>
      <c r="AO41">
        <f t="shared" si="25"/>
        <v>0</v>
      </c>
      <c r="AP41">
        <f t="shared" si="25"/>
        <v>38.13352073085025</v>
      </c>
      <c r="AS41" s="892">
        <v>0</v>
      </c>
      <c r="AT41" s="892">
        <v>2.9411764705882401E-2</v>
      </c>
      <c r="AU41" s="892">
        <f t="shared" si="10"/>
        <v>-0.1</v>
      </c>
      <c r="AV41" s="907">
        <f t="shared" si="10"/>
        <v>-7.0588235294117604E-2</v>
      </c>
      <c r="AX41">
        <f t="shared" si="11"/>
        <v>0</v>
      </c>
      <c r="AY41">
        <f t="shared" si="11"/>
        <v>0</v>
      </c>
      <c r="BA41" s="891">
        <v>7.9022988505747134E-3</v>
      </c>
      <c r="BC41">
        <f>BA41*D41</f>
        <v>11.28448275862069</v>
      </c>
      <c r="BF41">
        <v>0.14967462039045601</v>
      </c>
      <c r="BG41" s="891">
        <f>BF41*D41</f>
        <v>213.73535791757118</v>
      </c>
      <c r="BK41" s="1139">
        <f t="shared" si="15"/>
        <v>0</v>
      </c>
      <c r="BL41" s="1139">
        <f t="shared" si="16"/>
        <v>2.9411764705882401E-2</v>
      </c>
    </row>
    <row r="42" spans="1:64" ht="12.75" x14ac:dyDescent="0.2">
      <c r="A42" s="888" t="s">
        <v>39</v>
      </c>
      <c r="B42" s="889">
        <v>2436</v>
      </c>
      <c r="C42" s="890">
        <v>347</v>
      </c>
      <c r="D42" s="890">
        <v>0</v>
      </c>
      <c r="E42" s="891">
        <v>0.17888563049853373</v>
      </c>
      <c r="F42" s="891">
        <v>0</v>
      </c>
      <c r="G42" s="891">
        <f t="shared" si="18"/>
        <v>62.073313782991207</v>
      </c>
      <c r="H42" s="891">
        <f t="shared" si="18"/>
        <v>0</v>
      </c>
      <c r="K42" s="891">
        <v>9.9431818181818205E-2</v>
      </c>
      <c r="L42" s="891">
        <v>0</v>
      </c>
      <c r="M42" s="891">
        <v>4.5454545454545497E-2</v>
      </c>
      <c r="N42" s="891">
        <v>0</v>
      </c>
      <c r="O42" s="891">
        <v>0.20738636363636401</v>
      </c>
      <c r="P42" s="891">
        <v>0</v>
      </c>
      <c r="Q42" s="891">
        <v>2.5568181818181799E-2</v>
      </c>
      <c r="R42" s="891">
        <v>0</v>
      </c>
      <c r="S42" s="891">
        <v>5.1136363636363598E-2</v>
      </c>
      <c r="T42" s="891">
        <v>0</v>
      </c>
      <c r="U42" s="891">
        <v>0</v>
      </c>
      <c r="V42" s="891">
        <v>0</v>
      </c>
      <c r="X42" s="891">
        <f t="shared" si="19"/>
        <v>34.502840909090914</v>
      </c>
      <c r="Y42" s="891">
        <f t="shared" si="19"/>
        <v>0</v>
      </c>
      <c r="Z42" s="891">
        <f t="shared" si="20"/>
        <v>15.772727272727288</v>
      </c>
      <c r="AA42" s="891">
        <f t="shared" si="20"/>
        <v>0</v>
      </c>
      <c r="AB42" s="891">
        <f t="shared" si="21"/>
        <v>71.963068181818315</v>
      </c>
      <c r="AC42" s="891">
        <f t="shared" si="21"/>
        <v>0</v>
      </c>
      <c r="AD42" s="891">
        <f t="shared" si="22"/>
        <v>8.8721590909090846</v>
      </c>
      <c r="AE42" s="891">
        <f t="shared" si="22"/>
        <v>0</v>
      </c>
      <c r="AF42" s="891">
        <f t="shared" si="23"/>
        <v>17.744318181818169</v>
      </c>
      <c r="AG42" s="891">
        <f t="shared" si="23"/>
        <v>0</v>
      </c>
      <c r="AH42" s="891">
        <f t="shared" si="24"/>
        <v>0</v>
      </c>
      <c r="AI42" s="891">
        <f t="shared" si="24"/>
        <v>0</v>
      </c>
      <c r="AL42" s="891">
        <v>4.4368600682593899E-2</v>
      </c>
      <c r="AM42" s="891">
        <v>0</v>
      </c>
      <c r="AO42">
        <f t="shared" si="25"/>
        <v>15.395904436860082</v>
      </c>
      <c r="AP42">
        <f t="shared" si="25"/>
        <v>0</v>
      </c>
      <c r="AS42" s="892">
        <v>4.8158640226628899E-2</v>
      </c>
      <c r="AT42" s="892">
        <v>0</v>
      </c>
      <c r="AU42" s="892">
        <f t="shared" si="10"/>
        <v>-5.1841359773371107E-2</v>
      </c>
      <c r="AV42" s="907">
        <f t="shared" si="10"/>
        <v>-0.1</v>
      </c>
      <c r="AX42">
        <f t="shared" si="11"/>
        <v>0</v>
      </c>
      <c r="AY42">
        <f t="shared" si="11"/>
        <v>0</v>
      </c>
      <c r="BA42" s="891">
        <v>2.9325513196480938E-3</v>
      </c>
      <c r="BC42">
        <f>BA42*C42</f>
        <v>1.0175953079178885</v>
      </c>
      <c r="BF42">
        <v>0</v>
      </c>
      <c r="BG42" s="891"/>
      <c r="BK42" s="1139">
        <f t="shared" si="15"/>
        <v>4.8158640226628899E-2</v>
      </c>
      <c r="BL42" s="1139">
        <f t="shared" si="16"/>
        <v>0</v>
      </c>
    </row>
    <row r="43" spans="1:64" ht="12.75" x14ac:dyDescent="0.2">
      <c r="A43" s="888" t="s">
        <v>40</v>
      </c>
      <c r="B43" s="889">
        <v>2452</v>
      </c>
      <c r="C43" s="890">
        <v>195</v>
      </c>
      <c r="D43" s="890">
        <v>0</v>
      </c>
      <c r="E43" s="891">
        <v>0.33165829145728642</v>
      </c>
      <c r="F43" s="891">
        <v>0</v>
      </c>
      <c r="G43" s="891">
        <f t="shared" si="18"/>
        <v>64.673366834170849</v>
      </c>
      <c r="H43" s="891">
        <f t="shared" si="18"/>
        <v>0</v>
      </c>
      <c r="K43" s="891">
        <v>0.123711340206186</v>
      </c>
      <c r="L43" s="891">
        <v>0</v>
      </c>
      <c r="M43" s="891">
        <v>3.60824742268041E-2</v>
      </c>
      <c r="N43" s="891">
        <v>0</v>
      </c>
      <c r="O43" s="891">
        <v>0.469072164948454</v>
      </c>
      <c r="P43" s="891">
        <v>0</v>
      </c>
      <c r="Q43" s="891">
        <v>3.60824742268041E-2</v>
      </c>
      <c r="R43" s="891">
        <v>0</v>
      </c>
      <c r="S43" s="891">
        <v>3.60824742268041E-2</v>
      </c>
      <c r="T43" s="891">
        <v>0</v>
      </c>
      <c r="U43" s="891">
        <v>0</v>
      </c>
      <c r="V43" s="891">
        <v>0</v>
      </c>
      <c r="X43" s="891">
        <f t="shared" si="19"/>
        <v>24.12371134020627</v>
      </c>
      <c r="Y43" s="891">
        <f t="shared" si="19"/>
        <v>0</v>
      </c>
      <c r="Z43" s="891">
        <f t="shared" si="20"/>
        <v>7.0360824742267996</v>
      </c>
      <c r="AA43" s="891">
        <f t="shared" si="20"/>
        <v>0</v>
      </c>
      <c r="AB43" s="891">
        <f t="shared" si="21"/>
        <v>91.469072164948528</v>
      </c>
      <c r="AC43" s="891">
        <f t="shared" si="21"/>
        <v>0</v>
      </c>
      <c r="AD43" s="891">
        <f t="shared" si="22"/>
        <v>7.0360824742267996</v>
      </c>
      <c r="AE43" s="891">
        <f t="shared" si="22"/>
        <v>0</v>
      </c>
      <c r="AF43" s="891">
        <f t="shared" si="23"/>
        <v>7.0360824742267996</v>
      </c>
      <c r="AG43" s="891">
        <f t="shared" si="23"/>
        <v>0</v>
      </c>
      <c r="AH43" s="891">
        <f t="shared" si="24"/>
        <v>0</v>
      </c>
      <c r="AI43" s="891">
        <f t="shared" si="24"/>
        <v>0</v>
      </c>
      <c r="AL43" s="891">
        <v>6.6265060240963902E-2</v>
      </c>
      <c r="AM43" s="891">
        <v>0</v>
      </c>
      <c r="AO43">
        <f t="shared" si="25"/>
        <v>12.921686746987961</v>
      </c>
      <c r="AP43">
        <f t="shared" si="25"/>
        <v>0</v>
      </c>
      <c r="AS43" s="892">
        <v>7.69230769230769E-2</v>
      </c>
      <c r="AT43" s="892">
        <v>0</v>
      </c>
      <c r="AU43" s="892">
        <f t="shared" si="10"/>
        <v>-2.3076923076923106E-2</v>
      </c>
      <c r="AV43" s="907">
        <f t="shared" si="10"/>
        <v>-0.1</v>
      </c>
      <c r="AX43">
        <f t="shared" si="11"/>
        <v>0</v>
      </c>
      <c r="AY43">
        <f t="shared" si="11"/>
        <v>0</v>
      </c>
      <c r="BA43" s="891">
        <v>0</v>
      </c>
      <c r="BC43">
        <f>BA43*C43</f>
        <v>0</v>
      </c>
      <c r="BF43">
        <v>0</v>
      </c>
      <c r="BG43" s="891"/>
      <c r="BK43" s="1139">
        <f t="shared" si="15"/>
        <v>7.69230769230769E-2</v>
      </c>
      <c r="BL43" s="1139">
        <f t="shared" si="16"/>
        <v>0</v>
      </c>
    </row>
    <row r="44" spans="1:64" ht="12.75" x14ac:dyDescent="0.2">
      <c r="A44" s="888" t="s">
        <v>71</v>
      </c>
      <c r="B44" s="28">
        <v>4001</v>
      </c>
      <c r="C44" s="890">
        <v>0</v>
      </c>
      <c r="D44" s="890">
        <v>663</v>
      </c>
      <c r="E44" s="891">
        <v>0</v>
      </c>
      <c r="F44" s="891">
        <v>0.64538043478260865</v>
      </c>
      <c r="G44" s="891">
        <f t="shared" si="18"/>
        <v>0</v>
      </c>
      <c r="H44" s="891">
        <f t="shared" si="18"/>
        <v>427.88722826086951</v>
      </c>
      <c r="K44" s="891">
        <v>0</v>
      </c>
      <c r="L44" s="891">
        <v>3.3434650455927001E-2</v>
      </c>
      <c r="M44" s="891">
        <v>0</v>
      </c>
      <c r="N44" s="891">
        <v>1.51975683890578E-2</v>
      </c>
      <c r="O44" s="891">
        <v>0</v>
      </c>
      <c r="P44" s="891">
        <v>0.218844984802432</v>
      </c>
      <c r="Q44" s="891">
        <v>0</v>
      </c>
      <c r="R44" s="891">
        <v>0.463525835866261</v>
      </c>
      <c r="S44" s="891">
        <v>0</v>
      </c>
      <c r="T44" s="891">
        <v>0.17173252279635301</v>
      </c>
      <c r="U44" s="891">
        <v>0</v>
      </c>
      <c r="V44" s="891">
        <v>0</v>
      </c>
      <c r="X44" s="891">
        <f t="shared" si="19"/>
        <v>0</v>
      </c>
      <c r="Y44" s="891">
        <f t="shared" si="19"/>
        <v>22.1671732522796</v>
      </c>
      <c r="Z44" s="891">
        <f t="shared" si="20"/>
        <v>0</v>
      </c>
      <c r="AA44" s="891">
        <f t="shared" si="20"/>
        <v>10.075987841945322</v>
      </c>
      <c r="AB44" s="891">
        <f t="shared" si="21"/>
        <v>0</v>
      </c>
      <c r="AC44" s="891">
        <f t="shared" si="21"/>
        <v>145.09422492401242</v>
      </c>
      <c r="AD44" s="891">
        <f t="shared" si="22"/>
        <v>0</v>
      </c>
      <c r="AE44" s="891">
        <f t="shared" si="22"/>
        <v>307.31762917933105</v>
      </c>
      <c r="AF44" s="891">
        <f t="shared" si="23"/>
        <v>0</v>
      </c>
      <c r="AG44" s="891">
        <f t="shared" si="23"/>
        <v>113.85866261398205</v>
      </c>
      <c r="AH44" s="891">
        <f t="shared" si="24"/>
        <v>0</v>
      </c>
      <c r="AI44" s="891">
        <f t="shared" si="24"/>
        <v>0</v>
      </c>
      <c r="AL44" s="891">
        <v>0</v>
      </c>
      <c r="AM44" s="891">
        <v>6.3348416289592799E-2</v>
      </c>
      <c r="AO44">
        <f t="shared" si="25"/>
        <v>0</v>
      </c>
      <c r="AP44">
        <f t="shared" si="25"/>
        <v>42.000000000000028</v>
      </c>
      <c r="AS44" s="892">
        <v>0</v>
      </c>
      <c r="AT44" s="892">
        <v>0.114630467571644</v>
      </c>
      <c r="AU44" s="892">
        <f t="shared" si="10"/>
        <v>-0.1</v>
      </c>
      <c r="AV44" s="907">
        <f t="shared" si="10"/>
        <v>1.463046757164399E-2</v>
      </c>
      <c r="AX44">
        <f t="shared" si="11"/>
        <v>0</v>
      </c>
      <c r="AY44">
        <f t="shared" si="11"/>
        <v>9.6999999999999655</v>
      </c>
      <c r="BA44" s="891">
        <v>8.152173913043478E-3</v>
      </c>
      <c r="BC44">
        <f>BA44*D44</f>
        <v>5.4048913043478262</v>
      </c>
      <c r="BF44">
        <v>0.52404643449419597</v>
      </c>
      <c r="BG44" s="891">
        <f>BF44*D44</f>
        <v>347.4427860696519</v>
      </c>
      <c r="BK44" s="1139">
        <f t="shared" si="15"/>
        <v>0</v>
      </c>
      <c r="BL44" s="1139">
        <f t="shared" si="16"/>
        <v>0.114630467571644</v>
      </c>
    </row>
    <row r="45" spans="1:64" ht="12.75" x14ac:dyDescent="0.2">
      <c r="A45" s="888" t="s">
        <v>41</v>
      </c>
      <c r="B45" s="889">
        <v>2627</v>
      </c>
      <c r="C45" s="890">
        <v>394</v>
      </c>
      <c r="D45" s="890">
        <v>0</v>
      </c>
      <c r="E45" s="891">
        <v>8.4183673469387751E-2</v>
      </c>
      <c r="F45" s="891">
        <v>0</v>
      </c>
      <c r="G45" s="891">
        <f t="shared" si="18"/>
        <v>33.168367346938773</v>
      </c>
      <c r="H45" s="891">
        <f t="shared" si="18"/>
        <v>0</v>
      </c>
      <c r="K45" s="891">
        <v>9.1603053435114504E-2</v>
      </c>
      <c r="L45" s="891">
        <v>0</v>
      </c>
      <c r="M45" s="891">
        <v>3.30788804071247E-2</v>
      </c>
      <c r="N45" s="891">
        <v>0</v>
      </c>
      <c r="O45" s="891">
        <v>1.27226463104326E-2</v>
      </c>
      <c r="P45" s="891">
        <v>0</v>
      </c>
      <c r="Q45" s="891">
        <v>5.0890585241730301E-3</v>
      </c>
      <c r="R45" s="891">
        <v>0</v>
      </c>
      <c r="S45" s="891">
        <v>0</v>
      </c>
      <c r="T45" s="891">
        <v>0</v>
      </c>
      <c r="U45" s="891">
        <v>0</v>
      </c>
      <c r="V45" s="891">
        <v>0</v>
      </c>
      <c r="X45" s="891">
        <f t="shared" si="19"/>
        <v>36.091603053435115</v>
      </c>
      <c r="Y45" s="891">
        <f t="shared" si="19"/>
        <v>0</v>
      </c>
      <c r="Z45" s="891">
        <f t="shared" si="20"/>
        <v>13.033078880407132</v>
      </c>
      <c r="AA45" s="891">
        <f t="shared" si="20"/>
        <v>0</v>
      </c>
      <c r="AB45" s="891">
        <f t="shared" si="21"/>
        <v>5.0127226463104444</v>
      </c>
      <c r="AC45" s="891">
        <f t="shared" si="21"/>
        <v>0</v>
      </c>
      <c r="AD45" s="891">
        <f t="shared" si="22"/>
        <v>2.0050890585241739</v>
      </c>
      <c r="AE45" s="891">
        <f t="shared" si="22"/>
        <v>0</v>
      </c>
      <c r="AF45" s="891">
        <f t="shared" si="23"/>
        <v>0</v>
      </c>
      <c r="AG45" s="891">
        <f t="shared" si="23"/>
        <v>0</v>
      </c>
      <c r="AH45" s="891">
        <f t="shared" si="24"/>
        <v>0</v>
      </c>
      <c r="AI45" s="891">
        <f t="shared" si="24"/>
        <v>0</v>
      </c>
      <c r="AL45" s="891">
        <v>8.7349397590361394E-2</v>
      </c>
      <c r="AM45" s="891">
        <v>0</v>
      </c>
      <c r="AO45">
        <f t="shared" si="25"/>
        <v>34.415662650602393</v>
      </c>
      <c r="AP45">
        <f t="shared" si="25"/>
        <v>0</v>
      </c>
      <c r="AS45" s="892">
        <v>6.3451776649746203E-2</v>
      </c>
      <c r="AT45" s="892">
        <v>0</v>
      </c>
      <c r="AU45" s="892">
        <f t="shared" si="10"/>
        <v>-3.6548223350253803E-2</v>
      </c>
      <c r="AV45" s="907">
        <f t="shared" si="10"/>
        <v>-0.1</v>
      </c>
      <c r="AX45">
        <f t="shared" si="11"/>
        <v>0</v>
      </c>
      <c r="AY45">
        <f t="shared" si="11"/>
        <v>0</v>
      </c>
      <c r="BA45" s="891">
        <v>0</v>
      </c>
      <c r="BC45">
        <f>BA45*C45</f>
        <v>0</v>
      </c>
      <c r="BF45">
        <v>0</v>
      </c>
      <c r="BG45" s="891"/>
      <c r="BK45" s="1139">
        <f t="shared" si="15"/>
        <v>6.3451776649746203E-2</v>
      </c>
      <c r="BL45" s="1139">
        <f t="shared" si="16"/>
        <v>0</v>
      </c>
    </row>
    <row r="46" spans="1:64" ht="12.75" x14ac:dyDescent="0.2">
      <c r="A46" s="912" t="s">
        <v>951</v>
      </c>
      <c r="B46" s="913">
        <v>2009</v>
      </c>
      <c r="C46" s="890">
        <v>275</v>
      </c>
      <c r="D46" s="890">
        <v>0</v>
      </c>
      <c r="E46" s="891">
        <v>0.5</v>
      </c>
      <c r="F46" s="891">
        <v>0</v>
      </c>
      <c r="G46" s="891">
        <f t="shared" si="18"/>
        <v>137.5</v>
      </c>
      <c r="H46" s="891">
        <f t="shared" si="18"/>
        <v>0</v>
      </c>
      <c r="K46" s="891">
        <v>2.9197080291970798E-2</v>
      </c>
      <c r="L46" s="891">
        <v>0</v>
      </c>
      <c r="M46" s="891">
        <v>0</v>
      </c>
      <c r="N46" s="891">
        <v>0</v>
      </c>
      <c r="O46" s="891">
        <v>0.113138686131387</v>
      </c>
      <c r="P46" s="891">
        <v>0</v>
      </c>
      <c r="Q46" s="891">
        <v>0.63503649635036497</v>
      </c>
      <c r="R46" s="891">
        <v>0</v>
      </c>
      <c r="S46" s="891">
        <v>6.5693430656934296E-2</v>
      </c>
      <c r="T46" s="891">
        <v>0</v>
      </c>
      <c r="U46" s="891">
        <v>0</v>
      </c>
      <c r="V46" s="891">
        <v>0</v>
      </c>
      <c r="X46" s="891">
        <f t="shared" si="19"/>
        <v>8.0291970802919703</v>
      </c>
      <c r="Y46" s="891">
        <f t="shared" si="19"/>
        <v>0</v>
      </c>
      <c r="Z46" s="891">
        <f t="shared" si="20"/>
        <v>0</v>
      </c>
      <c r="AA46" s="891">
        <f t="shared" si="20"/>
        <v>0</v>
      </c>
      <c r="AB46" s="891">
        <f t="shared" si="21"/>
        <v>31.113138686131425</v>
      </c>
      <c r="AC46" s="891">
        <f t="shared" si="21"/>
        <v>0</v>
      </c>
      <c r="AD46" s="891">
        <f t="shared" si="22"/>
        <v>174.63503649635035</v>
      </c>
      <c r="AE46" s="891">
        <f t="shared" si="22"/>
        <v>0</v>
      </c>
      <c r="AF46" s="891">
        <f t="shared" si="23"/>
        <v>18.065693430656932</v>
      </c>
      <c r="AG46" s="891">
        <f t="shared" si="23"/>
        <v>0</v>
      </c>
      <c r="AH46" s="891">
        <f t="shared" si="24"/>
        <v>0</v>
      </c>
      <c r="AI46" s="891">
        <f t="shared" si="24"/>
        <v>0</v>
      </c>
      <c r="AL46" s="891">
        <v>7.6595744680851105E-2</v>
      </c>
      <c r="AM46" s="891">
        <v>0</v>
      </c>
      <c r="AO46">
        <f t="shared" si="25"/>
        <v>21.063829787234052</v>
      </c>
      <c r="AP46">
        <f t="shared" si="25"/>
        <v>0</v>
      </c>
      <c r="AS46" s="892">
        <v>5.4545454545454501E-2</v>
      </c>
      <c r="AT46" s="892">
        <v>0</v>
      </c>
      <c r="AU46" s="892">
        <f t="shared" si="10"/>
        <v>-4.5454545454545504E-2</v>
      </c>
      <c r="AV46" s="907">
        <f t="shared" si="10"/>
        <v>-0.1</v>
      </c>
      <c r="AX46">
        <f t="shared" si="11"/>
        <v>0</v>
      </c>
      <c r="AY46">
        <f t="shared" si="11"/>
        <v>0</v>
      </c>
      <c r="BA46" s="891">
        <v>0</v>
      </c>
      <c r="BC46">
        <f>BA46*C46</f>
        <v>0</v>
      </c>
      <c r="BF46">
        <v>0</v>
      </c>
      <c r="BG46" s="891"/>
      <c r="BK46" s="1139">
        <f t="shared" si="15"/>
        <v>5.4545454545454501E-2</v>
      </c>
      <c r="BL46" s="1139">
        <f t="shared" si="16"/>
        <v>0</v>
      </c>
    </row>
    <row r="47" spans="1:64" ht="12.75" x14ac:dyDescent="0.2">
      <c r="A47" s="888" t="s">
        <v>112</v>
      </c>
      <c r="B47" s="889">
        <v>5406</v>
      </c>
      <c r="C47" s="890">
        <v>0</v>
      </c>
      <c r="D47" s="890">
        <v>823</v>
      </c>
      <c r="E47" s="891">
        <v>0</v>
      </c>
      <c r="F47" s="891">
        <v>0.36266349583828777</v>
      </c>
      <c r="G47" s="891">
        <f t="shared" si="18"/>
        <v>0</v>
      </c>
      <c r="H47" s="891">
        <f t="shared" si="18"/>
        <v>298.47205707491082</v>
      </c>
      <c r="K47" s="891">
        <v>0</v>
      </c>
      <c r="L47" s="891">
        <v>0.236297198538368</v>
      </c>
      <c r="M47" s="891">
        <v>0</v>
      </c>
      <c r="N47" s="891">
        <v>0.18635809987819699</v>
      </c>
      <c r="O47" s="891">
        <v>0</v>
      </c>
      <c r="P47" s="891">
        <v>0.233861144945189</v>
      </c>
      <c r="Q47" s="891">
        <v>0</v>
      </c>
      <c r="R47" s="891">
        <v>5.4811205846528599E-2</v>
      </c>
      <c r="S47" s="891">
        <v>0</v>
      </c>
      <c r="T47" s="891">
        <v>1.9488428745432398E-2</v>
      </c>
      <c r="U47" s="891">
        <v>0</v>
      </c>
      <c r="V47" s="891">
        <v>0</v>
      </c>
      <c r="X47" s="891">
        <f t="shared" si="19"/>
        <v>0</v>
      </c>
      <c r="Y47" s="891">
        <f t="shared" si="19"/>
        <v>194.47259439707688</v>
      </c>
      <c r="Z47" s="891">
        <f t="shared" si="20"/>
        <v>0</v>
      </c>
      <c r="AA47" s="891">
        <f t="shared" si="20"/>
        <v>153.37271619975613</v>
      </c>
      <c r="AB47" s="891">
        <f t="shared" si="21"/>
        <v>0</v>
      </c>
      <c r="AC47" s="891">
        <f t="shared" si="21"/>
        <v>192.46772228989056</v>
      </c>
      <c r="AD47" s="891">
        <f t="shared" si="22"/>
        <v>0</v>
      </c>
      <c r="AE47" s="891">
        <f t="shared" si="22"/>
        <v>45.109622411693039</v>
      </c>
      <c r="AF47" s="891">
        <f t="shared" si="23"/>
        <v>0</v>
      </c>
      <c r="AG47" s="891">
        <f t="shared" si="23"/>
        <v>16.038976857490862</v>
      </c>
      <c r="AH47" s="891">
        <f t="shared" si="24"/>
        <v>0</v>
      </c>
      <c r="AI47" s="891">
        <f t="shared" si="24"/>
        <v>0</v>
      </c>
      <c r="AL47" s="891">
        <v>0</v>
      </c>
      <c r="AM47" s="891">
        <v>3.0712530712530699E-2</v>
      </c>
      <c r="AO47">
        <f t="shared" si="25"/>
        <v>0</v>
      </c>
      <c r="AP47">
        <f t="shared" si="25"/>
        <v>25.276412776412766</v>
      </c>
      <c r="AS47" s="892">
        <v>0</v>
      </c>
      <c r="AT47" s="892">
        <v>9.1130012150668294E-2</v>
      </c>
      <c r="AU47" s="892">
        <f t="shared" si="10"/>
        <v>-0.1</v>
      </c>
      <c r="AV47" s="907">
        <f t="shared" si="10"/>
        <v>-8.8699878493317119E-3</v>
      </c>
      <c r="AX47">
        <f t="shared" si="11"/>
        <v>0</v>
      </c>
      <c r="AY47">
        <f t="shared" si="11"/>
        <v>0</v>
      </c>
      <c r="BA47" s="891">
        <v>2.3781212841854932E-3</v>
      </c>
      <c r="BC47">
        <f>BA47*D47</f>
        <v>1.957193816884661</v>
      </c>
      <c r="BF47">
        <v>0.27168367346938799</v>
      </c>
      <c r="BG47" s="891">
        <f>BF47*D47</f>
        <v>223.59566326530631</v>
      </c>
      <c r="BK47" s="1139">
        <f t="shared" si="15"/>
        <v>0</v>
      </c>
      <c r="BL47" s="1139">
        <f t="shared" si="16"/>
        <v>9.1130012150668294E-2</v>
      </c>
    </row>
    <row r="48" spans="1:64" ht="12.75" x14ac:dyDescent="0.2">
      <c r="A48" s="888" t="s">
        <v>113</v>
      </c>
      <c r="B48" s="889">
        <v>5407</v>
      </c>
      <c r="C48" s="890">
        <v>0</v>
      </c>
      <c r="D48" s="890">
        <v>1102</v>
      </c>
      <c r="E48" s="891">
        <v>0</v>
      </c>
      <c r="F48" s="891">
        <v>0.43761996161228406</v>
      </c>
      <c r="G48" s="891">
        <f t="shared" si="18"/>
        <v>0</v>
      </c>
      <c r="H48" s="891">
        <f t="shared" si="18"/>
        <v>482.25719769673702</v>
      </c>
      <c r="K48" s="891">
        <v>0</v>
      </c>
      <c r="L48" s="891">
        <v>0.14623069936421401</v>
      </c>
      <c r="M48" s="891">
        <v>0</v>
      </c>
      <c r="N48" s="891">
        <v>8.5376930063578604E-2</v>
      </c>
      <c r="O48" s="891">
        <v>0</v>
      </c>
      <c r="P48" s="891">
        <v>0.26612170753860098</v>
      </c>
      <c r="Q48" s="891">
        <v>0</v>
      </c>
      <c r="R48" s="891">
        <v>0.30971843778383301</v>
      </c>
      <c r="S48" s="891">
        <v>0</v>
      </c>
      <c r="T48" s="891">
        <v>3.5422343324250698E-2</v>
      </c>
      <c r="U48" s="891">
        <v>0</v>
      </c>
      <c r="V48" s="891">
        <v>0</v>
      </c>
      <c r="X48" s="891">
        <f t="shared" si="19"/>
        <v>0</v>
      </c>
      <c r="Y48" s="891">
        <f t="shared" si="19"/>
        <v>161.14623069936385</v>
      </c>
      <c r="Z48" s="891">
        <f t="shared" si="20"/>
        <v>0</v>
      </c>
      <c r="AA48" s="891">
        <f t="shared" si="20"/>
        <v>94.085376930063617</v>
      </c>
      <c r="AB48" s="891">
        <f t="shared" si="21"/>
        <v>0</v>
      </c>
      <c r="AC48" s="891">
        <f t="shared" si="21"/>
        <v>293.26612170753828</v>
      </c>
      <c r="AD48" s="891">
        <f t="shared" si="22"/>
        <v>0</v>
      </c>
      <c r="AE48" s="891">
        <f t="shared" si="22"/>
        <v>341.309718437784</v>
      </c>
      <c r="AF48" s="891">
        <f t="shared" si="23"/>
        <v>0</v>
      </c>
      <c r="AG48" s="891">
        <f t="shared" si="23"/>
        <v>39.035422343324271</v>
      </c>
      <c r="AH48" s="891">
        <f t="shared" si="24"/>
        <v>0</v>
      </c>
      <c r="AI48" s="891">
        <f t="shared" si="24"/>
        <v>0</v>
      </c>
      <c r="AL48" s="891">
        <v>0</v>
      </c>
      <c r="AM48" s="891">
        <v>1.9090909090909099E-2</v>
      </c>
      <c r="AO48">
        <f t="shared" si="25"/>
        <v>0</v>
      </c>
      <c r="AP48">
        <f t="shared" si="25"/>
        <v>21.038181818181826</v>
      </c>
      <c r="AS48" s="892">
        <v>0</v>
      </c>
      <c r="AT48" s="892">
        <v>7.8039927404718698E-2</v>
      </c>
      <c r="AU48" s="892">
        <f t="shared" si="10"/>
        <v>-0.1</v>
      </c>
      <c r="AV48" s="907">
        <f t="shared" si="10"/>
        <v>-2.1960072595281308E-2</v>
      </c>
      <c r="AX48">
        <f t="shared" si="11"/>
        <v>0</v>
      </c>
      <c r="AY48">
        <f t="shared" si="11"/>
        <v>0</v>
      </c>
      <c r="BA48" s="891">
        <v>2.881844380403458E-3</v>
      </c>
      <c r="BC48">
        <f>BA48*D48</f>
        <v>3.1757925072046107</v>
      </c>
      <c r="BF48">
        <v>0.29765258215962398</v>
      </c>
      <c r="BG48" s="891">
        <f>BF48*D48</f>
        <v>328.01314553990562</v>
      </c>
      <c r="BK48" s="1139">
        <f t="shared" si="15"/>
        <v>0</v>
      </c>
      <c r="BL48" s="1139">
        <f t="shared" si="16"/>
        <v>7.8039927404718698E-2</v>
      </c>
    </row>
    <row r="49" spans="1:64" ht="12.75" x14ac:dyDescent="0.2">
      <c r="A49" s="888" t="s">
        <v>101</v>
      </c>
      <c r="B49" s="889">
        <v>2473</v>
      </c>
      <c r="C49" s="890">
        <v>262</v>
      </c>
      <c r="D49" s="890">
        <v>0</v>
      </c>
      <c r="E49" s="891">
        <v>0.30566037735849055</v>
      </c>
      <c r="F49" s="891">
        <v>0</v>
      </c>
      <c r="G49" s="891">
        <f t="shared" si="18"/>
        <v>80.083018867924523</v>
      </c>
      <c r="H49" s="891">
        <f t="shared" si="18"/>
        <v>0</v>
      </c>
      <c r="K49" s="891">
        <v>0.29615384615384599</v>
      </c>
      <c r="L49" s="891">
        <v>0</v>
      </c>
      <c r="M49" s="891">
        <v>3.8461538461538498E-2</v>
      </c>
      <c r="N49" s="891">
        <v>0</v>
      </c>
      <c r="O49" s="891">
        <v>0.19230769230769201</v>
      </c>
      <c r="P49" s="891">
        <v>0</v>
      </c>
      <c r="Q49" s="891">
        <v>0.33846153846153798</v>
      </c>
      <c r="R49" s="891">
        <v>0</v>
      </c>
      <c r="S49" s="891">
        <v>1.1538461538461499E-2</v>
      </c>
      <c r="T49" s="891">
        <v>0</v>
      </c>
      <c r="U49" s="891">
        <v>0</v>
      </c>
      <c r="V49" s="891">
        <v>0</v>
      </c>
      <c r="X49" s="891">
        <f t="shared" si="19"/>
        <v>77.592307692307656</v>
      </c>
      <c r="Y49" s="891">
        <f t="shared" si="19"/>
        <v>0</v>
      </c>
      <c r="Z49" s="891">
        <f t="shared" si="20"/>
        <v>10.076923076923087</v>
      </c>
      <c r="AA49" s="891">
        <f t="shared" si="20"/>
        <v>0</v>
      </c>
      <c r="AB49" s="891">
        <f t="shared" si="21"/>
        <v>50.384615384615309</v>
      </c>
      <c r="AC49" s="891">
        <f t="shared" si="21"/>
        <v>0</v>
      </c>
      <c r="AD49" s="891">
        <f t="shared" si="22"/>
        <v>88.676923076922947</v>
      </c>
      <c r="AE49" s="891">
        <f t="shared" si="22"/>
        <v>0</v>
      </c>
      <c r="AF49" s="891">
        <f t="shared" si="23"/>
        <v>3.0230769230769128</v>
      </c>
      <c r="AG49" s="891">
        <f t="shared" si="23"/>
        <v>0</v>
      </c>
      <c r="AH49" s="891">
        <f t="shared" si="24"/>
        <v>0</v>
      </c>
      <c r="AI49" s="891">
        <f t="shared" si="24"/>
        <v>0</v>
      </c>
      <c r="AL49" s="891">
        <v>4.0462427745664699E-2</v>
      </c>
      <c r="AM49" s="891">
        <v>0</v>
      </c>
      <c r="AO49">
        <f t="shared" si="25"/>
        <v>10.601156069364151</v>
      </c>
      <c r="AP49">
        <f t="shared" si="25"/>
        <v>0</v>
      </c>
      <c r="AS49" s="892">
        <v>1.5267175572519101E-2</v>
      </c>
      <c r="AT49" s="892">
        <v>0</v>
      </c>
      <c r="AU49" s="892">
        <f t="shared" si="10"/>
        <v>-8.473282442748091E-2</v>
      </c>
      <c r="AV49" s="907">
        <f t="shared" si="10"/>
        <v>-0.1</v>
      </c>
      <c r="AX49">
        <f t="shared" si="11"/>
        <v>0</v>
      </c>
      <c r="AY49">
        <f t="shared" si="11"/>
        <v>0</v>
      </c>
      <c r="BA49" s="891">
        <v>0</v>
      </c>
      <c r="BC49">
        <f t="shared" ref="BC49:BC63" si="26">BA49*C49</f>
        <v>0</v>
      </c>
      <c r="BF49">
        <v>0</v>
      </c>
      <c r="BG49" s="891"/>
      <c r="BK49" s="1139">
        <f t="shared" si="15"/>
        <v>1.5267175572519101E-2</v>
      </c>
      <c r="BL49" s="1139">
        <f t="shared" si="16"/>
        <v>0</v>
      </c>
    </row>
    <row r="50" spans="1:64" ht="12.75" x14ac:dyDescent="0.2">
      <c r="A50" s="888" t="s">
        <v>44</v>
      </c>
      <c r="B50" s="889">
        <v>2471</v>
      </c>
      <c r="C50" s="890">
        <v>353</v>
      </c>
      <c r="D50" s="890">
        <v>0</v>
      </c>
      <c r="E50" s="891">
        <v>0.41971830985915493</v>
      </c>
      <c r="F50" s="891">
        <v>0</v>
      </c>
      <c r="G50" s="891">
        <f t="shared" si="18"/>
        <v>148.1605633802817</v>
      </c>
      <c r="H50" s="891">
        <f t="shared" si="18"/>
        <v>0</v>
      </c>
      <c r="K50" s="891">
        <v>0.31339031339031298</v>
      </c>
      <c r="L50" s="891">
        <v>0</v>
      </c>
      <c r="M50" s="891">
        <v>3.7037037037037E-2</v>
      </c>
      <c r="N50" s="891">
        <v>0</v>
      </c>
      <c r="O50" s="891">
        <v>0.20512820512820501</v>
      </c>
      <c r="P50" s="891">
        <v>0</v>
      </c>
      <c r="Q50" s="891">
        <v>0.29059829059829101</v>
      </c>
      <c r="R50" s="891">
        <v>0</v>
      </c>
      <c r="S50" s="891">
        <v>1.13960113960114E-2</v>
      </c>
      <c r="T50" s="891">
        <v>0</v>
      </c>
      <c r="U50" s="891">
        <v>0</v>
      </c>
      <c r="V50" s="891">
        <v>0</v>
      </c>
      <c r="X50" s="891">
        <f t="shared" si="19"/>
        <v>110.62678062678049</v>
      </c>
      <c r="Y50" s="891">
        <f t="shared" si="19"/>
        <v>0</v>
      </c>
      <c r="Z50" s="891">
        <f t="shared" si="20"/>
        <v>13.074074074074062</v>
      </c>
      <c r="AA50" s="891">
        <f t="shared" si="20"/>
        <v>0</v>
      </c>
      <c r="AB50" s="891">
        <f t="shared" si="21"/>
        <v>72.410256410256366</v>
      </c>
      <c r="AC50" s="891">
        <f t="shared" si="21"/>
        <v>0</v>
      </c>
      <c r="AD50" s="891">
        <f t="shared" si="22"/>
        <v>102.58119658119672</v>
      </c>
      <c r="AE50" s="891">
        <f t="shared" si="22"/>
        <v>0</v>
      </c>
      <c r="AF50" s="891">
        <f t="shared" si="23"/>
        <v>4.0227920227920242</v>
      </c>
      <c r="AG50" s="891">
        <f t="shared" si="23"/>
        <v>0</v>
      </c>
      <c r="AH50" s="891">
        <f t="shared" si="24"/>
        <v>0</v>
      </c>
      <c r="AI50" s="891">
        <f t="shared" si="24"/>
        <v>0</v>
      </c>
      <c r="AL50" s="891">
        <v>2.91545189504373E-3</v>
      </c>
      <c r="AM50" s="891">
        <v>0</v>
      </c>
      <c r="AO50">
        <f t="shared" si="25"/>
        <v>1.0291545189504367</v>
      </c>
      <c r="AP50">
        <f t="shared" si="25"/>
        <v>0</v>
      </c>
      <c r="AS50" s="892">
        <v>5.09915014164306E-2</v>
      </c>
      <c r="AT50" s="892">
        <v>0</v>
      </c>
      <c r="AU50" s="892">
        <f t="shared" si="10"/>
        <v>-4.9008498583569406E-2</v>
      </c>
      <c r="AV50" s="907">
        <f t="shared" si="10"/>
        <v>-0.1</v>
      </c>
      <c r="AX50">
        <f t="shared" si="11"/>
        <v>0</v>
      </c>
      <c r="AY50">
        <f t="shared" si="11"/>
        <v>0</v>
      </c>
      <c r="BA50" s="891">
        <v>2.8169014084507044E-3</v>
      </c>
      <c r="BC50">
        <f t="shared" si="26"/>
        <v>0.9943661971830986</v>
      </c>
      <c r="BF50">
        <v>0</v>
      </c>
      <c r="BG50" s="891"/>
      <c r="BK50" s="1139">
        <f t="shared" si="15"/>
        <v>5.09915014164306E-2</v>
      </c>
      <c r="BL50" s="1139">
        <f t="shared" si="16"/>
        <v>0</v>
      </c>
    </row>
    <row r="51" spans="1:64" ht="12.75" x14ac:dyDescent="0.2">
      <c r="A51" s="888" t="s">
        <v>43</v>
      </c>
      <c r="B51" s="889">
        <v>2420</v>
      </c>
      <c r="C51" s="890">
        <v>520.83333333333337</v>
      </c>
      <c r="D51" s="890">
        <v>0</v>
      </c>
      <c r="E51" s="891">
        <v>0.59251968503937003</v>
      </c>
      <c r="F51" s="891">
        <v>0</v>
      </c>
      <c r="G51" s="891">
        <f t="shared" si="18"/>
        <v>308.60400262467192</v>
      </c>
      <c r="H51" s="891">
        <f t="shared" si="18"/>
        <v>0</v>
      </c>
      <c r="K51" s="891">
        <v>2.0080321285140599E-3</v>
      </c>
      <c r="L51" s="891">
        <v>0</v>
      </c>
      <c r="M51" s="891">
        <v>0</v>
      </c>
      <c r="N51" s="891">
        <v>0</v>
      </c>
      <c r="O51" s="891">
        <v>0.11044176706827299</v>
      </c>
      <c r="P51" s="891">
        <v>0</v>
      </c>
      <c r="Q51" s="891">
        <v>0.54618473895582298</v>
      </c>
      <c r="R51" s="891">
        <v>0</v>
      </c>
      <c r="S51" s="891">
        <v>0.339357429718876</v>
      </c>
      <c r="T51" s="891">
        <v>0</v>
      </c>
      <c r="U51" s="891">
        <v>0</v>
      </c>
      <c r="V51" s="891">
        <v>0</v>
      </c>
      <c r="X51" s="891">
        <f t="shared" si="19"/>
        <v>1.0458500669344062</v>
      </c>
      <c r="Y51" s="891">
        <f t="shared" si="19"/>
        <v>0</v>
      </c>
      <c r="Z51" s="891">
        <f t="shared" si="20"/>
        <v>0</v>
      </c>
      <c r="AA51" s="891">
        <f t="shared" si="20"/>
        <v>0</v>
      </c>
      <c r="AB51" s="891">
        <f t="shared" si="21"/>
        <v>57.521753681392191</v>
      </c>
      <c r="AC51" s="891">
        <f t="shared" si="21"/>
        <v>0</v>
      </c>
      <c r="AD51" s="891">
        <f t="shared" si="22"/>
        <v>284.4712182061578</v>
      </c>
      <c r="AE51" s="891">
        <f t="shared" si="22"/>
        <v>0</v>
      </c>
      <c r="AF51" s="891">
        <f t="shared" si="23"/>
        <v>176.74866131191459</v>
      </c>
      <c r="AG51" s="891">
        <f t="shared" si="23"/>
        <v>0</v>
      </c>
      <c r="AH51" s="891">
        <f t="shared" si="24"/>
        <v>0</v>
      </c>
      <c r="AI51" s="891">
        <f t="shared" si="24"/>
        <v>0</v>
      </c>
      <c r="AL51" s="891">
        <v>0.26590909090909098</v>
      </c>
      <c r="AM51" s="891">
        <v>0</v>
      </c>
      <c r="AO51">
        <f t="shared" si="25"/>
        <v>138.49431818181824</v>
      </c>
      <c r="AP51">
        <f t="shared" si="25"/>
        <v>0</v>
      </c>
      <c r="AS51" s="892">
        <v>0.20758483033932101</v>
      </c>
      <c r="AT51" s="892">
        <v>0</v>
      </c>
      <c r="AU51" s="892">
        <f t="shared" si="10"/>
        <v>0.10758483033932101</v>
      </c>
      <c r="AV51" s="907">
        <f t="shared" si="10"/>
        <v>-0.1</v>
      </c>
      <c r="AX51">
        <f t="shared" si="11"/>
        <v>56.033765801729693</v>
      </c>
      <c r="AY51">
        <f t="shared" si="11"/>
        <v>0</v>
      </c>
      <c r="BA51" s="891">
        <v>1.968503937007874E-3</v>
      </c>
      <c r="BC51">
        <f t="shared" si="26"/>
        <v>1.0252624671916011</v>
      </c>
      <c r="BF51">
        <v>0</v>
      </c>
      <c r="BG51" s="891"/>
      <c r="BK51" s="1139">
        <f t="shared" si="15"/>
        <v>0.20758483033932101</v>
      </c>
      <c r="BL51" s="1139">
        <f t="shared" si="16"/>
        <v>0</v>
      </c>
    </row>
    <row r="52" spans="1:64" ht="12.75" x14ac:dyDescent="0.2">
      <c r="A52" s="888" t="s">
        <v>45</v>
      </c>
      <c r="B52" s="889">
        <v>2003</v>
      </c>
      <c r="C52" s="890">
        <v>210</v>
      </c>
      <c r="D52" s="890">
        <v>0</v>
      </c>
      <c r="E52" s="891">
        <v>7.5471698113207544E-2</v>
      </c>
      <c r="F52" s="891">
        <v>0</v>
      </c>
      <c r="G52" s="891">
        <f t="shared" si="18"/>
        <v>15.849056603773585</v>
      </c>
      <c r="H52" s="891">
        <f t="shared" si="18"/>
        <v>0</v>
      </c>
      <c r="K52" s="891">
        <v>9.5238095238095195E-3</v>
      </c>
      <c r="L52" s="891">
        <v>0</v>
      </c>
      <c r="M52" s="891">
        <v>1.9047619047619001E-2</v>
      </c>
      <c r="N52" s="891">
        <v>0</v>
      </c>
      <c r="O52" s="891">
        <v>0</v>
      </c>
      <c r="P52" s="891">
        <v>0</v>
      </c>
      <c r="Q52" s="891">
        <v>0</v>
      </c>
      <c r="R52" s="891">
        <v>0</v>
      </c>
      <c r="S52" s="891">
        <v>0</v>
      </c>
      <c r="T52" s="891">
        <v>0</v>
      </c>
      <c r="U52" s="891">
        <v>0</v>
      </c>
      <c r="V52" s="891">
        <v>0</v>
      </c>
      <c r="X52" s="891">
        <f t="shared" si="19"/>
        <v>1.9999999999999991</v>
      </c>
      <c r="Y52" s="891">
        <f t="shared" si="19"/>
        <v>0</v>
      </c>
      <c r="Z52" s="891">
        <f t="shared" si="20"/>
        <v>3.9999999999999902</v>
      </c>
      <c r="AA52" s="891">
        <f t="shared" si="20"/>
        <v>0</v>
      </c>
      <c r="AB52" s="891">
        <f t="shared" si="21"/>
        <v>0</v>
      </c>
      <c r="AC52" s="891">
        <f t="shared" si="21"/>
        <v>0</v>
      </c>
      <c r="AD52" s="891">
        <f t="shared" si="22"/>
        <v>0</v>
      </c>
      <c r="AE52" s="891">
        <f t="shared" si="22"/>
        <v>0</v>
      </c>
      <c r="AF52" s="891">
        <f t="shared" si="23"/>
        <v>0</v>
      </c>
      <c r="AG52" s="891">
        <f t="shared" si="23"/>
        <v>0</v>
      </c>
      <c r="AH52" s="891">
        <f t="shared" si="24"/>
        <v>0</v>
      </c>
      <c r="AI52" s="891">
        <f t="shared" si="24"/>
        <v>0</v>
      </c>
      <c r="AL52" s="891">
        <v>1.6666666666666701E-2</v>
      </c>
      <c r="AM52" s="891">
        <v>0</v>
      </c>
      <c r="AO52">
        <f t="shared" si="25"/>
        <v>3.5000000000000071</v>
      </c>
      <c r="AP52">
        <f t="shared" si="25"/>
        <v>0</v>
      </c>
      <c r="AS52" s="892">
        <v>7.6190476190476197E-2</v>
      </c>
      <c r="AT52" s="892">
        <v>0</v>
      </c>
      <c r="AU52" s="892">
        <f t="shared" si="10"/>
        <v>-2.3809523809523808E-2</v>
      </c>
      <c r="AV52" s="907">
        <f t="shared" si="10"/>
        <v>-0.1</v>
      </c>
      <c r="AX52">
        <f t="shared" si="11"/>
        <v>0</v>
      </c>
      <c r="AY52">
        <f t="shared" si="11"/>
        <v>0</v>
      </c>
      <c r="BA52" s="891">
        <v>0</v>
      </c>
      <c r="BC52">
        <f t="shared" si="26"/>
        <v>0</v>
      </c>
      <c r="BF52">
        <v>0</v>
      </c>
      <c r="BG52" s="891"/>
      <c r="BK52" s="1139">
        <f t="shared" si="15"/>
        <v>7.6190476190476197E-2</v>
      </c>
      <c r="BL52" s="1139">
        <f t="shared" si="16"/>
        <v>0</v>
      </c>
    </row>
    <row r="53" spans="1:64" ht="12.75" x14ac:dyDescent="0.2">
      <c r="A53" s="888" t="s">
        <v>46</v>
      </c>
      <c r="B53" s="889">
        <v>2423</v>
      </c>
      <c r="C53" s="890">
        <v>341</v>
      </c>
      <c r="D53" s="890">
        <v>0</v>
      </c>
      <c r="E53" s="891">
        <v>0.58092485549132944</v>
      </c>
      <c r="F53" s="891">
        <v>0</v>
      </c>
      <c r="G53" s="891">
        <f t="shared" si="18"/>
        <v>198.09537572254334</v>
      </c>
      <c r="H53" s="891">
        <f t="shared" si="18"/>
        <v>0</v>
      </c>
      <c r="K53" s="891">
        <v>5.8651026392961903E-3</v>
      </c>
      <c r="L53" s="891">
        <v>0</v>
      </c>
      <c r="M53" s="891">
        <v>2.9325513196480899E-3</v>
      </c>
      <c r="N53" s="891">
        <v>0</v>
      </c>
      <c r="O53" s="891">
        <v>0.50733137829912001</v>
      </c>
      <c r="P53" s="891">
        <v>0</v>
      </c>
      <c r="Q53" s="891">
        <v>0.45747800586510301</v>
      </c>
      <c r="R53" s="891">
        <v>0</v>
      </c>
      <c r="S53" s="891">
        <v>1.7595307917888599E-2</v>
      </c>
      <c r="T53" s="891">
        <v>0</v>
      </c>
      <c r="U53" s="891">
        <v>0</v>
      </c>
      <c r="V53" s="891">
        <v>0</v>
      </c>
      <c r="X53" s="891">
        <f t="shared" si="19"/>
        <v>2.0000000000000009</v>
      </c>
      <c r="Y53" s="891">
        <f t="shared" si="19"/>
        <v>0</v>
      </c>
      <c r="Z53" s="891">
        <f t="shared" si="20"/>
        <v>0.99999999999999867</v>
      </c>
      <c r="AA53" s="891">
        <f t="shared" si="20"/>
        <v>0</v>
      </c>
      <c r="AB53" s="891">
        <f t="shared" si="21"/>
        <v>172.99999999999991</v>
      </c>
      <c r="AC53" s="891">
        <f t="shared" si="21"/>
        <v>0</v>
      </c>
      <c r="AD53" s="891">
        <f t="shared" si="22"/>
        <v>156.00000000000011</v>
      </c>
      <c r="AE53" s="891">
        <f t="shared" si="22"/>
        <v>0</v>
      </c>
      <c r="AF53" s="891">
        <f t="shared" si="23"/>
        <v>6.0000000000000124</v>
      </c>
      <c r="AG53" s="891">
        <f t="shared" si="23"/>
        <v>0</v>
      </c>
      <c r="AH53" s="891">
        <f t="shared" si="24"/>
        <v>0</v>
      </c>
      <c r="AI53" s="891">
        <f t="shared" si="24"/>
        <v>0</v>
      </c>
      <c r="AL53" s="891">
        <v>0.38872403560830898</v>
      </c>
      <c r="AM53" s="891">
        <v>0</v>
      </c>
      <c r="AO53">
        <f t="shared" si="25"/>
        <v>132.55489614243336</v>
      </c>
      <c r="AP53">
        <f t="shared" si="25"/>
        <v>0</v>
      </c>
      <c r="AS53" s="892">
        <v>0.18181818181818199</v>
      </c>
      <c r="AT53" s="892">
        <v>0</v>
      </c>
      <c r="AU53" s="892">
        <f t="shared" si="10"/>
        <v>8.1818181818181984E-2</v>
      </c>
      <c r="AV53" s="907">
        <f t="shared" si="10"/>
        <v>-0.1</v>
      </c>
      <c r="AX53">
        <f t="shared" si="11"/>
        <v>27.900000000000055</v>
      </c>
      <c r="AY53">
        <f t="shared" si="11"/>
        <v>0</v>
      </c>
      <c r="BA53" s="891">
        <v>0</v>
      </c>
      <c r="BC53">
        <f t="shared" si="26"/>
        <v>0</v>
      </c>
      <c r="BF53">
        <v>0</v>
      </c>
      <c r="BG53" s="891"/>
      <c r="BK53" s="1139">
        <f t="shared" si="15"/>
        <v>0.18181818181818199</v>
      </c>
      <c r="BL53" s="1139">
        <f t="shared" si="16"/>
        <v>0</v>
      </c>
    </row>
    <row r="54" spans="1:64" ht="12.75" x14ac:dyDescent="0.2">
      <c r="A54" s="888" t="s">
        <v>47</v>
      </c>
      <c r="B54" s="889">
        <v>2424</v>
      </c>
      <c r="C54" s="890">
        <v>262</v>
      </c>
      <c r="D54" s="890">
        <v>0</v>
      </c>
      <c r="E54" s="891">
        <v>0.45185185185185184</v>
      </c>
      <c r="F54" s="891">
        <v>0</v>
      </c>
      <c r="G54" s="891">
        <f t="shared" si="18"/>
        <v>118.38518518518518</v>
      </c>
      <c r="H54" s="891">
        <f t="shared" si="18"/>
        <v>0</v>
      </c>
      <c r="K54" s="891">
        <v>0</v>
      </c>
      <c r="L54" s="891">
        <v>0</v>
      </c>
      <c r="M54" s="891">
        <v>3.8461538461538498E-3</v>
      </c>
      <c r="N54" s="891">
        <v>0</v>
      </c>
      <c r="O54" s="891">
        <v>0.53846153846153799</v>
      </c>
      <c r="P54" s="891">
        <v>0</v>
      </c>
      <c r="Q54" s="891">
        <v>0.40769230769230802</v>
      </c>
      <c r="R54" s="891">
        <v>0</v>
      </c>
      <c r="S54" s="891">
        <v>1.9230769230769201E-2</v>
      </c>
      <c r="T54" s="891">
        <v>0</v>
      </c>
      <c r="U54" s="891">
        <v>0</v>
      </c>
      <c r="V54" s="891">
        <v>0</v>
      </c>
      <c r="X54" s="891">
        <f t="shared" si="19"/>
        <v>0</v>
      </c>
      <c r="Y54" s="891">
        <f t="shared" si="19"/>
        <v>0</v>
      </c>
      <c r="Z54" s="891">
        <f t="shared" si="20"/>
        <v>1.0076923076923086</v>
      </c>
      <c r="AA54" s="891">
        <f t="shared" si="20"/>
        <v>0</v>
      </c>
      <c r="AB54" s="891">
        <f t="shared" si="21"/>
        <v>141.07692307692295</v>
      </c>
      <c r="AC54" s="891">
        <f t="shared" si="21"/>
        <v>0</v>
      </c>
      <c r="AD54" s="891">
        <f t="shared" si="22"/>
        <v>106.8153846153847</v>
      </c>
      <c r="AE54" s="891">
        <f t="shared" si="22"/>
        <v>0</v>
      </c>
      <c r="AF54" s="891">
        <f t="shared" si="23"/>
        <v>5.0384615384615303</v>
      </c>
      <c r="AG54" s="891">
        <f t="shared" si="23"/>
        <v>0</v>
      </c>
      <c r="AH54" s="891">
        <f t="shared" si="24"/>
        <v>0</v>
      </c>
      <c r="AI54" s="891">
        <f t="shared" si="24"/>
        <v>0</v>
      </c>
      <c r="AL54" s="891">
        <v>0.70857142857142896</v>
      </c>
      <c r="AM54" s="891">
        <v>0</v>
      </c>
      <c r="AO54">
        <f t="shared" si="25"/>
        <v>185.64571428571438</v>
      </c>
      <c r="AP54">
        <f t="shared" si="25"/>
        <v>0</v>
      </c>
      <c r="AS54" s="892">
        <v>8.3969465648855005E-2</v>
      </c>
      <c r="AT54" s="892">
        <v>0</v>
      </c>
      <c r="AU54" s="892">
        <f t="shared" si="10"/>
        <v>-1.6030534351145001E-2</v>
      </c>
      <c r="AV54" s="907">
        <f t="shared" si="10"/>
        <v>-0.1</v>
      </c>
      <c r="AX54">
        <f t="shared" si="11"/>
        <v>0</v>
      </c>
      <c r="AY54">
        <f t="shared" si="11"/>
        <v>0</v>
      </c>
      <c r="BA54" s="891">
        <v>1.1111111111111112E-2</v>
      </c>
      <c r="BC54">
        <f t="shared" si="26"/>
        <v>2.9111111111111114</v>
      </c>
      <c r="BF54">
        <v>0</v>
      </c>
      <c r="BG54" s="891"/>
      <c r="BK54" s="1139">
        <f t="shared" si="15"/>
        <v>8.3969465648855005E-2</v>
      </c>
      <c r="BL54" s="1139">
        <f t="shared" si="16"/>
        <v>0</v>
      </c>
    </row>
    <row r="55" spans="1:64" ht="12.75" x14ac:dyDescent="0.2">
      <c r="A55" s="888" t="s">
        <v>48</v>
      </c>
      <c r="B55" s="889">
        <v>2439</v>
      </c>
      <c r="C55" s="890">
        <v>260</v>
      </c>
      <c r="D55" s="890">
        <v>0</v>
      </c>
      <c r="E55" s="891">
        <v>7.7821011673151752E-2</v>
      </c>
      <c r="F55" s="891">
        <v>0</v>
      </c>
      <c r="G55" s="891">
        <f t="shared" si="18"/>
        <v>20.233463035019454</v>
      </c>
      <c r="H55" s="891">
        <f t="shared" si="18"/>
        <v>0</v>
      </c>
      <c r="K55" s="891">
        <v>3.47490347490347E-2</v>
      </c>
      <c r="L55" s="891">
        <v>0</v>
      </c>
      <c r="M55" s="891">
        <v>1.9305019305019301E-2</v>
      </c>
      <c r="N55" s="891">
        <v>0</v>
      </c>
      <c r="O55" s="891">
        <v>3.47490347490347E-2</v>
      </c>
      <c r="P55" s="891">
        <v>0</v>
      </c>
      <c r="Q55" s="891">
        <v>2.31660231660232E-2</v>
      </c>
      <c r="R55" s="891">
        <v>0</v>
      </c>
      <c r="S55" s="891">
        <v>7.7220077220077196E-3</v>
      </c>
      <c r="T55" s="891">
        <v>0</v>
      </c>
      <c r="U55" s="891">
        <v>0</v>
      </c>
      <c r="V55" s="891">
        <v>0</v>
      </c>
      <c r="X55" s="891">
        <f t="shared" si="19"/>
        <v>9.0347490347490229</v>
      </c>
      <c r="Y55" s="891">
        <f t="shared" si="19"/>
        <v>0</v>
      </c>
      <c r="Z55" s="891">
        <f t="shared" si="20"/>
        <v>5.0193050193050182</v>
      </c>
      <c r="AA55" s="891">
        <f t="shared" si="20"/>
        <v>0</v>
      </c>
      <c r="AB55" s="891">
        <f t="shared" si="21"/>
        <v>9.0347490347490229</v>
      </c>
      <c r="AC55" s="891">
        <f t="shared" si="21"/>
        <v>0</v>
      </c>
      <c r="AD55" s="891">
        <f t="shared" si="22"/>
        <v>6.0231660231660316</v>
      </c>
      <c r="AE55" s="891">
        <f t="shared" si="22"/>
        <v>0</v>
      </c>
      <c r="AF55" s="891">
        <f t="shared" si="23"/>
        <v>2.0077220077220073</v>
      </c>
      <c r="AG55" s="891">
        <f t="shared" si="23"/>
        <v>0</v>
      </c>
      <c r="AH55" s="891">
        <f t="shared" si="24"/>
        <v>0</v>
      </c>
      <c r="AI55" s="891">
        <f t="shared" si="24"/>
        <v>0</v>
      </c>
      <c r="AL55" s="891">
        <v>4.11764705882353E-2</v>
      </c>
      <c r="AM55" s="891">
        <v>0</v>
      </c>
      <c r="AO55">
        <f t="shared" si="25"/>
        <v>10.705882352941178</v>
      </c>
      <c r="AP55">
        <f t="shared" si="25"/>
        <v>0</v>
      </c>
      <c r="AS55" s="892">
        <v>1.1538461538461499E-2</v>
      </c>
      <c r="AT55" s="892">
        <v>0</v>
      </c>
      <c r="AU55" s="892">
        <f t="shared" si="10"/>
        <v>-8.8461538461538508E-2</v>
      </c>
      <c r="AV55" s="907">
        <f t="shared" si="10"/>
        <v>-0.1</v>
      </c>
      <c r="AX55">
        <f t="shared" si="11"/>
        <v>0</v>
      </c>
      <c r="AY55">
        <f t="shared" si="11"/>
        <v>0</v>
      </c>
      <c r="BA55" s="891">
        <v>0</v>
      </c>
      <c r="BC55">
        <f t="shared" si="26"/>
        <v>0</v>
      </c>
      <c r="BF55">
        <v>0</v>
      </c>
      <c r="BG55" s="891"/>
      <c r="BK55" s="1139">
        <f t="shared" si="15"/>
        <v>1.1538461538461499E-2</v>
      </c>
      <c r="BL55" s="1139">
        <f t="shared" si="16"/>
        <v>0</v>
      </c>
    </row>
    <row r="56" spans="1:64" ht="12.75" x14ac:dyDescent="0.2">
      <c r="A56" s="888" t="s">
        <v>49</v>
      </c>
      <c r="B56" s="889">
        <v>2440</v>
      </c>
      <c r="C56" s="890">
        <v>326</v>
      </c>
      <c r="D56" s="890">
        <v>0</v>
      </c>
      <c r="E56" s="891">
        <v>0.10736196319018405</v>
      </c>
      <c r="F56" s="891">
        <v>0</v>
      </c>
      <c r="G56" s="891">
        <f t="shared" si="18"/>
        <v>35</v>
      </c>
      <c r="H56" s="891">
        <f t="shared" si="18"/>
        <v>0</v>
      </c>
      <c r="K56" s="891">
        <v>3.0674846625766899E-2</v>
      </c>
      <c r="L56" s="891">
        <v>0</v>
      </c>
      <c r="M56" s="891">
        <v>2.14723926380368E-2</v>
      </c>
      <c r="N56" s="891">
        <v>0</v>
      </c>
      <c r="O56" s="891">
        <v>1.5337423312883401E-2</v>
      </c>
      <c r="P56" s="891">
        <v>0</v>
      </c>
      <c r="Q56" s="891">
        <v>9.2024539877300603E-3</v>
      </c>
      <c r="R56" s="891">
        <v>0</v>
      </c>
      <c r="S56" s="891">
        <v>0</v>
      </c>
      <c r="T56" s="891">
        <v>0</v>
      </c>
      <c r="U56" s="891">
        <v>0</v>
      </c>
      <c r="V56" s="891">
        <v>0</v>
      </c>
      <c r="X56" s="891">
        <f t="shared" si="19"/>
        <v>10.000000000000009</v>
      </c>
      <c r="Y56" s="891">
        <f t="shared" si="19"/>
        <v>0</v>
      </c>
      <c r="Z56" s="891">
        <f t="shared" si="20"/>
        <v>6.9999999999999973</v>
      </c>
      <c r="AA56" s="891">
        <f t="shared" si="20"/>
        <v>0</v>
      </c>
      <c r="AB56" s="891">
        <f t="shared" si="21"/>
        <v>4.9999999999999885</v>
      </c>
      <c r="AC56" s="891">
        <f t="shared" si="21"/>
        <v>0</v>
      </c>
      <c r="AD56" s="891">
        <f t="shared" si="22"/>
        <v>2.9999999999999996</v>
      </c>
      <c r="AE56" s="891">
        <f t="shared" si="22"/>
        <v>0</v>
      </c>
      <c r="AF56" s="891">
        <f t="shared" si="23"/>
        <v>0</v>
      </c>
      <c r="AG56" s="891">
        <f t="shared" si="23"/>
        <v>0</v>
      </c>
      <c r="AH56" s="891">
        <f t="shared" si="24"/>
        <v>0</v>
      </c>
      <c r="AI56" s="891">
        <f t="shared" si="24"/>
        <v>0</v>
      </c>
      <c r="AL56" s="891">
        <v>1.5337423312883401E-2</v>
      </c>
      <c r="AM56" s="891">
        <v>0</v>
      </c>
      <c r="AO56">
        <f t="shared" si="25"/>
        <v>4.9999999999999885</v>
      </c>
      <c r="AP56">
        <f t="shared" si="25"/>
        <v>0</v>
      </c>
      <c r="AS56" s="892">
        <v>3.0674846625766899E-2</v>
      </c>
      <c r="AT56" s="892">
        <v>0</v>
      </c>
      <c r="AU56" s="892">
        <f t="shared" si="10"/>
        <v>-6.9325153374233103E-2</v>
      </c>
      <c r="AV56" s="907">
        <f t="shared" si="10"/>
        <v>-0.1</v>
      </c>
      <c r="AX56">
        <f t="shared" si="11"/>
        <v>0</v>
      </c>
      <c r="AY56">
        <f t="shared" si="11"/>
        <v>0</v>
      </c>
      <c r="BA56" s="891">
        <v>3.0674846625766872E-3</v>
      </c>
      <c r="BC56">
        <f t="shared" si="26"/>
        <v>1</v>
      </c>
      <c r="BF56">
        <v>0</v>
      </c>
      <c r="BG56" s="891"/>
      <c r="BK56" s="1139">
        <f t="shared" si="15"/>
        <v>3.0674846625766899E-2</v>
      </c>
      <c r="BL56" s="1139">
        <f t="shared" si="16"/>
        <v>0</v>
      </c>
    </row>
    <row r="57" spans="1:64" ht="12.75" x14ac:dyDescent="0.2">
      <c r="A57" s="888" t="s">
        <v>102</v>
      </c>
      <c r="B57" s="889">
        <v>2462</v>
      </c>
      <c r="C57" s="890">
        <v>218</v>
      </c>
      <c r="D57" s="890">
        <v>0</v>
      </c>
      <c r="E57" s="891">
        <v>0.11475409836065574</v>
      </c>
      <c r="F57" s="891">
        <v>0</v>
      </c>
      <c r="G57" s="891">
        <f t="shared" si="18"/>
        <v>25.016393442622952</v>
      </c>
      <c r="H57" s="891">
        <f t="shared" si="18"/>
        <v>0</v>
      </c>
      <c r="K57" s="891">
        <v>0.31018518518518501</v>
      </c>
      <c r="L57" s="891">
        <v>0</v>
      </c>
      <c r="M57" s="891">
        <v>7.8703703703703706E-2</v>
      </c>
      <c r="N57" s="891">
        <v>0</v>
      </c>
      <c r="O57" s="891">
        <v>0.134259259259259</v>
      </c>
      <c r="P57" s="891">
        <v>0</v>
      </c>
      <c r="Q57" s="891">
        <v>6.0185185185185203E-2</v>
      </c>
      <c r="R57" s="891">
        <v>0</v>
      </c>
      <c r="S57" s="891">
        <v>2.3148148148148098E-2</v>
      </c>
      <c r="T57" s="891">
        <v>0</v>
      </c>
      <c r="U57" s="891">
        <v>0</v>
      </c>
      <c r="V57" s="891">
        <v>0</v>
      </c>
      <c r="X57" s="891">
        <f t="shared" si="19"/>
        <v>67.620370370370338</v>
      </c>
      <c r="Y57" s="891">
        <f t="shared" si="19"/>
        <v>0</v>
      </c>
      <c r="Z57" s="891">
        <f t="shared" si="20"/>
        <v>17.157407407407408</v>
      </c>
      <c r="AA57" s="891">
        <f t="shared" si="20"/>
        <v>0</v>
      </c>
      <c r="AB57" s="891">
        <f t="shared" si="21"/>
        <v>29.268518518518462</v>
      </c>
      <c r="AC57" s="891">
        <f t="shared" si="21"/>
        <v>0</v>
      </c>
      <c r="AD57" s="891">
        <f t="shared" si="22"/>
        <v>13.120370370370374</v>
      </c>
      <c r="AE57" s="891">
        <f t="shared" si="22"/>
        <v>0</v>
      </c>
      <c r="AF57" s="891">
        <f t="shared" si="23"/>
        <v>5.0462962962962852</v>
      </c>
      <c r="AG57" s="891">
        <f t="shared" si="23"/>
        <v>0</v>
      </c>
      <c r="AH57" s="891">
        <f t="shared" si="24"/>
        <v>0</v>
      </c>
      <c r="AI57" s="891">
        <f t="shared" si="24"/>
        <v>0</v>
      </c>
      <c r="AL57" s="891">
        <v>0.24183006535947699</v>
      </c>
      <c r="AM57" s="891">
        <v>0</v>
      </c>
      <c r="AO57">
        <f t="shared" si="25"/>
        <v>52.718954248365982</v>
      </c>
      <c r="AP57">
        <f t="shared" si="25"/>
        <v>0</v>
      </c>
      <c r="AS57" s="892">
        <v>6.8807339449541302E-2</v>
      </c>
      <c r="AT57" s="892">
        <v>0</v>
      </c>
      <c r="AU57" s="892">
        <f t="shared" si="10"/>
        <v>-3.1192660550458703E-2</v>
      </c>
      <c r="AV57" s="907">
        <f t="shared" si="10"/>
        <v>-0.1</v>
      </c>
      <c r="AX57">
        <f t="shared" si="11"/>
        <v>0</v>
      </c>
      <c r="AY57">
        <f t="shared" si="11"/>
        <v>0</v>
      </c>
      <c r="BA57" s="891">
        <v>0</v>
      </c>
      <c r="BC57">
        <f t="shared" si="26"/>
        <v>0</v>
      </c>
      <c r="BF57">
        <v>0</v>
      </c>
      <c r="BG57" s="891"/>
      <c r="BK57" s="1139">
        <f t="shared" si="15"/>
        <v>6.8807339449541302E-2</v>
      </c>
      <c r="BL57" s="1139">
        <f t="shared" si="16"/>
        <v>0</v>
      </c>
    </row>
    <row r="58" spans="1:64" ht="12.75" x14ac:dyDescent="0.2">
      <c r="A58" s="888" t="s">
        <v>50</v>
      </c>
      <c r="B58" s="889">
        <v>2463</v>
      </c>
      <c r="C58" s="890">
        <v>348</v>
      </c>
      <c r="D58" s="890">
        <v>0</v>
      </c>
      <c r="E58" s="891">
        <v>0.2676470588235294</v>
      </c>
      <c r="F58" s="891">
        <v>0</v>
      </c>
      <c r="G58" s="891">
        <f t="shared" si="18"/>
        <v>93.141176470588235</v>
      </c>
      <c r="H58" s="891">
        <f t="shared" si="18"/>
        <v>0</v>
      </c>
      <c r="K58" s="891">
        <v>0.22898550724637701</v>
      </c>
      <c r="L58" s="891">
        <v>0</v>
      </c>
      <c r="M58" s="891">
        <v>5.21739130434783E-2</v>
      </c>
      <c r="N58" s="891">
        <v>0</v>
      </c>
      <c r="O58" s="891">
        <v>8.4057971014492694E-2</v>
      </c>
      <c r="P58" s="891">
        <v>0</v>
      </c>
      <c r="Q58" s="891">
        <v>5.21739130434783E-2</v>
      </c>
      <c r="R58" s="891">
        <v>0</v>
      </c>
      <c r="S58" s="891">
        <v>1.15942028985507E-2</v>
      </c>
      <c r="T58" s="891">
        <v>0</v>
      </c>
      <c r="U58" s="891">
        <v>0</v>
      </c>
      <c r="V58" s="891">
        <v>0</v>
      </c>
      <c r="X58" s="891">
        <f t="shared" si="19"/>
        <v>79.686956521739205</v>
      </c>
      <c r="Y58" s="891">
        <f t="shared" si="19"/>
        <v>0</v>
      </c>
      <c r="Z58" s="891">
        <f t="shared" si="20"/>
        <v>18.156521739130447</v>
      </c>
      <c r="AA58" s="891">
        <f t="shared" si="20"/>
        <v>0</v>
      </c>
      <c r="AB58" s="891">
        <f t="shared" si="21"/>
        <v>29.252173913043457</v>
      </c>
      <c r="AC58" s="891">
        <f t="shared" si="21"/>
        <v>0</v>
      </c>
      <c r="AD58" s="891">
        <f t="shared" si="22"/>
        <v>18.156521739130447</v>
      </c>
      <c r="AE58" s="891">
        <f t="shared" si="22"/>
        <v>0</v>
      </c>
      <c r="AF58" s="891">
        <f t="shared" si="23"/>
        <v>4.034782608695644</v>
      </c>
      <c r="AG58" s="891">
        <f t="shared" si="23"/>
        <v>0</v>
      </c>
      <c r="AH58" s="891">
        <f t="shared" si="24"/>
        <v>0</v>
      </c>
      <c r="AI58" s="891">
        <f t="shared" si="24"/>
        <v>0</v>
      </c>
      <c r="AL58" s="891">
        <v>6.06936416184971E-2</v>
      </c>
      <c r="AM58" s="891">
        <v>0</v>
      </c>
      <c r="AO58">
        <f t="shared" si="25"/>
        <v>21.121387283236992</v>
      </c>
      <c r="AP58">
        <f t="shared" si="25"/>
        <v>0</v>
      </c>
      <c r="AS58" s="892">
        <v>6.8965517241379296E-2</v>
      </c>
      <c r="AT58" s="892">
        <v>0</v>
      </c>
      <c r="AU58" s="892">
        <f t="shared" si="10"/>
        <v>-3.103448275862071E-2</v>
      </c>
      <c r="AV58" s="907">
        <f t="shared" si="10"/>
        <v>-0.1</v>
      </c>
      <c r="AX58">
        <f t="shared" si="11"/>
        <v>0</v>
      </c>
      <c r="AY58">
        <f t="shared" si="11"/>
        <v>0</v>
      </c>
      <c r="BA58" s="891">
        <v>0</v>
      </c>
      <c r="BC58">
        <f t="shared" si="26"/>
        <v>0</v>
      </c>
      <c r="BF58">
        <v>0</v>
      </c>
      <c r="BG58" s="891"/>
      <c r="BK58" s="1139">
        <f t="shared" si="15"/>
        <v>6.8965517241379296E-2</v>
      </c>
      <c r="BL58" s="1139">
        <f t="shared" si="16"/>
        <v>0</v>
      </c>
    </row>
    <row r="59" spans="1:64" ht="12.75" x14ac:dyDescent="0.2">
      <c r="A59" s="888" t="s">
        <v>51</v>
      </c>
      <c r="B59" s="889">
        <v>2505</v>
      </c>
      <c r="C59" s="890">
        <v>561</v>
      </c>
      <c r="D59" s="890">
        <v>0</v>
      </c>
      <c r="E59" s="891">
        <v>0.36415094339622639</v>
      </c>
      <c r="F59" s="891">
        <v>0</v>
      </c>
      <c r="G59" s="891">
        <f t="shared" si="18"/>
        <v>204.28867924528299</v>
      </c>
      <c r="H59" s="891">
        <f t="shared" si="18"/>
        <v>0</v>
      </c>
      <c r="K59" s="891">
        <v>5.4151624548736503E-3</v>
      </c>
      <c r="L59" s="891">
        <v>0</v>
      </c>
      <c r="M59" s="891">
        <v>0.104693140794224</v>
      </c>
      <c r="N59" s="891">
        <v>0</v>
      </c>
      <c r="O59" s="891">
        <v>0.35198555956678701</v>
      </c>
      <c r="P59" s="891">
        <v>0</v>
      </c>
      <c r="Q59" s="891">
        <v>6.4981949458483707E-2</v>
      </c>
      <c r="R59" s="891">
        <v>0</v>
      </c>
      <c r="S59" s="891">
        <v>0.16606498194945801</v>
      </c>
      <c r="T59" s="891">
        <v>0</v>
      </c>
      <c r="U59" s="891">
        <v>0</v>
      </c>
      <c r="V59" s="891">
        <v>0</v>
      </c>
      <c r="X59" s="891">
        <f t="shared" si="19"/>
        <v>3.0379061371841178</v>
      </c>
      <c r="Y59" s="891">
        <f t="shared" si="19"/>
        <v>0</v>
      </c>
      <c r="Z59" s="891">
        <f t="shared" si="20"/>
        <v>58.732851985559662</v>
      </c>
      <c r="AA59" s="891">
        <f t="shared" si="20"/>
        <v>0</v>
      </c>
      <c r="AB59" s="891">
        <f t="shared" si="21"/>
        <v>197.46389891696751</v>
      </c>
      <c r="AC59" s="891">
        <f t="shared" si="21"/>
        <v>0</v>
      </c>
      <c r="AD59" s="891">
        <f t="shared" si="22"/>
        <v>36.454873646209357</v>
      </c>
      <c r="AE59" s="891">
        <f t="shared" si="22"/>
        <v>0</v>
      </c>
      <c r="AF59" s="891">
        <f t="shared" si="23"/>
        <v>93.162454873645942</v>
      </c>
      <c r="AG59" s="891">
        <f t="shared" si="23"/>
        <v>0</v>
      </c>
      <c r="AH59" s="891">
        <f t="shared" si="24"/>
        <v>0</v>
      </c>
      <c r="AI59" s="891">
        <f t="shared" si="24"/>
        <v>0</v>
      </c>
      <c r="AL59" s="891">
        <v>0.195020746887967</v>
      </c>
      <c r="AM59" s="891">
        <v>0</v>
      </c>
      <c r="AO59">
        <f t="shared" si="25"/>
        <v>109.40663900414948</v>
      </c>
      <c r="AP59">
        <f t="shared" si="25"/>
        <v>0</v>
      </c>
      <c r="AS59" s="892">
        <v>0.11764705882352899</v>
      </c>
      <c r="AT59" s="892">
        <v>0</v>
      </c>
      <c r="AU59" s="892">
        <f t="shared" si="10"/>
        <v>1.7647058823528988E-2</v>
      </c>
      <c r="AV59" s="907">
        <f t="shared" si="10"/>
        <v>-0.1</v>
      </c>
      <c r="AX59">
        <f t="shared" si="11"/>
        <v>9.8999999999997623</v>
      </c>
      <c r="AY59">
        <f t="shared" si="11"/>
        <v>0</v>
      </c>
      <c r="BA59" s="891">
        <v>1.8867924528301887E-3</v>
      </c>
      <c r="BC59">
        <f t="shared" si="26"/>
        <v>1.0584905660377359</v>
      </c>
      <c r="BF59">
        <v>0</v>
      </c>
      <c r="BG59" s="891"/>
      <c r="BK59" s="1139">
        <f t="shared" si="15"/>
        <v>0.11764705882352899</v>
      </c>
      <c r="BL59" s="1139">
        <f t="shared" si="16"/>
        <v>0</v>
      </c>
    </row>
    <row r="60" spans="1:64" ht="12.75" x14ac:dyDescent="0.2">
      <c r="A60" s="9" t="s">
        <v>1304</v>
      </c>
      <c r="B60" s="889">
        <v>2000</v>
      </c>
      <c r="C60" s="890">
        <v>296</v>
      </c>
      <c r="D60" s="890">
        <v>0</v>
      </c>
      <c r="E60" s="891">
        <v>0.38972809667673713</v>
      </c>
      <c r="F60" s="891">
        <v>0</v>
      </c>
      <c r="G60" s="891">
        <f t="shared" si="18"/>
        <v>115.3595166163142</v>
      </c>
      <c r="H60" s="891">
        <f t="shared" si="18"/>
        <v>0</v>
      </c>
      <c r="K60" s="891">
        <v>0.32398753894081</v>
      </c>
      <c r="L60" s="891">
        <v>0</v>
      </c>
      <c r="M60" s="891">
        <v>0.305295950155763</v>
      </c>
      <c r="N60" s="891">
        <v>0</v>
      </c>
      <c r="O60" s="891">
        <v>0.258566978193146</v>
      </c>
      <c r="P60" s="891">
        <v>0</v>
      </c>
      <c r="Q60" s="891">
        <v>2.4922118380062301E-2</v>
      </c>
      <c r="R60" s="891">
        <v>0</v>
      </c>
      <c r="S60" s="891">
        <v>3.4267912772585701E-2</v>
      </c>
      <c r="T60" s="891">
        <v>0</v>
      </c>
      <c r="U60" s="891">
        <v>0</v>
      </c>
      <c r="V60" s="891">
        <v>0</v>
      </c>
      <c r="X60" s="891">
        <f t="shared" si="19"/>
        <v>95.900311526479754</v>
      </c>
      <c r="Y60" s="891">
        <f t="shared" si="19"/>
        <v>0</v>
      </c>
      <c r="Z60" s="891">
        <f t="shared" si="20"/>
        <v>90.367601246105849</v>
      </c>
      <c r="AA60" s="891">
        <f t="shared" si="20"/>
        <v>0</v>
      </c>
      <c r="AB60" s="891">
        <f t="shared" si="21"/>
        <v>76.535825545171221</v>
      </c>
      <c r="AC60" s="891">
        <f t="shared" si="21"/>
        <v>0</v>
      </c>
      <c r="AD60" s="891">
        <f t="shared" si="22"/>
        <v>7.3769470404984414</v>
      </c>
      <c r="AE60" s="891">
        <f t="shared" si="22"/>
        <v>0</v>
      </c>
      <c r="AF60" s="891">
        <f t="shared" si="23"/>
        <v>10.143302180685367</v>
      </c>
      <c r="AG60" s="891">
        <f t="shared" si="23"/>
        <v>0</v>
      </c>
      <c r="AH60" s="891">
        <f t="shared" si="24"/>
        <v>0</v>
      </c>
      <c r="AI60" s="891">
        <f t="shared" si="24"/>
        <v>0</v>
      </c>
      <c r="AL60" s="891">
        <v>0.107142857142857</v>
      </c>
      <c r="AM60" s="891">
        <v>0</v>
      </c>
      <c r="AO60">
        <f t="shared" si="25"/>
        <v>31.714285714285673</v>
      </c>
      <c r="AP60">
        <f t="shared" si="25"/>
        <v>0</v>
      </c>
      <c r="AS60" s="892">
        <v>0.13580246913580199</v>
      </c>
      <c r="AT60" s="892">
        <v>0</v>
      </c>
      <c r="AU60" s="892">
        <f t="shared" si="10"/>
        <v>3.5802469135801984E-2</v>
      </c>
      <c r="AV60" s="907">
        <f t="shared" si="10"/>
        <v>-0.1</v>
      </c>
      <c r="AX60">
        <f t="shared" si="11"/>
        <v>10.597530864197388</v>
      </c>
      <c r="AY60">
        <f t="shared" si="11"/>
        <v>0</v>
      </c>
      <c r="BA60" s="891">
        <v>0</v>
      </c>
      <c r="BC60">
        <f t="shared" si="26"/>
        <v>0</v>
      </c>
      <c r="BF60">
        <v>0</v>
      </c>
      <c r="BG60" s="891"/>
      <c r="BK60" s="1139">
        <f t="shared" si="15"/>
        <v>0.13580246913580199</v>
      </c>
      <c r="BL60" s="1139">
        <f t="shared" si="16"/>
        <v>0</v>
      </c>
    </row>
    <row r="61" spans="1:64" ht="12.75" x14ac:dyDescent="0.2">
      <c r="A61" s="888" t="s">
        <v>53</v>
      </c>
      <c r="B61" s="889">
        <v>2458</v>
      </c>
      <c r="C61" s="890">
        <v>269</v>
      </c>
      <c r="D61" s="890">
        <v>0</v>
      </c>
      <c r="E61" s="891">
        <v>0.10408921933085502</v>
      </c>
      <c r="F61" s="891">
        <v>0</v>
      </c>
      <c r="G61" s="891">
        <f t="shared" si="18"/>
        <v>28</v>
      </c>
      <c r="H61" s="891">
        <f t="shared" si="18"/>
        <v>0</v>
      </c>
      <c r="K61" s="891">
        <v>5.5970149253731297E-2</v>
      </c>
      <c r="L61" s="891">
        <v>0</v>
      </c>
      <c r="M61" s="891">
        <v>0.182835820895522</v>
      </c>
      <c r="N61" s="891">
        <v>0</v>
      </c>
      <c r="O61" s="891">
        <v>9.7014925373134303E-2</v>
      </c>
      <c r="P61" s="891">
        <v>0</v>
      </c>
      <c r="Q61" s="891">
        <v>4.85074626865672E-2</v>
      </c>
      <c r="R61" s="891">
        <v>0</v>
      </c>
      <c r="S61" s="891">
        <v>7.4626865671641798E-3</v>
      </c>
      <c r="T61" s="891">
        <v>0</v>
      </c>
      <c r="U61" s="891">
        <v>0</v>
      </c>
      <c r="V61" s="891">
        <v>0</v>
      </c>
      <c r="X61" s="891">
        <f t="shared" si="19"/>
        <v>15.055970149253719</v>
      </c>
      <c r="Y61" s="891">
        <f t="shared" si="19"/>
        <v>0</v>
      </c>
      <c r="Z61" s="891">
        <f t="shared" si="20"/>
        <v>49.18283582089542</v>
      </c>
      <c r="AA61" s="891">
        <f t="shared" si="20"/>
        <v>0</v>
      </c>
      <c r="AB61" s="891">
        <f t="shared" si="21"/>
        <v>26.097014925373127</v>
      </c>
      <c r="AC61" s="891">
        <f t="shared" si="21"/>
        <v>0</v>
      </c>
      <c r="AD61" s="891">
        <f t="shared" si="22"/>
        <v>13.048507462686576</v>
      </c>
      <c r="AE61" s="891">
        <f t="shared" si="22"/>
        <v>0</v>
      </c>
      <c r="AF61" s="891">
        <f t="shared" si="23"/>
        <v>2.0074626865671643</v>
      </c>
      <c r="AG61" s="891">
        <f t="shared" si="23"/>
        <v>0</v>
      </c>
      <c r="AH61" s="891">
        <f t="shared" si="24"/>
        <v>0</v>
      </c>
      <c r="AI61" s="891">
        <f t="shared" si="24"/>
        <v>0</v>
      </c>
      <c r="AL61" s="891">
        <v>0.26256983240223503</v>
      </c>
      <c r="AM61" s="891">
        <v>0</v>
      </c>
      <c r="AO61">
        <f t="shared" si="25"/>
        <v>70.631284916201224</v>
      </c>
      <c r="AP61">
        <f t="shared" si="25"/>
        <v>0</v>
      </c>
      <c r="AS61" s="892">
        <v>2.2304832713754601E-2</v>
      </c>
      <c r="AT61" s="892">
        <v>0</v>
      </c>
      <c r="AU61" s="892">
        <f t="shared" si="10"/>
        <v>-7.7695167286245398E-2</v>
      </c>
      <c r="AV61" s="907">
        <f t="shared" si="10"/>
        <v>-0.1</v>
      </c>
      <c r="AX61">
        <f t="shared" si="11"/>
        <v>0</v>
      </c>
      <c r="AY61">
        <f t="shared" si="11"/>
        <v>0</v>
      </c>
      <c r="BA61" s="891">
        <v>0</v>
      </c>
      <c r="BC61">
        <f t="shared" si="26"/>
        <v>0</v>
      </c>
      <c r="BF61">
        <v>0</v>
      </c>
      <c r="BG61" s="891"/>
      <c r="BK61" s="1139">
        <f t="shared" si="15"/>
        <v>2.2304832713754601E-2</v>
      </c>
      <c r="BL61" s="1139">
        <f t="shared" si="16"/>
        <v>0</v>
      </c>
    </row>
    <row r="62" spans="1:64" ht="12.75" x14ac:dyDescent="0.2">
      <c r="A62" s="888" t="s">
        <v>54</v>
      </c>
      <c r="B62" s="889">
        <v>2001</v>
      </c>
      <c r="C62" s="890">
        <v>357</v>
      </c>
      <c r="D62" s="890">
        <v>0</v>
      </c>
      <c r="E62" s="891">
        <v>0.49275362318840582</v>
      </c>
      <c r="F62" s="891">
        <v>0</v>
      </c>
      <c r="G62" s="891">
        <f t="shared" si="18"/>
        <v>175.91304347826087</v>
      </c>
      <c r="H62" s="891">
        <f t="shared" si="18"/>
        <v>0</v>
      </c>
      <c r="K62" s="891">
        <v>8.8825214899713498E-2</v>
      </c>
      <c r="L62" s="891">
        <v>0</v>
      </c>
      <c r="M62" s="891">
        <v>0.14040114613180499</v>
      </c>
      <c r="N62" s="891">
        <v>0</v>
      </c>
      <c r="O62" s="891">
        <v>6.0171919770773602E-2</v>
      </c>
      <c r="P62" s="891">
        <v>0</v>
      </c>
      <c r="Q62" s="891">
        <v>0.18624641833810901</v>
      </c>
      <c r="R62" s="891">
        <v>0</v>
      </c>
      <c r="S62" s="891">
        <v>0.40974212034384</v>
      </c>
      <c r="T62" s="891">
        <v>0</v>
      </c>
      <c r="U62" s="891">
        <v>0</v>
      </c>
      <c r="V62" s="891">
        <v>0</v>
      </c>
      <c r="X62" s="891">
        <f t="shared" si="19"/>
        <v>31.710601719197719</v>
      </c>
      <c r="Y62" s="891">
        <f t="shared" si="19"/>
        <v>0</v>
      </c>
      <c r="Z62" s="891">
        <f t="shared" si="20"/>
        <v>50.123209169054384</v>
      </c>
      <c r="AA62" s="891">
        <f t="shared" si="20"/>
        <v>0</v>
      </c>
      <c r="AB62" s="891">
        <f t="shared" si="21"/>
        <v>21.481375358166176</v>
      </c>
      <c r="AC62" s="891">
        <f t="shared" si="21"/>
        <v>0</v>
      </c>
      <c r="AD62" s="891">
        <f t="shared" si="22"/>
        <v>66.48997134670492</v>
      </c>
      <c r="AE62" s="891">
        <f t="shared" si="22"/>
        <v>0</v>
      </c>
      <c r="AF62" s="891">
        <f t="shared" si="23"/>
        <v>146.27793696275089</v>
      </c>
      <c r="AG62" s="891">
        <f t="shared" si="23"/>
        <v>0</v>
      </c>
      <c r="AH62" s="891">
        <f t="shared" si="24"/>
        <v>0</v>
      </c>
      <c r="AI62" s="891">
        <f t="shared" si="24"/>
        <v>0</v>
      </c>
      <c r="AL62" s="891">
        <v>4.3010752688171998E-2</v>
      </c>
      <c r="AM62" s="891">
        <v>0</v>
      </c>
      <c r="AO62">
        <f t="shared" si="25"/>
        <v>15.354838709677404</v>
      </c>
      <c r="AP62">
        <f t="shared" si="25"/>
        <v>0</v>
      </c>
      <c r="AS62" s="892">
        <v>0.103641456582633</v>
      </c>
      <c r="AT62" s="892">
        <v>0</v>
      </c>
      <c r="AU62" s="892">
        <f t="shared" si="10"/>
        <v>3.6414565826329987E-3</v>
      </c>
      <c r="AV62" s="907">
        <f t="shared" si="10"/>
        <v>-0.1</v>
      </c>
      <c r="AX62">
        <f t="shared" si="11"/>
        <v>1.2999999999999805</v>
      </c>
      <c r="AY62">
        <f t="shared" si="11"/>
        <v>0</v>
      </c>
      <c r="BA62" s="891">
        <v>8.6956521739130436E-3</v>
      </c>
      <c r="BC62">
        <f t="shared" si="26"/>
        <v>3.1043478260869564</v>
      </c>
      <c r="BF62">
        <v>0</v>
      </c>
      <c r="BG62" s="891"/>
      <c r="BK62" s="1139">
        <f t="shared" si="15"/>
        <v>0.103641456582633</v>
      </c>
      <c r="BL62" s="1139">
        <f t="shared" si="16"/>
        <v>0</v>
      </c>
    </row>
    <row r="63" spans="1:64" ht="12.75" x14ac:dyDescent="0.2">
      <c r="A63" s="888" t="s">
        <v>55</v>
      </c>
      <c r="B63" s="889">
        <v>2429</v>
      </c>
      <c r="C63" s="890">
        <v>147</v>
      </c>
      <c r="D63" s="890">
        <v>0</v>
      </c>
      <c r="E63" s="891">
        <v>0.28758169934640521</v>
      </c>
      <c r="F63" s="891">
        <v>0</v>
      </c>
      <c r="G63" s="891">
        <f t="shared" si="18"/>
        <v>42.274509803921568</v>
      </c>
      <c r="H63" s="891">
        <f t="shared" si="18"/>
        <v>0</v>
      </c>
      <c r="K63" s="891">
        <v>1.38888888888889E-2</v>
      </c>
      <c r="L63" s="891">
        <v>0</v>
      </c>
      <c r="M63" s="891">
        <v>0</v>
      </c>
      <c r="N63" s="891">
        <v>0</v>
      </c>
      <c r="O63" s="891">
        <v>0.34027777777777801</v>
      </c>
      <c r="P63" s="891">
        <v>0</v>
      </c>
      <c r="Q63" s="891">
        <v>0.56944444444444398</v>
      </c>
      <c r="R63" s="891">
        <v>0</v>
      </c>
      <c r="S63" s="891">
        <v>4.8611111111111098E-2</v>
      </c>
      <c r="T63" s="891">
        <v>0</v>
      </c>
      <c r="U63" s="891">
        <v>0</v>
      </c>
      <c r="V63" s="891">
        <v>0</v>
      </c>
      <c r="X63" s="891">
        <f t="shared" si="19"/>
        <v>2.0416666666666683</v>
      </c>
      <c r="Y63" s="891">
        <f t="shared" si="19"/>
        <v>0</v>
      </c>
      <c r="Z63" s="891">
        <f t="shared" si="20"/>
        <v>0</v>
      </c>
      <c r="AA63" s="891">
        <f t="shared" si="20"/>
        <v>0</v>
      </c>
      <c r="AB63" s="891">
        <f t="shared" si="21"/>
        <v>50.020833333333371</v>
      </c>
      <c r="AC63" s="891">
        <f t="shared" si="21"/>
        <v>0</v>
      </c>
      <c r="AD63" s="891">
        <f t="shared" si="22"/>
        <v>83.708333333333258</v>
      </c>
      <c r="AE63" s="891">
        <f t="shared" si="22"/>
        <v>0</v>
      </c>
      <c r="AF63" s="891">
        <f t="shared" si="23"/>
        <v>7.1458333333333313</v>
      </c>
      <c r="AG63" s="891">
        <f t="shared" si="23"/>
        <v>0</v>
      </c>
      <c r="AH63" s="891">
        <f t="shared" si="24"/>
        <v>0</v>
      </c>
      <c r="AI63" s="891">
        <f t="shared" si="24"/>
        <v>0</v>
      </c>
      <c r="AL63" s="891">
        <v>0.74226804123711299</v>
      </c>
      <c r="AM63" s="891">
        <v>0</v>
      </c>
      <c r="AO63">
        <f t="shared" si="25"/>
        <v>109.11340206185561</v>
      </c>
      <c r="AP63">
        <f t="shared" si="25"/>
        <v>0</v>
      </c>
      <c r="AS63" s="892">
        <v>2.04081632653061E-2</v>
      </c>
      <c r="AT63" s="892">
        <v>0</v>
      </c>
      <c r="AU63" s="892">
        <f t="shared" si="10"/>
        <v>-7.9591836734693902E-2</v>
      </c>
      <c r="AV63" s="907">
        <f t="shared" si="10"/>
        <v>-0.1</v>
      </c>
      <c r="AX63">
        <f t="shared" si="11"/>
        <v>0</v>
      </c>
      <c r="AY63">
        <f t="shared" si="11"/>
        <v>0</v>
      </c>
      <c r="BA63" s="891">
        <v>0</v>
      </c>
      <c r="BC63">
        <f t="shared" si="26"/>
        <v>0</v>
      </c>
      <c r="BF63">
        <v>0</v>
      </c>
      <c r="BG63" s="891"/>
      <c r="BK63" s="1139">
        <f t="shared" si="15"/>
        <v>2.04081632653061E-2</v>
      </c>
      <c r="BL63" s="1139">
        <f t="shared" si="16"/>
        <v>0</v>
      </c>
    </row>
    <row r="64" spans="1:64" ht="12.75" x14ac:dyDescent="0.2">
      <c r="A64" s="910" t="s">
        <v>72</v>
      </c>
      <c r="B64" s="911">
        <v>4607</v>
      </c>
      <c r="C64" s="890">
        <v>0</v>
      </c>
      <c r="D64" s="890">
        <v>1133</v>
      </c>
      <c r="E64" s="891">
        <v>0</v>
      </c>
      <c r="F64" s="891">
        <v>0.34707903780068727</v>
      </c>
      <c r="G64" s="891">
        <f t="shared" si="18"/>
        <v>0</v>
      </c>
      <c r="H64" s="891">
        <f t="shared" si="18"/>
        <v>393.2405498281787</v>
      </c>
      <c r="K64" s="891">
        <v>0</v>
      </c>
      <c r="L64" s="891">
        <v>8.5069444444444406E-2</v>
      </c>
      <c r="M64" s="891">
        <v>0</v>
      </c>
      <c r="N64" s="891">
        <v>9.4618055555555594E-2</v>
      </c>
      <c r="O64" s="891">
        <v>0</v>
      </c>
      <c r="P64" s="891">
        <v>0.265625</v>
      </c>
      <c r="Q64" s="891">
        <v>0</v>
      </c>
      <c r="R64" s="891">
        <v>0.18229166666666699</v>
      </c>
      <c r="S64" s="891">
        <v>0</v>
      </c>
      <c r="T64" s="891">
        <v>9.5486111111111105E-2</v>
      </c>
      <c r="U64" s="891">
        <v>0</v>
      </c>
      <c r="V64" s="891">
        <v>0</v>
      </c>
      <c r="X64" s="891">
        <f t="shared" si="19"/>
        <v>0</v>
      </c>
      <c r="Y64" s="891">
        <f t="shared" si="19"/>
        <v>96.383680555555515</v>
      </c>
      <c r="Z64" s="891">
        <f t="shared" si="20"/>
        <v>0</v>
      </c>
      <c r="AA64" s="891">
        <f t="shared" si="20"/>
        <v>107.20225694444449</v>
      </c>
      <c r="AB64" s="891">
        <f t="shared" si="21"/>
        <v>0</v>
      </c>
      <c r="AC64" s="891">
        <f t="shared" si="21"/>
        <v>300.953125</v>
      </c>
      <c r="AD64" s="891">
        <f t="shared" si="22"/>
        <v>0</v>
      </c>
      <c r="AE64" s="891">
        <f t="shared" si="22"/>
        <v>206.53645833333371</v>
      </c>
      <c r="AF64" s="891">
        <f t="shared" si="23"/>
        <v>0</v>
      </c>
      <c r="AG64" s="891">
        <f t="shared" si="23"/>
        <v>108.18576388888889</v>
      </c>
      <c r="AH64" s="891">
        <f t="shared" si="24"/>
        <v>0</v>
      </c>
      <c r="AI64" s="891">
        <f t="shared" si="24"/>
        <v>0</v>
      </c>
      <c r="AL64" s="891">
        <v>0</v>
      </c>
      <c r="AM64" s="891">
        <v>3.8961038961039002E-2</v>
      </c>
      <c r="AO64">
        <f t="shared" si="25"/>
        <v>0</v>
      </c>
      <c r="AP64">
        <f t="shared" si="25"/>
        <v>44.142857142857189</v>
      </c>
      <c r="AS64" s="892">
        <v>0</v>
      </c>
      <c r="AT64" s="892">
        <v>7.3593073593073599E-2</v>
      </c>
      <c r="AU64" s="892">
        <f t="shared" si="10"/>
        <v>-0.1</v>
      </c>
      <c r="AV64" s="907">
        <f t="shared" si="10"/>
        <v>-2.6406926406926406E-2</v>
      </c>
      <c r="AX64">
        <f t="shared" si="11"/>
        <v>0</v>
      </c>
      <c r="AY64">
        <f t="shared" si="11"/>
        <v>0</v>
      </c>
      <c r="BA64" s="891">
        <v>1.718213058419244E-3</v>
      </c>
      <c r="BC64">
        <f>BA64*D64</f>
        <v>1.9467353951890034</v>
      </c>
      <c r="BF64">
        <v>0.26709206927985402</v>
      </c>
      <c r="BG64" s="891">
        <f>BF64*D64</f>
        <v>302.6153144940746</v>
      </c>
      <c r="BK64" s="1139">
        <f t="shared" si="15"/>
        <v>0</v>
      </c>
      <c r="BL64" s="1139">
        <f t="shared" si="16"/>
        <v>7.3593073593073599E-2</v>
      </c>
    </row>
    <row r="65" spans="1:64" ht="12.75" x14ac:dyDescent="0.2">
      <c r="A65" s="888" t="s">
        <v>56</v>
      </c>
      <c r="B65" s="889">
        <v>2444</v>
      </c>
      <c r="C65" s="890">
        <v>211</v>
      </c>
      <c r="D65" s="890">
        <v>0</v>
      </c>
      <c r="E65" s="891">
        <v>0.29807692307692307</v>
      </c>
      <c r="F65" s="891">
        <v>0</v>
      </c>
      <c r="G65" s="891">
        <f t="shared" si="18"/>
        <v>62.894230769230766</v>
      </c>
      <c r="H65" s="891">
        <f t="shared" si="18"/>
        <v>0</v>
      </c>
      <c r="K65" s="891">
        <v>4.2857142857142899E-2</v>
      </c>
      <c r="L65" s="891">
        <v>0</v>
      </c>
      <c r="M65" s="891">
        <v>4.7619047619047603E-2</v>
      </c>
      <c r="N65" s="891">
        <v>0</v>
      </c>
      <c r="O65" s="891">
        <v>0.37619047619047602</v>
      </c>
      <c r="P65" s="891">
        <v>0</v>
      </c>
      <c r="Q65" s="891">
        <v>0.17142857142857101</v>
      </c>
      <c r="R65" s="891">
        <v>0</v>
      </c>
      <c r="S65" s="891">
        <v>3.3333333333333298E-2</v>
      </c>
      <c r="T65" s="891">
        <v>0</v>
      </c>
      <c r="U65" s="891">
        <v>0</v>
      </c>
      <c r="V65" s="891">
        <v>0</v>
      </c>
      <c r="X65" s="891">
        <f t="shared" si="19"/>
        <v>9.0428571428571516</v>
      </c>
      <c r="Y65" s="891">
        <f t="shared" si="19"/>
        <v>0</v>
      </c>
      <c r="Z65" s="891">
        <f t="shared" si="20"/>
        <v>10.047619047619044</v>
      </c>
      <c r="AA65" s="891">
        <f t="shared" si="20"/>
        <v>0</v>
      </c>
      <c r="AB65" s="891">
        <f t="shared" si="21"/>
        <v>79.376190476190445</v>
      </c>
      <c r="AC65" s="891">
        <f t="shared" si="21"/>
        <v>0</v>
      </c>
      <c r="AD65" s="891">
        <f t="shared" si="22"/>
        <v>36.171428571428486</v>
      </c>
      <c r="AE65" s="891">
        <f t="shared" si="22"/>
        <v>0</v>
      </c>
      <c r="AF65" s="891">
        <f t="shared" si="23"/>
        <v>7.0333333333333261</v>
      </c>
      <c r="AG65" s="891">
        <f t="shared" si="23"/>
        <v>0</v>
      </c>
      <c r="AH65" s="891">
        <f t="shared" si="24"/>
        <v>0</v>
      </c>
      <c r="AI65" s="891">
        <f t="shared" si="24"/>
        <v>0</v>
      </c>
      <c r="AL65" s="891">
        <v>0.20714285714285699</v>
      </c>
      <c r="AM65" s="891">
        <v>0</v>
      </c>
      <c r="AO65">
        <f t="shared" si="25"/>
        <v>43.707142857142827</v>
      </c>
      <c r="AP65">
        <f t="shared" si="25"/>
        <v>0</v>
      </c>
      <c r="AS65" s="892">
        <v>2.8436018957346001E-2</v>
      </c>
      <c r="AT65" s="892">
        <v>0</v>
      </c>
      <c r="AU65" s="892">
        <f t="shared" si="10"/>
        <v>-7.1563981042654004E-2</v>
      </c>
      <c r="AV65" s="907">
        <f t="shared" si="10"/>
        <v>-0.1</v>
      </c>
      <c r="AX65">
        <f t="shared" si="11"/>
        <v>0</v>
      </c>
      <c r="AY65">
        <f t="shared" si="11"/>
        <v>0</v>
      </c>
      <c r="BA65" s="891">
        <v>0</v>
      </c>
      <c r="BC65">
        <f>BA65*C65</f>
        <v>0</v>
      </c>
      <c r="BF65">
        <v>0</v>
      </c>
      <c r="BG65" s="891"/>
      <c r="BK65" s="1139">
        <f t="shared" si="15"/>
        <v>2.8436018957346001E-2</v>
      </c>
      <c r="BL65" s="1139">
        <f t="shared" si="16"/>
        <v>0</v>
      </c>
    </row>
    <row r="66" spans="1:64" ht="12.75" x14ac:dyDescent="0.2">
      <c r="A66" s="888" t="s">
        <v>57</v>
      </c>
      <c r="B66" s="889">
        <v>5209</v>
      </c>
      <c r="C66" s="890">
        <v>261</v>
      </c>
      <c r="D66" s="890">
        <v>0</v>
      </c>
      <c r="E66" s="891">
        <v>0.35447761194029853</v>
      </c>
      <c r="F66" s="891">
        <v>0</v>
      </c>
      <c r="G66" s="891">
        <f t="shared" si="18"/>
        <v>92.518656716417922</v>
      </c>
      <c r="H66" s="891">
        <f t="shared" si="18"/>
        <v>0</v>
      </c>
      <c r="K66" s="891">
        <v>3.8314176245210697E-2</v>
      </c>
      <c r="L66" s="891">
        <v>0</v>
      </c>
      <c r="M66" s="891">
        <v>2.2988505747126398E-2</v>
      </c>
      <c r="N66" s="891">
        <v>0</v>
      </c>
      <c r="O66" s="891">
        <v>0.34099616858237503</v>
      </c>
      <c r="P66" s="891">
        <v>0</v>
      </c>
      <c r="Q66" s="891">
        <v>0.252873563218391</v>
      </c>
      <c r="R66" s="891">
        <v>0</v>
      </c>
      <c r="S66" s="891">
        <v>4.5977011494252901E-2</v>
      </c>
      <c r="T66" s="891">
        <v>0</v>
      </c>
      <c r="U66" s="891">
        <v>0</v>
      </c>
      <c r="V66" s="891">
        <v>0</v>
      </c>
      <c r="X66" s="891">
        <f t="shared" si="19"/>
        <v>9.9999999999999929</v>
      </c>
      <c r="Y66" s="891">
        <f t="shared" si="19"/>
        <v>0</v>
      </c>
      <c r="Z66" s="891">
        <f t="shared" si="20"/>
        <v>5.9999999999999902</v>
      </c>
      <c r="AA66" s="891">
        <f t="shared" si="20"/>
        <v>0</v>
      </c>
      <c r="AB66" s="891">
        <f t="shared" si="21"/>
        <v>88.999999999999886</v>
      </c>
      <c r="AC66" s="891">
        <f t="shared" si="21"/>
        <v>0</v>
      </c>
      <c r="AD66" s="891">
        <f t="shared" si="22"/>
        <v>66.000000000000057</v>
      </c>
      <c r="AE66" s="891">
        <f t="shared" si="22"/>
        <v>0</v>
      </c>
      <c r="AF66" s="891">
        <f t="shared" si="23"/>
        <v>12.000000000000007</v>
      </c>
      <c r="AG66" s="891">
        <f t="shared" si="23"/>
        <v>0</v>
      </c>
      <c r="AH66" s="891">
        <f t="shared" si="24"/>
        <v>0</v>
      </c>
      <c r="AI66" s="891">
        <f t="shared" si="24"/>
        <v>0</v>
      </c>
      <c r="AL66" s="891">
        <v>5.0583657587548597E-2</v>
      </c>
      <c r="AM66" s="891">
        <v>0</v>
      </c>
      <c r="AO66">
        <f t="shared" si="25"/>
        <v>13.202334630350183</v>
      </c>
      <c r="AP66">
        <f t="shared" si="25"/>
        <v>0</v>
      </c>
      <c r="AS66" s="892">
        <v>5.3639846743295E-2</v>
      </c>
      <c r="AT66" s="892">
        <v>0</v>
      </c>
      <c r="AU66" s="892">
        <f t="shared" si="10"/>
        <v>-4.6360153256705006E-2</v>
      </c>
      <c r="AV66" s="907">
        <f t="shared" si="10"/>
        <v>-0.1</v>
      </c>
      <c r="AX66">
        <f t="shared" si="11"/>
        <v>0</v>
      </c>
      <c r="AY66">
        <f t="shared" si="11"/>
        <v>0</v>
      </c>
      <c r="BA66" s="891">
        <v>0</v>
      </c>
      <c r="BC66">
        <f>BA66*C66</f>
        <v>0</v>
      </c>
      <c r="BF66">
        <v>0</v>
      </c>
      <c r="BG66" s="891"/>
      <c r="BK66" s="1139">
        <f t="shared" si="15"/>
        <v>5.3639846743295E-2</v>
      </c>
      <c r="BL66" s="1139">
        <f t="shared" si="16"/>
        <v>0</v>
      </c>
    </row>
    <row r="67" spans="1:64" ht="12.75" x14ac:dyDescent="0.2">
      <c r="A67" s="888" t="s">
        <v>58</v>
      </c>
      <c r="B67" s="889">
        <v>2469</v>
      </c>
      <c r="C67" s="890">
        <v>417</v>
      </c>
      <c r="D67" s="890">
        <v>0</v>
      </c>
      <c r="E67" s="891">
        <v>0.16301703163017031</v>
      </c>
      <c r="F67" s="891">
        <v>0</v>
      </c>
      <c r="G67" s="891">
        <f t="shared" ref="G67:H86" si="27">E67*C67</f>
        <v>67.978102189781026</v>
      </c>
      <c r="H67" s="891">
        <f t="shared" si="27"/>
        <v>0</v>
      </c>
      <c r="K67" s="891">
        <v>7.9710144927536197E-2</v>
      </c>
      <c r="L67" s="891">
        <v>0</v>
      </c>
      <c r="M67" s="891">
        <v>3.6231884057971002E-2</v>
      </c>
      <c r="N67" s="891">
        <v>0</v>
      </c>
      <c r="O67" s="891">
        <v>6.0386473429951702E-2</v>
      </c>
      <c r="P67" s="891">
        <v>0</v>
      </c>
      <c r="Q67" s="891">
        <v>1.20772946859903E-2</v>
      </c>
      <c r="R67" s="891">
        <v>0</v>
      </c>
      <c r="S67" s="891">
        <v>0</v>
      </c>
      <c r="T67" s="891">
        <v>0</v>
      </c>
      <c r="U67" s="891">
        <v>0</v>
      </c>
      <c r="V67" s="891">
        <v>0</v>
      </c>
      <c r="X67" s="891">
        <f t="shared" ref="X67:Y86" si="28">K67*C67</f>
        <v>33.239130434782595</v>
      </c>
      <c r="Y67" s="891">
        <f t="shared" si="28"/>
        <v>0</v>
      </c>
      <c r="Z67" s="891">
        <f t="shared" ref="Z67:AA86" si="29">M67*C67</f>
        <v>15.108695652173909</v>
      </c>
      <c r="AA67" s="891">
        <f t="shared" si="29"/>
        <v>0</v>
      </c>
      <c r="AB67" s="891">
        <f t="shared" ref="AB67:AC86" si="30">O67*C67</f>
        <v>25.181159420289859</v>
      </c>
      <c r="AC67" s="891">
        <f t="shared" si="30"/>
        <v>0</v>
      </c>
      <c r="AD67" s="891">
        <f t="shared" ref="AD67:AE86" si="31">Q67*C67</f>
        <v>5.0362318840579547</v>
      </c>
      <c r="AE67" s="891">
        <f t="shared" si="31"/>
        <v>0</v>
      </c>
      <c r="AF67" s="891">
        <f t="shared" ref="AF67:AG86" si="32">S67*C67</f>
        <v>0</v>
      </c>
      <c r="AG67" s="891">
        <f t="shared" si="32"/>
        <v>0</v>
      </c>
      <c r="AH67" s="891">
        <f t="shared" ref="AH67:AI86" si="33">U67*C67</f>
        <v>0</v>
      </c>
      <c r="AI67" s="891">
        <f t="shared" si="33"/>
        <v>0</v>
      </c>
      <c r="AL67" s="891">
        <v>8.6834733893557406E-2</v>
      </c>
      <c r="AM67" s="891">
        <v>0</v>
      </c>
      <c r="AO67">
        <f t="shared" ref="AO67:AP86" si="34">AL67*C67</f>
        <v>36.210084033613441</v>
      </c>
      <c r="AP67">
        <f t="shared" si="34"/>
        <v>0</v>
      </c>
      <c r="AS67" s="892">
        <v>7.9136690647481994E-2</v>
      </c>
      <c r="AT67" s="892">
        <v>0</v>
      </c>
      <c r="AU67" s="892">
        <f t="shared" si="10"/>
        <v>-2.0863309352518011E-2</v>
      </c>
      <c r="AV67" s="907">
        <f t="shared" si="10"/>
        <v>-0.1</v>
      </c>
      <c r="AX67">
        <f t="shared" si="11"/>
        <v>0</v>
      </c>
      <c r="AY67">
        <f t="shared" si="11"/>
        <v>0</v>
      </c>
      <c r="BA67" s="891">
        <v>0</v>
      </c>
      <c r="BC67">
        <f>BA67*C67</f>
        <v>0</v>
      </c>
      <c r="BF67">
        <v>0</v>
      </c>
      <c r="BG67" s="891"/>
      <c r="BK67" s="1139">
        <f t="shared" si="15"/>
        <v>7.9136690647481994E-2</v>
      </c>
      <c r="BL67" s="1139">
        <f t="shared" si="16"/>
        <v>0</v>
      </c>
    </row>
    <row r="68" spans="1:64" ht="12.75" x14ac:dyDescent="0.2">
      <c r="A68" s="888" t="s">
        <v>952</v>
      </c>
      <c r="B68" s="28">
        <v>4002</v>
      </c>
      <c r="C68" s="890">
        <v>0</v>
      </c>
      <c r="D68" s="890">
        <v>769</v>
      </c>
      <c r="E68" s="891">
        <v>0</v>
      </c>
      <c r="F68" s="891">
        <v>0.49677419354838709</v>
      </c>
      <c r="G68" s="891">
        <f t="shared" si="27"/>
        <v>0</v>
      </c>
      <c r="H68" s="891">
        <f t="shared" si="27"/>
        <v>382.01935483870966</v>
      </c>
      <c r="K68" s="891">
        <v>0</v>
      </c>
      <c r="L68" s="891">
        <v>1.04712041884817E-2</v>
      </c>
      <c r="M68" s="891">
        <v>0</v>
      </c>
      <c r="N68" s="891">
        <v>6.9371727748691103E-2</v>
      </c>
      <c r="O68" s="891">
        <v>0</v>
      </c>
      <c r="P68" s="891">
        <v>0.35732984293193698</v>
      </c>
      <c r="Q68" s="891">
        <v>0</v>
      </c>
      <c r="R68" s="891">
        <v>0.178010471204188</v>
      </c>
      <c r="S68" s="891">
        <v>0</v>
      </c>
      <c r="T68" s="891">
        <v>0.102094240837696</v>
      </c>
      <c r="U68" s="891">
        <v>0</v>
      </c>
      <c r="V68" s="891">
        <v>0</v>
      </c>
      <c r="X68" s="891">
        <f t="shared" si="28"/>
        <v>0</v>
      </c>
      <c r="Y68" s="891">
        <f t="shared" si="28"/>
        <v>8.0523560209424279</v>
      </c>
      <c r="Z68" s="891">
        <f t="shared" si="29"/>
        <v>0</v>
      </c>
      <c r="AA68" s="891">
        <f t="shared" si="29"/>
        <v>53.346858638743456</v>
      </c>
      <c r="AB68" s="891">
        <f t="shared" si="30"/>
        <v>0</v>
      </c>
      <c r="AC68" s="891">
        <f t="shared" si="30"/>
        <v>274.78664921465952</v>
      </c>
      <c r="AD68" s="891">
        <f t="shared" si="31"/>
        <v>0</v>
      </c>
      <c r="AE68" s="891">
        <f t="shared" si="31"/>
        <v>136.89005235602056</v>
      </c>
      <c r="AF68" s="891">
        <f t="shared" si="32"/>
        <v>0</v>
      </c>
      <c r="AG68" s="891">
        <f t="shared" si="32"/>
        <v>78.510471204188221</v>
      </c>
      <c r="AH68" s="891">
        <f t="shared" si="33"/>
        <v>0</v>
      </c>
      <c r="AI68" s="891">
        <f t="shared" si="33"/>
        <v>0</v>
      </c>
      <c r="AL68" s="891">
        <v>0</v>
      </c>
      <c r="AM68" s="891">
        <v>0.102730819245774</v>
      </c>
      <c r="AO68">
        <f t="shared" si="34"/>
        <v>0</v>
      </c>
      <c r="AP68">
        <f t="shared" si="34"/>
        <v>79.000000000000199</v>
      </c>
      <c r="AS68" s="892">
        <v>0</v>
      </c>
      <c r="AT68" s="892">
        <v>0.410923276983095</v>
      </c>
      <c r="AU68" s="892">
        <f t="shared" ref="AU68:AV86" si="35">AS68-10%</f>
        <v>-0.1</v>
      </c>
      <c r="AV68" s="907">
        <f t="shared" si="35"/>
        <v>0.31092327698309496</v>
      </c>
      <c r="AX68">
        <f t="shared" ref="AX68:AY86" si="36">IF(AU68&gt;0,AU68*C68,0)</f>
        <v>0</v>
      </c>
      <c r="AY68">
        <f t="shared" si="36"/>
        <v>239.10000000000002</v>
      </c>
      <c r="BA68" s="891">
        <v>3.8709677419354839E-3</v>
      </c>
      <c r="BC68">
        <f>BA68*D68</f>
        <v>2.9767741935483869</v>
      </c>
      <c r="BF68">
        <v>0.43204577968526497</v>
      </c>
      <c r="BG68" s="891">
        <f>BF68*D68</f>
        <v>332.24320457796875</v>
      </c>
      <c r="BK68" s="1139">
        <f t="shared" si="15"/>
        <v>0</v>
      </c>
      <c r="BL68" s="1139">
        <f t="shared" si="16"/>
        <v>0.410923276983095</v>
      </c>
    </row>
    <row r="69" spans="1:64" ht="12.75" x14ac:dyDescent="0.2">
      <c r="A69" s="888" t="s">
        <v>953</v>
      </c>
      <c r="B69" s="889">
        <v>2430</v>
      </c>
      <c r="C69" s="890">
        <v>126</v>
      </c>
      <c r="D69" s="890">
        <v>0</v>
      </c>
      <c r="E69" s="891">
        <v>0.63559322033898302</v>
      </c>
      <c r="F69" s="891">
        <v>0</v>
      </c>
      <c r="G69" s="891">
        <f t="shared" si="27"/>
        <v>80.084745762711862</v>
      </c>
      <c r="H69" s="891">
        <f t="shared" si="27"/>
        <v>0</v>
      </c>
      <c r="K69" s="891">
        <v>1.6E-2</v>
      </c>
      <c r="L69" s="891">
        <v>0</v>
      </c>
      <c r="M69" s="891">
        <v>1.6E-2</v>
      </c>
      <c r="N69" s="891">
        <v>0</v>
      </c>
      <c r="O69" s="891">
        <v>0.28000000000000003</v>
      </c>
      <c r="P69" s="891">
        <v>0</v>
      </c>
      <c r="Q69" s="891">
        <v>7.1999999999999995E-2</v>
      </c>
      <c r="R69" s="891">
        <v>0</v>
      </c>
      <c r="S69" s="891">
        <v>0.59199999999999997</v>
      </c>
      <c r="T69" s="891">
        <v>0</v>
      </c>
      <c r="U69" s="891">
        <v>0</v>
      </c>
      <c r="V69" s="891">
        <v>0</v>
      </c>
      <c r="X69" s="891">
        <f t="shared" si="28"/>
        <v>2.016</v>
      </c>
      <c r="Y69" s="891">
        <f t="shared" si="28"/>
        <v>0</v>
      </c>
      <c r="Z69" s="891">
        <f t="shared" si="29"/>
        <v>2.016</v>
      </c>
      <c r="AA69" s="891">
        <f t="shared" si="29"/>
        <v>0</v>
      </c>
      <c r="AB69" s="891">
        <f t="shared" si="30"/>
        <v>35.28</v>
      </c>
      <c r="AC69" s="891">
        <f t="shared" si="30"/>
        <v>0</v>
      </c>
      <c r="AD69" s="891">
        <f t="shared" si="31"/>
        <v>9.0719999999999992</v>
      </c>
      <c r="AE69" s="891">
        <f t="shared" si="31"/>
        <v>0</v>
      </c>
      <c r="AF69" s="891">
        <f t="shared" si="32"/>
        <v>74.591999999999999</v>
      </c>
      <c r="AG69" s="891">
        <f t="shared" si="32"/>
        <v>0</v>
      </c>
      <c r="AH69" s="891">
        <f t="shared" si="33"/>
        <v>0</v>
      </c>
      <c r="AI69" s="891">
        <f t="shared" si="33"/>
        <v>0</v>
      </c>
      <c r="AL69" s="891">
        <v>0.26851851851851899</v>
      </c>
      <c r="AM69" s="891">
        <v>0</v>
      </c>
      <c r="AO69">
        <f t="shared" si="34"/>
        <v>33.833333333333393</v>
      </c>
      <c r="AP69">
        <f t="shared" si="34"/>
        <v>0</v>
      </c>
      <c r="AS69" s="892">
        <v>0.214285714285714</v>
      </c>
      <c r="AT69" s="892">
        <v>0</v>
      </c>
      <c r="AU69" s="892">
        <f t="shared" si="35"/>
        <v>0.11428571428571399</v>
      </c>
      <c r="AV69" s="907">
        <f t="shared" si="35"/>
        <v>-0.1</v>
      </c>
      <c r="AX69">
        <f t="shared" si="36"/>
        <v>14.399999999999963</v>
      </c>
      <c r="AY69">
        <f t="shared" si="36"/>
        <v>0</v>
      </c>
      <c r="BA69" s="891">
        <v>8.4745762711864406E-3</v>
      </c>
      <c r="BC69">
        <f t="shared" ref="BC69:BC79" si="37">BA69*C69</f>
        <v>1.0677966101694916</v>
      </c>
      <c r="BF69">
        <v>0</v>
      </c>
      <c r="BG69" s="891"/>
      <c r="BK69" s="1139">
        <f t="shared" si="15"/>
        <v>0.214285714285714</v>
      </c>
      <c r="BL69" s="1139">
        <f t="shared" si="16"/>
        <v>0</v>
      </c>
    </row>
    <row r="70" spans="1:64" ht="12.75" x14ac:dyDescent="0.2">
      <c r="A70" s="888" t="s">
        <v>59</v>
      </c>
      <c r="B70" s="889">
        <v>2466</v>
      </c>
      <c r="C70" s="890">
        <v>221</v>
      </c>
      <c r="D70" s="890">
        <v>0</v>
      </c>
      <c r="E70" s="891">
        <v>0.34146341463414637</v>
      </c>
      <c r="F70" s="891">
        <v>0</v>
      </c>
      <c r="G70" s="891">
        <f t="shared" si="27"/>
        <v>75.463414634146346</v>
      </c>
      <c r="H70" s="891">
        <f t="shared" si="27"/>
        <v>0</v>
      </c>
      <c r="K70" s="891">
        <v>0.29613733905579398</v>
      </c>
      <c r="L70" s="891">
        <v>0</v>
      </c>
      <c r="M70" s="891">
        <v>0.145922746781116</v>
      </c>
      <c r="N70" s="891">
        <v>0</v>
      </c>
      <c r="O70" s="891">
        <v>9.0128755364806898E-2</v>
      </c>
      <c r="P70" s="891">
        <v>0</v>
      </c>
      <c r="Q70" s="891">
        <v>6.0085836909871203E-2</v>
      </c>
      <c r="R70" s="891">
        <v>0</v>
      </c>
      <c r="S70" s="891">
        <v>2.14592274678112E-2</v>
      </c>
      <c r="T70" s="891">
        <v>0</v>
      </c>
      <c r="U70" s="891">
        <v>0</v>
      </c>
      <c r="V70" s="891">
        <v>0</v>
      </c>
      <c r="X70" s="891">
        <f t="shared" si="28"/>
        <v>65.446351931330469</v>
      </c>
      <c r="Y70" s="891">
        <f t="shared" si="28"/>
        <v>0</v>
      </c>
      <c r="Z70" s="891">
        <f t="shared" si="29"/>
        <v>32.248927038626633</v>
      </c>
      <c r="AA70" s="891">
        <f t="shared" si="29"/>
        <v>0</v>
      </c>
      <c r="AB70" s="891">
        <f t="shared" si="30"/>
        <v>19.918454935622325</v>
      </c>
      <c r="AC70" s="891">
        <f t="shared" si="30"/>
        <v>0</v>
      </c>
      <c r="AD70" s="891">
        <f t="shared" si="31"/>
        <v>13.278969957081536</v>
      </c>
      <c r="AE70" s="891">
        <f t="shared" si="31"/>
        <v>0</v>
      </c>
      <c r="AF70" s="891">
        <f t="shared" si="32"/>
        <v>4.7424892703862751</v>
      </c>
      <c r="AG70" s="891">
        <f t="shared" si="32"/>
        <v>0</v>
      </c>
      <c r="AH70" s="891">
        <f t="shared" si="33"/>
        <v>0</v>
      </c>
      <c r="AI70" s="891">
        <f t="shared" si="33"/>
        <v>0</v>
      </c>
      <c r="AL70" s="891">
        <v>3.7433155080213901E-2</v>
      </c>
      <c r="AM70" s="891">
        <v>0</v>
      </c>
      <c r="AO70">
        <f t="shared" si="34"/>
        <v>8.2727272727272716</v>
      </c>
      <c r="AP70">
        <f t="shared" si="34"/>
        <v>0</v>
      </c>
      <c r="AS70" s="892">
        <v>0.24034334763948501</v>
      </c>
      <c r="AT70" s="892">
        <v>0</v>
      </c>
      <c r="AU70" s="892">
        <f t="shared" si="35"/>
        <v>0.140343347639485</v>
      </c>
      <c r="AV70" s="907">
        <f t="shared" si="35"/>
        <v>-0.1</v>
      </c>
      <c r="AX70">
        <f t="shared" si="36"/>
        <v>31.015879828326185</v>
      </c>
      <c r="AY70">
        <f t="shared" si="36"/>
        <v>0</v>
      </c>
      <c r="BA70" s="891">
        <v>1.4634146341463415E-2</v>
      </c>
      <c r="BC70">
        <f t="shared" si="37"/>
        <v>3.2341463414634148</v>
      </c>
      <c r="BF70">
        <v>0</v>
      </c>
      <c r="BG70" s="891"/>
      <c r="BK70" s="1139">
        <f t="shared" si="15"/>
        <v>0.24034334763948501</v>
      </c>
      <c r="BL70" s="1139">
        <f t="shared" si="16"/>
        <v>0</v>
      </c>
    </row>
    <row r="71" spans="1:64" ht="12.75" x14ac:dyDescent="0.2">
      <c r="A71" s="888" t="s">
        <v>60</v>
      </c>
      <c r="B71" s="889">
        <v>3543</v>
      </c>
      <c r="C71" s="890">
        <v>303</v>
      </c>
      <c r="D71" s="890">
        <v>0</v>
      </c>
      <c r="E71" s="891">
        <v>0.19269102990033224</v>
      </c>
      <c r="F71" s="891">
        <v>0</v>
      </c>
      <c r="G71" s="891">
        <f t="shared" si="27"/>
        <v>58.385382059800669</v>
      </c>
      <c r="H71" s="891">
        <f t="shared" si="27"/>
        <v>0</v>
      </c>
      <c r="K71" s="891">
        <v>0.185430463576159</v>
      </c>
      <c r="L71" s="891">
        <v>0</v>
      </c>
      <c r="M71" s="891">
        <v>7.9470198675496706E-2</v>
      </c>
      <c r="N71" s="891">
        <v>0</v>
      </c>
      <c r="O71" s="891">
        <v>7.2847682119205295E-2</v>
      </c>
      <c r="P71" s="891">
        <v>0</v>
      </c>
      <c r="Q71" s="891">
        <v>5.9602649006622502E-2</v>
      </c>
      <c r="R71" s="891">
        <v>0</v>
      </c>
      <c r="S71" s="891">
        <v>8.2781456953642404E-2</v>
      </c>
      <c r="T71" s="891">
        <v>0</v>
      </c>
      <c r="U71" s="891">
        <v>0</v>
      </c>
      <c r="V71" s="891">
        <v>0</v>
      </c>
      <c r="X71" s="891">
        <f t="shared" si="28"/>
        <v>56.185430463576175</v>
      </c>
      <c r="Y71" s="891">
        <f t="shared" si="28"/>
        <v>0</v>
      </c>
      <c r="Z71" s="891">
        <f t="shared" si="29"/>
        <v>24.079470198675502</v>
      </c>
      <c r="AA71" s="891">
        <f t="shared" si="29"/>
        <v>0</v>
      </c>
      <c r="AB71" s="891">
        <f t="shared" si="30"/>
        <v>22.072847682119203</v>
      </c>
      <c r="AC71" s="891">
        <f t="shared" si="30"/>
        <v>0</v>
      </c>
      <c r="AD71" s="891">
        <f t="shared" si="31"/>
        <v>18.059602649006617</v>
      </c>
      <c r="AE71" s="891">
        <f t="shared" si="31"/>
        <v>0</v>
      </c>
      <c r="AF71" s="891">
        <f t="shared" si="32"/>
        <v>25.082781456953647</v>
      </c>
      <c r="AG71" s="891">
        <f t="shared" si="32"/>
        <v>0</v>
      </c>
      <c r="AH71" s="891">
        <f t="shared" si="33"/>
        <v>0</v>
      </c>
      <c r="AI71" s="891">
        <f t="shared" si="33"/>
        <v>0</v>
      </c>
      <c r="AL71" s="891">
        <v>0.109848484848485</v>
      </c>
      <c r="AM71" s="891">
        <v>0</v>
      </c>
      <c r="AO71">
        <f t="shared" si="34"/>
        <v>33.284090909090956</v>
      </c>
      <c r="AP71">
        <f t="shared" si="34"/>
        <v>0</v>
      </c>
      <c r="AS71" s="892">
        <v>4.2904290429042903E-2</v>
      </c>
      <c r="AT71" s="892">
        <v>0</v>
      </c>
      <c r="AU71" s="892">
        <f t="shared" si="35"/>
        <v>-5.7095709570957102E-2</v>
      </c>
      <c r="AV71" s="907">
        <f t="shared" si="35"/>
        <v>-0.1</v>
      </c>
      <c r="AX71">
        <f t="shared" si="36"/>
        <v>0</v>
      </c>
      <c r="AY71">
        <f t="shared" si="36"/>
        <v>0</v>
      </c>
      <c r="BA71" s="891">
        <v>0</v>
      </c>
      <c r="BC71">
        <f t="shared" si="37"/>
        <v>0</v>
      </c>
      <c r="BF71">
        <v>0</v>
      </c>
      <c r="BG71" s="891"/>
      <c r="BK71" s="1139">
        <f t="shared" si="15"/>
        <v>4.2904290429042903E-2</v>
      </c>
      <c r="BL71" s="1139">
        <f t="shared" si="16"/>
        <v>0</v>
      </c>
    </row>
    <row r="72" spans="1:64" ht="12.75" x14ac:dyDescent="0.2">
      <c r="A72" s="910" t="s">
        <v>62</v>
      </c>
      <c r="B72" s="911">
        <v>3531</v>
      </c>
      <c r="C72" s="890">
        <v>345</v>
      </c>
      <c r="D72" s="890">
        <v>0</v>
      </c>
      <c r="E72" s="891">
        <v>0.26571428571428574</v>
      </c>
      <c r="F72" s="891">
        <v>0</v>
      </c>
      <c r="G72" s="891">
        <f t="shared" si="27"/>
        <v>91.671428571428578</v>
      </c>
      <c r="H72" s="891">
        <f t="shared" si="27"/>
        <v>0</v>
      </c>
      <c r="K72" s="891">
        <v>4.6920821114369501E-2</v>
      </c>
      <c r="L72" s="891">
        <v>0</v>
      </c>
      <c r="M72" s="891">
        <v>8.5043988269794701E-2</v>
      </c>
      <c r="N72" s="891">
        <v>0</v>
      </c>
      <c r="O72" s="891">
        <v>0.143695014662757</v>
      </c>
      <c r="P72" s="891">
        <v>0</v>
      </c>
      <c r="Q72" s="891">
        <v>0.17302052785923799</v>
      </c>
      <c r="R72" s="891">
        <v>0</v>
      </c>
      <c r="S72" s="891">
        <v>9.0909090909090898E-2</v>
      </c>
      <c r="T72" s="891">
        <v>0</v>
      </c>
      <c r="U72" s="891">
        <v>0</v>
      </c>
      <c r="V72" s="891">
        <v>0</v>
      </c>
      <c r="X72" s="891">
        <f t="shared" si="28"/>
        <v>16.187683284457478</v>
      </c>
      <c r="Y72" s="891">
        <f t="shared" si="28"/>
        <v>0</v>
      </c>
      <c r="Z72" s="891">
        <f t="shared" si="29"/>
        <v>29.340175953079171</v>
      </c>
      <c r="AA72" s="891">
        <f t="shared" si="29"/>
        <v>0</v>
      </c>
      <c r="AB72" s="891">
        <f t="shared" si="30"/>
        <v>49.574780058651164</v>
      </c>
      <c r="AC72" s="891">
        <f t="shared" si="30"/>
        <v>0</v>
      </c>
      <c r="AD72" s="891">
        <f t="shared" si="31"/>
        <v>59.692082111437109</v>
      </c>
      <c r="AE72" s="891">
        <f t="shared" si="31"/>
        <v>0</v>
      </c>
      <c r="AF72" s="891">
        <f t="shared" si="32"/>
        <v>31.36363636363636</v>
      </c>
      <c r="AG72" s="891">
        <f t="shared" si="32"/>
        <v>0</v>
      </c>
      <c r="AH72" s="891">
        <f t="shared" si="33"/>
        <v>0</v>
      </c>
      <c r="AI72" s="891">
        <f t="shared" si="33"/>
        <v>0</v>
      </c>
      <c r="AL72" s="891">
        <v>0.118055555555556</v>
      </c>
      <c r="AM72" s="891">
        <v>0</v>
      </c>
      <c r="AO72">
        <f t="shared" si="34"/>
        <v>40.729166666666821</v>
      </c>
      <c r="AP72">
        <f t="shared" si="34"/>
        <v>0</v>
      </c>
      <c r="AS72" s="892">
        <v>3.1884057971014498E-2</v>
      </c>
      <c r="AT72" s="892">
        <v>0</v>
      </c>
      <c r="AU72" s="892">
        <f t="shared" si="35"/>
        <v>-6.8115942028985507E-2</v>
      </c>
      <c r="AV72" s="907">
        <f t="shared" si="35"/>
        <v>-0.1</v>
      </c>
      <c r="AX72">
        <f t="shared" si="36"/>
        <v>0</v>
      </c>
      <c r="AY72">
        <f t="shared" si="36"/>
        <v>0</v>
      </c>
      <c r="BA72" s="891">
        <v>0</v>
      </c>
      <c r="BC72">
        <f t="shared" si="37"/>
        <v>0</v>
      </c>
      <c r="BF72">
        <v>0</v>
      </c>
      <c r="BG72" s="891"/>
      <c r="BK72" s="1139">
        <f t="shared" si="15"/>
        <v>3.1884057971014498E-2</v>
      </c>
      <c r="BL72" s="1139">
        <f t="shared" si="16"/>
        <v>0</v>
      </c>
    </row>
    <row r="73" spans="1:64" ht="12.75" x14ac:dyDescent="0.2">
      <c r="A73" s="888" t="s">
        <v>103</v>
      </c>
      <c r="B73" s="889">
        <v>3526</v>
      </c>
      <c r="C73" s="890">
        <v>90</v>
      </c>
      <c r="D73" s="890">
        <v>0</v>
      </c>
      <c r="E73" s="891">
        <v>0.31818181818181818</v>
      </c>
      <c r="F73" s="891">
        <v>0</v>
      </c>
      <c r="G73" s="891">
        <f t="shared" si="27"/>
        <v>28.636363636363637</v>
      </c>
      <c r="H73" s="891">
        <f t="shared" si="27"/>
        <v>0</v>
      </c>
      <c r="K73" s="891">
        <v>5.6179775280898903E-2</v>
      </c>
      <c r="L73" s="891">
        <v>0</v>
      </c>
      <c r="M73" s="891">
        <v>0</v>
      </c>
      <c r="N73" s="891">
        <v>0</v>
      </c>
      <c r="O73" s="891">
        <v>0.25842696629213502</v>
      </c>
      <c r="P73" s="891">
        <v>0</v>
      </c>
      <c r="Q73" s="891">
        <v>0.52808988764044895</v>
      </c>
      <c r="R73" s="891">
        <v>0</v>
      </c>
      <c r="S73" s="891">
        <v>0.14606741573033699</v>
      </c>
      <c r="T73" s="891">
        <v>0</v>
      </c>
      <c r="U73" s="891">
        <v>0</v>
      </c>
      <c r="V73" s="891">
        <v>0</v>
      </c>
      <c r="X73" s="891">
        <f t="shared" si="28"/>
        <v>5.056179775280901</v>
      </c>
      <c r="Y73" s="891">
        <f t="shared" si="28"/>
        <v>0</v>
      </c>
      <c r="Z73" s="891">
        <f t="shared" si="29"/>
        <v>0</v>
      </c>
      <c r="AA73" s="891">
        <f t="shared" si="29"/>
        <v>0</v>
      </c>
      <c r="AB73" s="891">
        <f t="shared" si="30"/>
        <v>23.258426966292152</v>
      </c>
      <c r="AC73" s="891">
        <f t="shared" si="30"/>
        <v>0</v>
      </c>
      <c r="AD73" s="891">
        <f t="shared" si="31"/>
        <v>47.528089887640405</v>
      </c>
      <c r="AE73" s="891">
        <f t="shared" si="31"/>
        <v>0</v>
      </c>
      <c r="AF73" s="891">
        <f t="shared" si="32"/>
        <v>13.146067415730329</v>
      </c>
      <c r="AG73" s="891">
        <f t="shared" si="32"/>
        <v>0</v>
      </c>
      <c r="AH73" s="891">
        <f t="shared" si="33"/>
        <v>0</v>
      </c>
      <c r="AI73" s="891">
        <f t="shared" si="33"/>
        <v>0</v>
      </c>
      <c r="AL73" s="891">
        <v>0.73684210526315796</v>
      </c>
      <c r="AM73" s="891">
        <v>0</v>
      </c>
      <c r="AO73">
        <f t="shared" si="34"/>
        <v>66.31578947368422</v>
      </c>
      <c r="AP73">
        <f t="shared" si="34"/>
        <v>0</v>
      </c>
      <c r="AS73" s="892">
        <v>0.14444444444444399</v>
      </c>
      <c r="AT73" s="892">
        <v>0</v>
      </c>
      <c r="AU73" s="892">
        <f t="shared" si="35"/>
        <v>4.4444444444443981E-2</v>
      </c>
      <c r="AV73" s="907">
        <f t="shared" si="35"/>
        <v>-0.1</v>
      </c>
      <c r="AX73">
        <f t="shared" si="36"/>
        <v>3.9999999999999583</v>
      </c>
      <c r="AY73">
        <f t="shared" si="36"/>
        <v>0</v>
      </c>
      <c r="BA73" s="891">
        <v>0</v>
      </c>
      <c r="BC73">
        <f t="shared" si="37"/>
        <v>0</v>
      </c>
      <c r="BF73">
        <v>0</v>
      </c>
      <c r="BG73" s="891"/>
      <c r="BK73" s="1139">
        <f t="shared" si="15"/>
        <v>0.14444444444444399</v>
      </c>
      <c r="BL73" s="1139">
        <f t="shared" si="16"/>
        <v>0</v>
      </c>
    </row>
    <row r="74" spans="1:64" ht="12.75" x14ac:dyDescent="0.2">
      <c r="A74" s="888" t="s">
        <v>104</v>
      </c>
      <c r="B74" s="889">
        <v>3535</v>
      </c>
      <c r="C74" s="890">
        <v>283</v>
      </c>
      <c r="D74" s="890">
        <v>0</v>
      </c>
      <c r="E74" s="891">
        <v>0.45333333333333331</v>
      </c>
      <c r="F74" s="891">
        <v>0</v>
      </c>
      <c r="G74" s="891">
        <f t="shared" si="27"/>
        <v>128.29333333333332</v>
      </c>
      <c r="H74" s="891">
        <f t="shared" si="27"/>
        <v>0</v>
      </c>
      <c r="K74" s="891">
        <v>4.2704626334519602E-2</v>
      </c>
      <c r="L74" s="891">
        <v>0</v>
      </c>
      <c r="M74" s="891">
        <v>3.5587188612099599E-3</v>
      </c>
      <c r="N74" s="891">
        <v>0</v>
      </c>
      <c r="O74" s="891">
        <v>0.29181494661921697</v>
      </c>
      <c r="P74" s="891">
        <v>0</v>
      </c>
      <c r="Q74" s="891">
        <v>0.59430604982206403</v>
      </c>
      <c r="R74" s="891">
        <v>0</v>
      </c>
      <c r="S74" s="891">
        <v>4.9822064056939501E-2</v>
      </c>
      <c r="T74" s="891">
        <v>0</v>
      </c>
      <c r="U74" s="891">
        <v>0</v>
      </c>
      <c r="V74" s="891">
        <v>0</v>
      </c>
      <c r="X74" s="891">
        <f t="shared" si="28"/>
        <v>12.085409252669047</v>
      </c>
      <c r="Y74" s="891">
        <f t="shared" si="28"/>
        <v>0</v>
      </c>
      <c r="Z74" s="891">
        <f t="shared" si="29"/>
        <v>1.0071174377224186</v>
      </c>
      <c r="AA74" s="891">
        <f t="shared" si="29"/>
        <v>0</v>
      </c>
      <c r="AB74" s="891">
        <f t="shared" si="30"/>
        <v>82.58362989323841</v>
      </c>
      <c r="AC74" s="891">
        <f t="shared" si="30"/>
        <v>0</v>
      </c>
      <c r="AD74" s="891">
        <f t="shared" si="31"/>
        <v>168.18861209964413</v>
      </c>
      <c r="AE74" s="891">
        <f t="shared" si="31"/>
        <v>0</v>
      </c>
      <c r="AF74" s="891">
        <f t="shared" si="32"/>
        <v>14.099644128113878</v>
      </c>
      <c r="AG74" s="891">
        <f t="shared" si="32"/>
        <v>0</v>
      </c>
      <c r="AH74" s="891">
        <f t="shared" si="33"/>
        <v>0</v>
      </c>
      <c r="AI74" s="891">
        <f t="shared" si="33"/>
        <v>0</v>
      </c>
      <c r="AL74" s="891">
        <v>0.26595744680851102</v>
      </c>
      <c r="AM74" s="891">
        <v>0</v>
      </c>
      <c r="AO74">
        <f t="shared" si="34"/>
        <v>75.265957446808613</v>
      </c>
      <c r="AP74">
        <f t="shared" si="34"/>
        <v>0</v>
      </c>
      <c r="AS74" s="892">
        <v>8.1272084805653705E-2</v>
      </c>
      <c r="AT74" s="892">
        <v>0</v>
      </c>
      <c r="AU74" s="892">
        <f t="shared" si="35"/>
        <v>-1.8727915194346301E-2</v>
      </c>
      <c r="AV74" s="907">
        <f t="shared" si="35"/>
        <v>-0.1</v>
      </c>
      <c r="AX74">
        <f t="shared" si="36"/>
        <v>0</v>
      </c>
      <c r="AY74">
        <f t="shared" si="36"/>
        <v>0</v>
      </c>
      <c r="BA74" s="891">
        <v>0</v>
      </c>
      <c r="BC74">
        <f t="shared" si="37"/>
        <v>0</v>
      </c>
      <c r="BF74">
        <v>0</v>
      </c>
      <c r="BG74" s="891"/>
      <c r="BK74" s="1139">
        <f t="shared" si="15"/>
        <v>8.1272084805653705E-2</v>
      </c>
      <c r="BL74" s="1139">
        <f t="shared" si="16"/>
        <v>0</v>
      </c>
    </row>
    <row r="75" spans="1:64" ht="12.75" x14ac:dyDescent="0.2">
      <c r="A75" s="912" t="s">
        <v>64</v>
      </c>
      <c r="B75" s="913">
        <v>2008</v>
      </c>
      <c r="C75" s="890">
        <v>226</v>
      </c>
      <c r="D75" s="890">
        <v>0</v>
      </c>
      <c r="E75" s="891">
        <v>0.32444444444444442</v>
      </c>
      <c r="F75" s="891">
        <v>0</v>
      </c>
      <c r="G75" s="891">
        <f t="shared" si="27"/>
        <v>73.324444444444438</v>
      </c>
      <c r="H75" s="891">
        <f t="shared" si="27"/>
        <v>0</v>
      </c>
      <c r="K75" s="891">
        <v>0.11607142857142901</v>
      </c>
      <c r="L75" s="891">
        <v>0</v>
      </c>
      <c r="M75" s="891">
        <v>0.15625</v>
      </c>
      <c r="N75" s="891">
        <v>0</v>
      </c>
      <c r="O75" s="891">
        <v>0.35714285714285698</v>
      </c>
      <c r="P75" s="891">
        <v>0</v>
      </c>
      <c r="Q75" s="891">
        <v>0.17410714285714299</v>
      </c>
      <c r="R75" s="891">
        <v>0</v>
      </c>
      <c r="S75" s="891">
        <v>2.6785714285714302E-2</v>
      </c>
      <c r="T75" s="891">
        <v>0</v>
      </c>
      <c r="U75" s="891">
        <v>0</v>
      </c>
      <c r="V75" s="891">
        <v>0</v>
      </c>
      <c r="X75" s="891">
        <f t="shared" si="28"/>
        <v>26.232142857142954</v>
      </c>
      <c r="Y75" s="891">
        <f t="shared" si="28"/>
        <v>0</v>
      </c>
      <c r="Z75" s="891">
        <f t="shared" si="29"/>
        <v>35.3125</v>
      </c>
      <c r="AA75" s="891">
        <f t="shared" si="29"/>
        <v>0</v>
      </c>
      <c r="AB75" s="891">
        <f t="shared" si="30"/>
        <v>80.71428571428568</v>
      </c>
      <c r="AC75" s="891">
        <f t="shared" si="30"/>
        <v>0</v>
      </c>
      <c r="AD75" s="891">
        <f t="shared" si="31"/>
        <v>39.348214285714313</v>
      </c>
      <c r="AE75" s="891">
        <f t="shared" si="31"/>
        <v>0</v>
      </c>
      <c r="AF75" s="891">
        <f t="shared" si="32"/>
        <v>6.0535714285714324</v>
      </c>
      <c r="AG75" s="891">
        <f t="shared" si="32"/>
        <v>0</v>
      </c>
      <c r="AH75" s="891">
        <f t="shared" si="33"/>
        <v>0</v>
      </c>
      <c r="AI75" s="891">
        <f t="shared" si="33"/>
        <v>0</v>
      </c>
      <c r="AL75" s="891">
        <v>7.6530612244898003E-2</v>
      </c>
      <c r="AM75" s="891">
        <v>0</v>
      </c>
      <c r="AO75">
        <f t="shared" si="34"/>
        <v>17.29591836734695</v>
      </c>
      <c r="AP75">
        <f t="shared" si="34"/>
        <v>0</v>
      </c>
      <c r="AS75" s="892">
        <v>7.5221238938053103E-2</v>
      </c>
      <c r="AT75" s="892">
        <v>0</v>
      </c>
      <c r="AU75" s="892">
        <f t="shared" si="35"/>
        <v>-2.4778761061946902E-2</v>
      </c>
      <c r="AV75" s="907">
        <f t="shared" si="35"/>
        <v>-0.1</v>
      </c>
      <c r="AX75">
        <f t="shared" si="36"/>
        <v>0</v>
      </c>
      <c r="AY75">
        <f t="shared" si="36"/>
        <v>0</v>
      </c>
      <c r="BA75" s="891">
        <v>0</v>
      </c>
      <c r="BC75">
        <f t="shared" si="37"/>
        <v>0</v>
      </c>
      <c r="BF75">
        <v>0</v>
      </c>
      <c r="BG75" s="891"/>
      <c r="BK75" s="1139">
        <f t="shared" si="15"/>
        <v>7.5221238938053103E-2</v>
      </c>
      <c r="BL75" s="1139">
        <f t="shared" si="16"/>
        <v>0</v>
      </c>
    </row>
    <row r="76" spans="1:64" ht="12.75" x14ac:dyDescent="0.2">
      <c r="A76" s="888" t="s">
        <v>105</v>
      </c>
      <c r="B76" s="889">
        <v>3542</v>
      </c>
      <c r="C76" s="890">
        <v>352</v>
      </c>
      <c r="D76" s="890">
        <v>0</v>
      </c>
      <c r="E76" s="891">
        <v>0.20113314447592068</v>
      </c>
      <c r="F76" s="891">
        <v>0</v>
      </c>
      <c r="G76" s="891">
        <f t="shared" si="27"/>
        <v>70.798866855524082</v>
      </c>
      <c r="H76" s="891">
        <f t="shared" si="27"/>
        <v>0</v>
      </c>
      <c r="K76" s="891">
        <v>8.3333333333333301E-2</v>
      </c>
      <c r="L76" s="891">
        <v>0</v>
      </c>
      <c r="M76" s="891">
        <v>0.10344827586206901</v>
      </c>
      <c r="N76" s="891">
        <v>0</v>
      </c>
      <c r="O76" s="891">
        <v>0.36206896551724099</v>
      </c>
      <c r="P76" s="891">
        <v>0</v>
      </c>
      <c r="Q76" s="891">
        <v>0.158045977011494</v>
      </c>
      <c r="R76" s="891">
        <v>0</v>
      </c>
      <c r="S76" s="891">
        <v>6.3218390804597693E-2</v>
      </c>
      <c r="T76" s="891">
        <v>0</v>
      </c>
      <c r="U76" s="891">
        <v>0</v>
      </c>
      <c r="V76" s="891">
        <v>0</v>
      </c>
      <c r="X76" s="891">
        <f t="shared" si="28"/>
        <v>29.333333333333321</v>
      </c>
      <c r="Y76" s="891">
        <f t="shared" si="28"/>
        <v>0</v>
      </c>
      <c r="Z76" s="891">
        <f t="shared" si="29"/>
        <v>36.413793103448292</v>
      </c>
      <c r="AA76" s="891">
        <f t="shared" si="29"/>
        <v>0</v>
      </c>
      <c r="AB76" s="891">
        <f t="shared" si="30"/>
        <v>127.44827586206883</v>
      </c>
      <c r="AC76" s="891">
        <f t="shared" si="30"/>
        <v>0</v>
      </c>
      <c r="AD76" s="891">
        <f t="shared" si="31"/>
        <v>55.632183908045889</v>
      </c>
      <c r="AE76" s="891">
        <f t="shared" si="31"/>
        <v>0</v>
      </c>
      <c r="AF76" s="891">
        <f t="shared" si="32"/>
        <v>22.252873563218387</v>
      </c>
      <c r="AG76" s="891">
        <f t="shared" si="32"/>
        <v>0</v>
      </c>
      <c r="AH76" s="891">
        <f t="shared" si="33"/>
        <v>0</v>
      </c>
      <c r="AI76" s="891">
        <f t="shared" si="33"/>
        <v>0</v>
      </c>
      <c r="AL76" s="891">
        <v>0.27333333333333298</v>
      </c>
      <c r="AM76" s="891">
        <v>0</v>
      </c>
      <c r="AO76">
        <f t="shared" si="34"/>
        <v>96.21333333333321</v>
      </c>
      <c r="AP76">
        <f t="shared" si="34"/>
        <v>0</v>
      </c>
      <c r="AS76" s="892">
        <v>3.125E-2</v>
      </c>
      <c r="AT76" s="892">
        <v>0</v>
      </c>
      <c r="AU76" s="892">
        <f t="shared" si="35"/>
        <v>-6.8750000000000006E-2</v>
      </c>
      <c r="AV76" s="907">
        <f t="shared" si="35"/>
        <v>-0.1</v>
      </c>
      <c r="AX76">
        <f t="shared" si="36"/>
        <v>0</v>
      </c>
      <c r="AY76">
        <f t="shared" si="36"/>
        <v>0</v>
      </c>
      <c r="BA76" s="891">
        <v>8.4985835694051E-3</v>
      </c>
      <c r="BC76">
        <f t="shared" si="37"/>
        <v>2.9915014164305953</v>
      </c>
      <c r="BF76">
        <v>0</v>
      </c>
      <c r="BG76" s="891"/>
      <c r="BK76" s="1139">
        <f t="shared" si="15"/>
        <v>3.125E-2</v>
      </c>
      <c r="BL76" s="1139">
        <f t="shared" si="16"/>
        <v>0</v>
      </c>
    </row>
    <row r="77" spans="1:64" ht="12.75" x14ac:dyDescent="0.2">
      <c r="A77" s="888" t="s">
        <v>106</v>
      </c>
      <c r="B77" s="889">
        <v>3528</v>
      </c>
      <c r="C77" s="890">
        <v>346</v>
      </c>
      <c r="D77" s="890">
        <v>0</v>
      </c>
      <c r="E77" s="891">
        <v>0.23460410557184752</v>
      </c>
      <c r="F77" s="891">
        <v>0</v>
      </c>
      <c r="G77" s="891">
        <f t="shared" si="27"/>
        <v>81.173020527859236</v>
      </c>
      <c r="H77" s="891">
        <f t="shared" si="27"/>
        <v>0</v>
      </c>
      <c r="K77" s="891">
        <v>0.157894736842105</v>
      </c>
      <c r="L77" s="891">
        <v>0</v>
      </c>
      <c r="M77" s="891">
        <v>0.105263157894737</v>
      </c>
      <c r="N77" s="891">
        <v>0</v>
      </c>
      <c r="O77" s="891">
        <v>0.216374269005848</v>
      </c>
      <c r="P77" s="891">
        <v>0</v>
      </c>
      <c r="Q77" s="891">
        <v>0.11111111111111099</v>
      </c>
      <c r="R77" s="891">
        <v>0</v>
      </c>
      <c r="S77" s="891">
        <v>6.4327485380116997E-2</v>
      </c>
      <c r="T77" s="891">
        <v>0</v>
      </c>
      <c r="U77" s="891">
        <v>0</v>
      </c>
      <c r="V77" s="891">
        <v>0</v>
      </c>
      <c r="X77" s="891">
        <f t="shared" si="28"/>
        <v>54.631578947368332</v>
      </c>
      <c r="Y77" s="891">
        <f t="shared" si="28"/>
        <v>0</v>
      </c>
      <c r="Z77" s="891">
        <f t="shared" si="29"/>
        <v>36.421052631579002</v>
      </c>
      <c r="AA77" s="891">
        <f t="shared" si="29"/>
        <v>0</v>
      </c>
      <c r="AB77" s="891">
        <f t="shared" si="30"/>
        <v>74.865497076023402</v>
      </c>
      <c r="AC77" s="891">
        <f t="shared" si="30"/>
        <v>0</v>
      </c>
      <c r="AD77" s="891">
        <f t="shared" si="31"/>
        <v>38.444444444444407</v>
      </c>
      <c r="AE77" s="891">
        <f t="shared" si="31"/>
        <v>0</v>
      </c>
      <c r="AF77" s="891">
        <f t="shared" si="32"/>
        <v>22.257309941520482</v>
      </c>
      <c r="AG77" s="891">
        <f t="shared" si="32"/>
        <v>0</v>
      </c>
      <c r="AH77" s="891">
        <f t="shared" si="33"/>
        <v>0</v>
      </c>
      <c r="AI77" s="891">
        <f t="shared" si="33"/>
        <v>0</v>
      </c>
      <c r="AL77" s="891">
        <v>0.24657534246575299</v>
      </c>
      <c r="AM77" s="891">
        <v>0</v>
      </c>
      <c r="AO77">
        <f t="shared" si="34"/>
        <v>85.315068493150534</v>
      </c>
      <c r="AP77">
        <f t="shared" si="34"/>
        <v>0</v>
      </c>
      <c r="AS77" s="892">
        <v>0.115606936416185</v>
      </c>
      <c r="AT77" s="892">
        <v>0</v>
      </c>
      <c r="AU77" s="892">
        <f t="shared" si="35"/>
        <v>1.5606936416184991E-2</v>
      </c>
      <c r="AV77" s="907">
        <f t="shared" si="35"/>
        <v>-0.1</v>
      </c>
      <c r="AX77">
        <f t="shared" si="36"/>
        <v>5.4000000000000066</v>
      </c>
      <c r="AY77">
        <f t="shared" si="36"/>
        <v>0</v>
      </c>
      <c r="BA77" s="891">
        <v>2.9325513196480938E-3</v>
      </c>
      <c r="BC77">
        <f t="shared" si="37"/>
        <v>1.0146627565982405</v>
      </c>
      <c r="BF77">
        <v>0</v>
      </c>
      <c r="BG77" s="891"/>
      <c r="BK77" s="1139">
        <f t="shared" si="15"/>
        <v>0.115606936416185</v>
      </c>
      <c r="BL77" s="1139">
        <f t="shared" si="16"/>
        <v>0</v>
      </c>
    </row>
    <row r="78" spans="1:64" ht="12.75" x14ac:dyDescent="0.2">
      <c r="A78" s="888" t="s">
        <v>107</v>
      </c>
      <c r="B78" s="889">
        <v>3534</v>
      </c>
      <c r="C78" s="890">
        <v>255</v>
      </c>
      <c r="D78" s="890">
        <v>0</v>
      </c>
      <c r="E78" s="891">
        <v>0.13147410358565736</v>
      </c>
      <c r="F78" s="891">
        <v>0</v>
      </c>
      <c r="G78" s="891">
        <f t="shared" si="27"/>
        <v>33.525896414342625</v>
      </c>
      <c r="H78" s="891">
        <f t="shared" si="27"/>
        <v>0</v>
      </c>
      <c r="K78" s="891">
        <v>4.3137254901960798E-2</v>
      </c>
      <c r="L78" s="891">
        <v>0</v>
      </c>
      <c r="M78" s="891">
        <v>2.7450980392156901E-2</v>
      </c>
      <c r="N78" s="891">
        <v>0</v>
      </c>
      <c r="O78" s="891">
        <v>7.0588235294117604E-2</v>
      </c>
      <c r="P78" s="891">
        <v>0</v>
      </c>
      <c r="Q78" s="891">
        <v>5.0980392156862703E-2</v>
      </c>
      <c r="R78" s="891">
        <v>0</v>
      </c>
      <c r="S78" s="891">
        <v>3.9215686274509803E-3</v>
      </c>
      <c r="T78" s="891">
        <v>0</v>
      </c>
      <c r="U78" s="891">
        <v>0</v>
      </c>
      <c r="V78" s="891">
        <v>0</v>
      </c>
      <c r="X78" s="891">
        <f t="shared" si="28"/>
        <v>11.000000000000004</v>
      </c>
      <c r="Y78" s="891">
        <f t="shared" si="28"/>
        <v>0</v>
      </c>
      <c r="Z78" s="891">
        <f t="shared" si="29"/>
        <v>7.0000000000000098</v>
      </c>
      <c r="AA78" s="891">
        <f t="shared" si="29"/>
        <v>0</v>
      </c>
      <c r="AB78" s="891">
        <f t="shared" si="30"/>
        <v>17.999999999999989</v>
      </c>
      <c r="AC78" s="891">
        <f t="shared" si="30"/>
        <v>0</v>
      </c>
      <c r="AD78" s="891">
        <f t="shared" si="31"/>
        <v>12.999999999999989</v>
      </c>
      <c r="AE78" s="891">
        <f t="shared" si="31"/>
        <v>0</v>
      </c>
      <c r="AF78" s="891">
        <f t="shared" si="32"/>
        <v>1</v>
      </c>
      <c r="AG78" s="891">
        <f t="shared" si="32"/>
        <v>0</v>
      </c>
      <c r="AH78" s="891">
        <f t="shared" si="33"/>
        <v>0</v>
      </c>
      <c r="AI78" s="891">
        <f t="shared" si="33"/>
        <v>0</v>
      </c>
      <c r="AL78" s="891">
        <v>8.6614173228346497E-2</v>
      </c>
      <c r="AM78" s="891">
        <v>0</v>
      </c>
      <c r="AO78">
        <f t="shared" si="34"/>
        <v>22.086614173228355</v>
      </c>
      <c r="AP78">
        <f t="shared" si="34"/>
        <v>0</v>
      </c>
      <c r="AS78" s="892">
        <v>7.4509803921568599E-2</v>
      </c>
      <c r="AT78" s="892">
        <v>0</v>
      </c>
      <c r="AU78" s="892">
        <f t="shared" si="35"/>
        <v>-2.5490196078431407E-2</v>
      </c>
      <c r="AV78" s="907">
        <f t="shared" si="35"/>
        <v>-0.1</v>
      </c>
      <c r="AX78">
        <f t="shared" si="36"/>
        <v>0</v>
      </c>
      <c r="AY78">
        <f t="shared" si="36"/>
        <v>0</v>
      </c>
      <c r="BA78" s="891">
        <v>0</v>
      </c>
      <c r="BC78">
        <f t="shared" si="37"/>
        <v>0</v>
      </c>
      <c r="BF78">
        <v>0</v>
      </c>
      <c r="BG78" s="891"/>
      <c r="BK78" s="1139">
        <f t="shared" si="15"/>
        <v>7.4509803921568599E-2</v>
      </c>
      <c r="BL78" s="1139">
        <f t="shared" si="16"/>
        <v>0</v>
      </c>
    </row>
    <row r="79" spans="1:64" ht="12.75" x14ac:dyDescent="0.2">
      <c r="A79" s="888" t="s">
        <v>108</v>
      </c>
      <c r="B79" s="889">
        <v>3532</v>
      </c>
      <c r="C79" s="890">
        <v>317</v>
      </c>
      <c r="D79" s="890">
        <v>0</v>
      </c>
      <c r="E79" s="891">
        <v>7.0967741935483872E-2</v>
      </c>
      <c r="F79" s="891">
        <v>0</v>
      </c>
      <c r="G79" s="891">
        <f t="shared" si="27"/>
        <v>22.496774193548386</v>
      </c>
      <c r="H79" s="891">
        <f t="shared" si="27"/>
        <v>0</v>
      </c>
      <c r="K79" s="891">
        <v>0.19620253164557</v>
      </c>
      <c r="L79" s="891">
        <v>0</v>
      </c>
      <c r="M79" s="891">
        <v>5.6962025316455701E-2</v>
      </c>
      <c r="N79" s="891">
        <v>0</v>
      </c>
      <c r="O79" s="891">
        <v>2.53164556962025E-2</v>
      </c>
      <c r="P79" s="891">
        <v>0</v>
      </c>
      <c r="Q79" s="891">
        <v>0</v>
      </c>
      <c r="R79" s="891">
        <v>0</v>
      </c>
      <c r="S79" s="891">
        <v>0</v>
      </c>
      <c r="T79" s="891">
        <v>0</v>
      </c>
      <c r="U79" s="891">
        <v>0</v>
      </c>
      <c r="V79" s="891">
        <v>0</v>
      </c>
      <c r="X79" s="891">
        <f t="shared" si="28"/>
        <v>62.196202531645689</v>
      </c>
      <c r="Y79" s="891">
        <f t="shared" si="28"/>
        <v>0</v>
      </c>
      <c r="Z79" s="891">
        <f t="shared" si="29"/>
        <v>18.056962025316459</v>
      </c>
      <c r="AA79" s="891">
        <f t="shared" si="29"/>
        <v>0</v>
      </c>
      <c r="AB79" s="891">
        <f t="shared" si="30"/>
        <v>8.025316455696192</v>
      </c>
      <c r="AC79" s="891">
        <f t="shared" si="30"/>
        <v>0</v>
      </c>
      <c r="AD79" s="891">
        <f t="shared" si="31"/>
        <v>0</v>
      </c>
      <c r="AE79" s="891">
        <f t="shared" si="31"/>
        <v>0</v>
      </c>
      <c r="AF79" s="891">
        <f t="shared" si="32"/>
        <v>0</v>
      </c>
      <c r="AG79" s="891">
        <f t="shared" si="32"/>
        <v>0</v>
      </c>
      <c r="AH79" s="891">
        <f t="shared" si="33"/>
        <v>0</v>
      </c>
      <c r="AI79" s="891">
        <f t="shared" si="33"/>
        <v>0</v>
      </c>
      <c r="AL79" s="891">
        <v>0</v>
      </c>
      <c r="AM79" s="891">
        <v>0</v>
      </c>
      <c r="AO79">
        <f t="shared" si="34"/>
        <v>0</v>
      </c>
      <c r="AP79">
        <f t="shared" si="34"/>
        <v>0</v>
      </c>
      <c r="AS79" s="892">
        <v>3.1545741324921099E-2</v>
      </c>
      <c r="AT79" s="892">
        <v>0</v>
      </c>
      <c r="AU79" s="892">
        <f t="shared" si="35"/>
        <v>-6.8454258675078899E-2</v>
      </c>
      <c r="AV79" s="907">
        <f t="shared" si="35"/>
        <v>-0.1</v>
      </c>
      <c r="AX79">
        <f t="shared" si="36"/>
        <v>0</v>
      </c>
      <c r="AY79">
        <f t="shared" si="36"/>
        <v>0</v>
      </c>
      <c r="BA79" s="891">
        <v>0</v>
      </c>
      <c r="BC79">
        <f t="shared" si="37"/>
        <v>0</v>
      </c>
      <c r="BF79">
        <v>0</v>
      </c>
      <c r="BG79" s="891"/>
      <c r="BK79" s="1139">
        <f t="shared" si="15"/>
        <v>3.1545741324921099E-2</v>
      </c>
      <c r="BL79" s="1139">
        <f t="shared" si="16"/>
        <v>0</v>
      </c>
    </row>
    <row r="80" spans="1:64" ht="12.75" x14ac:dyDescent="0.2">
      <c r="A80" s="888" t="s">
        <v>114</v>
      </c>
      <c r="B80" s="889">
        <v>4177</v>
      </c>
      <c r="C80" s="890">
        <v>141.625</v>
      </c>
      <c r="D80" s="890">
        <v>607</v>
      </c>
      <c r="E80" s="891">
        <v>0.30303030303030304</v>
      </c>
      <c r="F80" s="891">
        <v>0.62385321100917435</v>
      </c>
      <c r="G80" s="891">
        <f t="shared" si="27"/>
        <v>42.916666666666671</v>
      </c>
      <c r="H80" s="891">
        <f t="shared" si="27"/>
        <v>378.67889908256882</v>
      </c>
      <c r="K80" s="891">
        <v>0.112</v>
      </c>
      <c r="L80" s="891">
        <v>7.9877112135176606E-2</v>
      </c>
      <c r="M80" s="891">
        <v>0.13600000000000001</v>
      </c>
      <c r="N80" s="891">
        <v>4.4546850998463901E-2</v>
      </c>
      <c r="O80" s="891">
        <v>0.35199999999999998</v>
      </c>
      <c r="P80" s="891">
        <v>0.44239631336405499</v>
      </c>
      <c r="Q80" s="891">
        <v>0.13600000000000001</v>
      </c>
      <c r="R80" s="891">
        <v>0.32565284178187398</v>
      </c>
      <c r="S80" s="891">
        <v>6.4000000000000001E-2</v>
      </c>
      <c r="T80" s="891">
        <v>5.3763440860215103E-2</v>
      </c>
      <c r="U80" s="891">
        <v>0</v>
      </c>
      <c r="V80" s="891">
        <v>0</v>
      </c>
      <c r="X80" s="891">
        <f t="shared" si="28"/>
        <v>15.862</v>
      </c>
      <c r="Y80" s="891">
        <f t="shared" si="28"/>
        <v>48.485407066052197</v>
      </c>
      <c r="Z80" s="891">
        <f t="shared" si="29"/>
        <v>19.261000000000003</v>
      </c>
      <c r="AA80" s="891">
        <f t="shared" si="29"/>
        <v>27.039938556067586</v>
      </c>
      <c r="AB80" s="891">
        <f t="shared" si="30"/>
        <v>49.851999999999997</v>
      </c>
      <c r="AC80" s="891">
        <f t="shared" si="30"/>
        <v>268.53456221198138</v>
      </c>
      <c r="AD80" s="891">
        <f t="shared" si="31"/>
        <v>19.261000000000003</v>
      </c>
      <c r="AE80" s="891">
        <f t="shared" si="31"/>
        <v>197.6712749615975</v>
      </c>
      <c r="AF80" s="891">
        <f t="shared" si="32"/>
        <v>9.0640000000000001</v>
      </c>
      <c r="AG80" s="891">
        <f t="shared" si="32"/>
        <v>32.634408602150565</v>
      </c>
      <c r="AH80" s="891">
        <f t="shared" si="33"/>
        <v>0</v>
      </c>
      <c r="AI80" s="891">
        <f t="shared" si="33"/>
        <v>0</v>
      </c>
      <c r="AL80" s="891">
        <v>0.51485148514851498</v>
      </c>
      <c r="AM80" s="891">
        <v>0.22546012269938701</v>
      </c>
      <c r="AO80">
        <f t="shared" si="34"/>
        <v>72.915841584158429</v>
      </c>
      <c r="AP80">
        <f t="shared" si="34"/>
        <v>136.85429447852792</v>
      </c>
      <c r="AS80" s="892">
        <v>0.33600000000000002</v>
      </c>
      <c r="AT80" s="892">
        <v>0.217791411042945</v>
      </c>
      <c r="AU80" s="892">
        <f t="shared" si="35"/>
        <v>0.23600000000000002</v>
      </c>
      <c r="AV80" s="907">
        <f t="shared" si="35"/>
        <v>0.11779141104294499</v>
      </c>
      <c r="AX80">
        <f t="shared" si="36"/>
        <v>33.423500000000004</v>
      </c>
      <c r="AY80">
        <f t="shared" si="36"/>
        <v>71.499386503067612</v>
      </c>
      <c r="BA80" s="891">
        <v>1.3100436681222707E-2</v>
      </c>
      <c r="BC80">
        <f>BA80*(D80+C80)</f>
        <v>9.8073144104803482</v>
      </c>
      <c r="BF80">
        <v>0.54545454545454497</v>
      </c>
      <c r="BG80" s="891">
        <f>BF80*D80</f>
        <v>331.09090909090878</v>
      </c>
      <c r="BK80" s="1139">
        <f t="shared" si="15"/>
        <v>0.33600000000000002</v>
      </c>
      <c r="BL80" s="1139">
        <f t="shared" si="16"/>
        <v>0.217791411042945</v>
      </c>
    </row>
    <row r="81" spans="1:64" ht="12.75" x14ac:dyDescent="0.2">
      <c r="A81" s="888" t="s">
        <v>65</v>
      </c>
      <c r="B81" s="889">
        <v>3546</v>
      </c>
      <c r="C81" s="890">
        <v>585</v>
      </c>
      <c r="D81" s="890">
        <v>0</v>
      </c>
      <c r="E81" s="891">
        <v>0.39367311072056238</v>
      </c>
      <c r="F81" s="891">
        <v>0</v>
      </c>
      <c r="G81" s="891">
        <f t="shared" si="27"/>
        <v>230.29876977152898</v>
      </c>
      <c r="H81" s="891">
        <f t="shared" si="27"/>
        <v>0</v>
      </c>
      <c r="K81" s="891">
        <v>2.92096219931271E-2</v>
      </c>
      <c r="L81" s="891">
        <v>0</v>
      </c>
      <c r="M81" s="891">
        <v>1.7182130584192401E-3</v>
      </c>
      <c r="N81" s="891">
        <v>0</v>
      </c>
      <c r="O81" s="891">
        <v>0.39690721649484501</v>
      </c>
      <c r="P81" s="891">
        <v>0</v>
      </c>
      <c r="Q81" s="891">
        <v>0.38659793814433002</v>
      </c>
      <c r="R81" s="891">
        <v>0</v>
      </c>
      <c r="S81" s="891">
        <v>3.9518900343642603E-2</v>
      </c>
      <c r="T81" s="891">
        <v>0</v>
      </c>
      <c r="U81" s="891">
        <v>0</v>
      </c>
      <c r="V81" s="891">
        <v>0</v>
      </c>
      <c r="X81" s="891">
        <f t="shared" si="28"/>
        <v>17.087628865979354</v>
      </c>
      <c r="Y81" s="891">
        <f t="shared" si="28"/>
        <v>0</v>
      </c>
      <c r="Z81" s="891">
        <f t="shared" si="29"/>
        <v>1.0051546391752555</v>
      </c>
      <c r="AA81" s="891">
        <f t="shared" si="29"/>
        <v>0</v>
      </c>
      <c r="AB81" s="891">
        <f t="shared" si="30"/>
        <v>232.19072164948432</v>
      </c>
      <c r="AC81" s="891">
        <f t="shared" si="30"/>
        <v>0</v>
      </c>
      <c r="AD81" s="891">
        <f t="shared" si="31"/>
        <v>226.15979381443307</v>
      </c>
      <c r="AE81" s="891">
        <f t="shared" si="31"/>
        <v>0</v>
      </c>
      <c r="AF81" s="891">
        <f t="shared" si="32"/>
        <v>23.118556701030922</v>
      </c>
      <c r="AG81" s="891">
        <f t="shared" si="32"/>
        <v>0</v>
      </c>
      <c r="AH81" s="891">
        <f t="shared" si="33"/>
        <v>0</v>
      </c>
      <c r="AI81" s="891">
        <f t="shared" si="33"/>
        <v>0</v>
      </c>
      <c r="AL81" s="891">
        <v>0.248484848484848</v>
      </c>
      <c r="AM81" s="891">
        <v>0</v>
      </c>
      <c r="AO81">
        <f t="shared" si="34"/>
        <v>145.36363636363609</v>
      </c>
      <c r="AP81">
        <f t="shared" si="34"/>
        <v>0</v>
      </c>
      <c r="AS81" s="892">
        <v>0.100854700854701</v>
      </c>
      <c r="AT81" s="892">
        <v>0</v>
      </c>
      <c r="AU81" s="892">
        <f t="shared" si="35"/>
        <v>8.5470085470099044E-4</v>
      </c>
      <c r="AV81" s="907">
        <f t="shared" si="35"/>
        <v>-0.1</v>
      </c>
      <c r="AX81">
        <f t="shared" si="36"/>
        <v>0.50000000000007938</v>
      </c>
      <c r="AY81">
        <f t="shared" si="36"/>
        <v>0</v>
      </c>
      <c r="BA81" s="891">
        <v>3.5149384885764497E-3</v>
      </c>
      <c r="BC81">
        <f>BA81*C81</f>
        <v>2.0562390158172232</v>
      </c>
      <c r="BF81">
        <v>0</v>
      </c>
      <c r="BG81" s="891"/>
      <c r="BK81" s="1139">
        <f t="shared" si="15"/>
        <v>0.100854700854701</v>
      </c>
      <c r="BL81" s="1139">
        <f t="shared" si="16"/>
        <v>0</v>
      </c>
    </row>
    <row r="82" spans="1:64" ht="12.75" x14ac:dyDescent="0.2">
      <c r="A82" s="888" t="s">
        <v>109</v>
      </c>
      <c r="B82" s="889">
        <v>3530</v>
      </c>
      <c r="C82" s="890">
        <v>335</v>
      </c>
      <c r="D82" s="890">
        <v>0</v>
      </c>
      <c r="E82" s="891">
        <v>3.7383177570093455E-2</v>
      </c>
      <c r="F82" s="891">
        <v>0</v>
      </c>
      <c r="G82" s="891">
        <f t="shared" si="27"/>
        <v>12.523364485981308</v>
      </c>
      <c r="H82" s="891">
        <f t="shared" si="27"/>
        <v>0</v>
      </c>
      <c r="K82" s="891">
        <v>7.5528700906344406E-2</v>
      </c>
      <c r="L82" s="891">
        <v>0</v>
      </c>
      <c r="M82" s="891">
        <v>6.0422960725075503E-3</v>
      </c>
      <c r="N82" s="891">
        <v>0</v>
      </c>
      <c r="O82" s="891">
        <v>3.0211480362537801E-2</v>
      </c>
      <c r="P82" s="891">
        <v>0</v>
      </c>
      <c r="Q82" s="891">
        <v>0</v>
      </c>
      <c r="R82" s="891">
        <v>0</v>
      </c>
      <c r="S82" s="891">
        <v>0</v>
      </c>
      <c r="T82" s="891">
        <v>0</v>
      </c>
      <c r="U82" s="891">
        <v>0</v>
      </c>
      <c r="V82" s="891">
        <v>0</v>
      </c>
      <c r="X82" s="891">
        <f t="shared" si="28"/>
        <v>25.302114803625376</v>
      </c>
      <c r="Y82" s="891">
        <f t="shared" si="28"/>
        <v>0</v>
      </c>
      <c r="Z82" s="891">
        <f t="shared" si="29"/>
        <v>2.0241691842900291</v>
      </c>
      <c r="AA82" s="891">
        <f t="shared" si="29"/>
        <v>0</v>
      </c>
      <c r="AB82" s="891">
        <f t="shared" si="30"/>
        <v>10.120845921450163</v>
      </c>
      <c r="AC82" s="891">
        <f t="shared" si="30"/>
        <v>0</v>
      </c>
      <c r="AD82" s="891">
        <f t="shared" si="31"/>
        <v>0</v>
      </c>
      <c r="AE82" s="891">
        <f t="shared" si="31"/>
        <v>0</v>
      </c>
      <c r="AF82" s="891">
        <f t="shared" si="32"/>
        <v>0</v>
      </c>
      <c r="AG82" s="891">
        <f t="shared" si="32"/>
        <v>0</v>
      </c>
      <c r="AH82" s="891">
        <f t="shared" si="33"/>
        <v>0</v>
      </c>
      <c r="AI82" s="891">
        <f t="shared" si="33"/>
        <v>0</v>
      </c>
      <c r="AL82" s="891">
        <v>1.4760147601476E-2</v>
      </c>
      <c r="AM82" s="891">
        <v>0</v>
      </c>
      <c r="AO82">
        <f t="shared" si="34"/>
        <v>4.9446494464944601</v>
      </c>
      <c r="AP82">
        <f t="shared" si="34"/>
        <v>0</v>
      </c>
      <c r="AS82" s="892">
        <v>3.8805970149253702E-2</v>
      </c>
      <c r="AT82" s="892">
        <v>0</v>
      </c>
      <c r="AU82" s="892">
        <f t="shared" si="35"/>
        <v>-6.1194029850746304E-2</v>
      </c>
      <c r="AV82" s="907">
        <f t="shared" si="35"/>
        <v>-0.1</v>
      </c>
      <c r="AX82">
        <f t="shared" si="36"/>
        <v>0</v>
      </c>
      <c r="AY82">
        <f t="shared" si="36"/>
        <v>0</v>
      </c>
      <c r="BA82" s="891">
        <v>0</v>
      </c>
      <c r="BC82">
        <f>BA82*C82</f>
        <v>0</v>
      </c>
      <c r="BF82">
        <v>0</v>
      </c>
      <c r="BG82" s="891"/>
      <c r="BK82" s="1139">
        <f t="shared" si="15"/>
        <v>3.8805970149253702E-2</v>
      </c>
      <c r="BL82" s="1139">
        <f t="shared" si="16"/>
        <v>0</v>
      </c>
    </row>
    <row r="83" spans="1:64" ht="12.75" x14ac:dyDescent="0.2">
      <c r="A83" s="910" t="s">
        <v>74</v>
      </c>
      <c r="B83" s="911">
        <v>5412</v>
      </c>
      <c r="C83" s="890">
        <v>0</v>
      </c>
      <c r="D83" s="890">
        <v>1254</v>
      </c>
      <c r="E83" s="891">
        <v>0</v>
      </c>
      <c r="F83" s="891">
        <v>0.23237179487179488</v>
      </c>
      <c r="G83" s="891">
        <f t="shared" si="27"/>
        <v>0</v>
      </c>
      <c r="H83" s="891">
        <f t="shared" si="27"/>
        <v>291.39423076923077</v>
      </c>
      <c r="K83" s="891">
        <v>0</v>
      </c>
      <c r="L83" s="891">
        <v>0.25438596491228099</v>
      </c>
      <c r="M83" s="891">
        <v>0</v>
      </c>
      <c r="N83" s="891">
        <v>5.7416267942583699E-2</v>
      </c>
      <c r="O83" s="891">
        <v>0</v>
      </c>
      <c r="P83" s="891">
        <v>9.8086124401913902E-2</v>
      </c>
      <c r="Q83" s="891">
        <v>0</v>
      </c>
      <c r="R83" s="891">
        <v>1.19617224880383E-2</v>
      </c>
      <c r="S83" s="891">
        <v>0</v>
      </c>
      <c r="T83" s="891">
        <v>9.5693779904306199E-3</v>
      </c>
      <c r="U83" s="891">
        <v>0</v>
      </c>
      <c r="V83" s="891">
        <v>0</v>
      </c>
      <c r="X83" s="891">
        <f t="shared" si="28"/>
        <v>0</v>
      </c>
      <c r="Y83" s="891">
        <f t="shared" si="28"/>
        <v>319.00000000000034</v>
      </c>
      <c r="Z83" s="891">
        <f t="shared" si="29"/>
        <v>0</v>
      </c>
      <c r="AA83" s="891">
        <f t="shared" si="29"/>
        <v>71.999999999999957</v>
      </c>
      <c r="AB83" s="891">
        <f t="shared" si="30"/>
        <v>0</v>
      </c>
      <c r="AC83" s="891">
        <f t="shared" si="30"/>
        <v>123.00000000000003</v>
      </c>
      <c r="AD83" s="891">
        <f t="shared" si="31"/>
        <v>0</v>
      </c>
      <c r="AE83" s="891">
        <f t="shared" si="31"/>
        <v>15.000000000000028</v>
      </c>
      <c r="AF83" s="891">
        <f t="shared" si="32"/>
        <v>0</v>
      </c>
      <c r="AG83" s="891">
        <f t="shared" si="32"/>
        <v>11.999999999999998</v>
      </c>
      <c r="AH83" s="891">
        <f t="shared" si="33"/>
        <v>0</v>
      </c>
      <c r="AI83" s="891">
        <f t="shared" si="33"/>
        <v>0</v>
      </c>
      <c r="AL83" s="891">
        <v>0</v>
      </c>
      <c r="AM83" s="891">
        <v>6.3846767757382303E-3</v>
      </c>
      <c r="AO83">
        <f t="shared" si="34"/>
        <v>0</v>
      </c>
      <c r="AP83">
        <f t="shared" si="34"/>
        <v>8.0063846767757401</v>
      </c>
      <c r="AS83" s="892">
        <v>0</v>
      </c>
      <c r="AT83" s="892">
        <v>2.23285486443381E-2</v>
      </c>
      <c r="AU83" s="892">
        <f t="shared" si="35"/>
        <v>-0.1</v>
      </c>
      <c r="AV83" s="907">
        <f t="shared" si="35"/>
        <v>-7.7671451355661905E-2</v>
      </c>
      <c r="AX83">
        <f t="shared" si="36"/>
        <v>0</v>
      </c>
      <c r="AY83">
        <f t="shared" si="36"/>
        <v>0</v>
      </c>
      <c r="BA83" s="891">
        <v>4.807692307692308E-3</v>
      </c>
      <c r="BC83">
        <f>BA83*D83</f>
        <v>6.0288461538461542</v>
      </c>
      <c r="BF83">
        <v>0.19124797406807101</v>
      </c>
      <c r="BG83" s="891">
        <f>BF83*D83</f>
        <v>239.82495948136105</v>
      </c>
      <c r="BK83" s="1139">
        <f t="shared" si="15"/>
        <v>0</v>
      </c>
      <c r="BL83" s="1139">
        <f t="shared" si="16"/>
        <v>2.23285486443381E-2</v>
      </c>
    </row>
    <row r="84" spans="1:64" ht="12.75" x14ac:dyDescent="0.2">
      <c r="A84" s="910" t="s">
        <v>954</v>
      </c>
      <c r="B84" s="911">
        <v>5414</v>
      </c>
      <c r="C84" s="890">
        <v>0</v>
      </c>
      <c r="D84" s="890">
        <v>1058</v>
      </c>
      <c r="E84" s="891">
        <v>0</v>
      </c>
      <c r="F84" s="891">
        <v>0.20066571564431765</v>
      </c>
      <c r="G84" s="891">
        <f t="shared" si="27"/>
        <v>0</v>
      </c>
      <c r="H84" s="891">
        <f t="shared" si="27"/>
        <v>212.30432715168808</v>
      </c>
      <c r="K84" s="891">
        <v>0</v>
      </c>
      <c r="L84" s="891">
        <v>8.2089552238805999E-2</v>
      </c>
      <c r="M84" s="891">
        <v>0</v>
      </c>
      <c r="N84" s="891">
        <v>7.4626865671641798E-2</v>
      </c>
      <c r="O84" s="891">
        <v>0</v>
      </c>
      <c r="P84" s="891">
        <v>0.109141791044776</v>
      </c>
      <c r="Q84" s="891">
        <v>0</v>
      </c>
      <c r="R84" s="891">
        <v>3.7313432835820899E-2</v>
      </c>
      <c r="S84" s="891">
        <v>0</v>
      </c>
      <c r="T84" s="891">
        <v>1.6791044776119399E-2</v>
      </c>
      <c r="U84" s="891">
        <v>0</v>
      </c>
      <c r="V84" s="891">
        <v>0</v>
      </c>
      <c r="X84" s="891">
        <f t="shared" si="28"/>
        <v>0</v>
      </c>
      <c r="Y84" s="891">
        <f t="shared" si="28"/>
        <v>86.850746268656749</v>
      </c>
      <c r="Z84" s="891">
        <f t="shared" si="29"/>
        <v>0</v>
      </c>
      <c r="AA84" s="891">
        <f t="shared" si="29"/>
        <v>78.955223880597018</v>
      </c>
      <c r="AB84" s="891">
        <f t="shared" si="30"/>
        <v>0</v>
      </c>
      <c r="AC84" s="891">
        <f t="shared" si="30"/>
        <v>115.47201492537302</v>
      </c>
      <c r="AD84" s="891">
        <f t="shared" si="31"/>
        <v>0</v>
      </c>
      <c r="AE84" s="891">
        <f t="shared" si="31"/>
        <v>39.477611940298509</v>
      </c>
      <c r="AF84" s="891">
        <f t="shared" si="32"/>
        <v>0</v>
      </c>
      <c r="AG84" s="891">
        <f t="shared" si="32"/>
        <v>17.764925373134325</v>
      </c>
      <c r="AH84" s="891">
        <f t="shared" si="33"/>
        <v>0</v>
      </c>
      <c r="AI84" s="891">
        <f t="shared" si="33"/>
        <v>0</v>
      </c>
      <c r="AL84" s="891">
        <v>0</v>
      </c>
      <c r="AM84" s="891">
        <v>1.59176029962547E-2</v>
      </c>
      <c r="AO84">
        <f t="shared" si="34"/>
        <v>0</v>
      </c>
      <c r="AP84">
        <f t="shared" si="34"/>
        <v>16.840823970037473</v>
      </c>
      <c r="AS84" s="892">
        <v>0</v>
      </c>
      <c r="AT84" s="892">
        <v>2.8917910447761201E-2</v>
      </c>
      <c r="AU84" s="892">
        <f t="shared" si="35"/>
        <v>-0.1</v>
      </c>
      <c r="AV84" s="907">
        <f t="shared" si="35"/>
        <v>-7.1082089552238797E-2</v>
      </c>
      <c r="AX84">
        <f t="shared" si="36"/>
        <v>0</v>
      </c>
      <c r="AY84">
        <f t="shared" si="36"/>
        <v>0</v>
      </c>
      <c r="BA84" s="891">
        <v>1.9011406844106464E-3</v>
      </c>
      <c r="BC84">
        <f>BA84*D84</f>
        <v>2.0114068441064639</v>
      </c>
      <c r="BF84">
        <v>0.16844143272023199</v>
      </c>
      <c r="BG84" s="891">
        <f>BF84*D84</f>
        <v>178.21103581800546</v>
      </c>
      <c r="BK84" s="1139">
        <f t="shared" si="15"/>
        <v>0</v>
      </c>
      <c r="BL84" s="1139">
        <f t="shared" si="16"/>
        <v>2.8917910447761201E-2</v>
      </c>
    </row>
    <row r="85" spans="1:64" ht="12.75" x14ac:dyDescent="0.2">
      <c r="A85" s="888" t="s">
        <v>67</v>
      </c>
      <c r="B85" s="889">
        <v>2459</v>
      </c>
      <c r="C85" s="890">
        <v>382</v>
      </c>
      <c r="D85" s="890">
        <v>0</v>
      </c>
      <c r="E85" s="891">
        <v>9.4629156010230184E-2</v>
      </c>
      <c r="F85" s="891">
        <v>0</v>
      </c>
      <c r="G85" s="891">
        <f t="shared" si="27"/>
        <v>36.148337595907932</v>
      </c>
      <c r="H85" s="891">
        <f t="shared" si="27"/>
        <v>0</v>
      </c>
      <c r="K85" s="891">
        <v>4.47368421052632E-2</v>
      </c>
      <c r="L85" s="891">
        <v>0</v>
      </c>
      <c r="M85" s="891">
        <v>2.1052631578947399E-2</v>
      </c>
      <c r="N85" s="891">
        <v>0</v>
      </c>
      <c r="O85" s="891">
        <v>0</v>
      </c>
      <c r="P85" s="891">
        <v>0</v>
      </c>
      <c r="Q85" s="891">
        <v>0</v>
      </c>
      <c r="R85" s="891">
        <v>0</v>
      </c>
      <c r="S85" s="891">
        <v>2.6315789473684201E-3</v>
      </c>
      <c r="T85" s="891">
        <v>0</v>
      </c>
      <c r="U85" s="891">
        <v>0</v>
      </c>
      <c r="V85" s="891">
        <v>0</v>
      </c>
      <c r="X85" s="891">
        <f t="shared" si="28"/>
        <v>17.089473684210542</v>
      </c>
      <c r="Y85" s="891">
        <f t="shared" si="28"/>
        <v>0</v>
      </c>
      <c r="Z85" s="891">
        <f t="shared" si="29"/>
        <v>8.0421052631579073</v>
      </c>
      <c r="AA85" s="891">
        <f t="shared" si="29"/>
        <v>0</v>
      </c>
      <c r="AB85" s="891">
        <f t="shared" si="30"/>
        <v>0</v>
      </c>
      <c r="AC85" s="891">
        <f t="shared" si="30"/>
        <v>0</v>
      </c>
      <c r="AD85" s="891">
        <f t="shared" si="31"/>
        <v>0</v>
      </c>
      <c r="AE85" s="891">
        <f t="shared" si="31"/>
        <v>0</v>
      </c>
      <c r="AF85" s="891">
        <f t="shared" si="32"/>
        <v>1.0052631578947364</v>
      </c>
      <c r="AG85" s="891">
        <f t="shared" si="32"/>
        <v>0</v>
      </c>
      <c r="AH85" s="891">
        <f t="shared" si="33"/>
        <v>0</v>
      </c>
      <c r="AI85" s="891">
        <f t="shared" si="33"/>
        <v>0</v>
      </c>
      <c r="AL85" s="891">
        <v>0.10153846153846199</v>
      </c>
      <c r="AM85" s="891">
        <v>0</v>
      </c>
      <c r="AO85">
        <f t="shared" si="34"/>
        <v>38.787692307692481</v>
      </c>
      <c r="AP85">
        <f t="shared" si="34"/>
        <v>0</v>
      </c>
      <c r="AS85" s="892">
        <v>4.4502617801047098E-2</v>
      </c>
      <c r="AT85" s="892">
        <v>0</v>
      </c>
      <c r="AU85" s="892">
        <f t="shared" si="35"/>
        <v>-5.5497382198952908E-2</v>
      </c>
      <c r="AV85" s="907">
        <f t="shared" si="35"/>
        <v>-0.1</v>
      </c>
      <c r="AX85">
        <f t="shared" si="36"/>
        <v>0</v>
      </c>
      <c r="AY85">
        <f t="shared" si="36"/>
        <v>0</v>
      </c>
      <c r="BA85" s="891">
        <v>0</v>
      </c>
      <c r="BC85">
        <f>BA85*C85</f>
        <v>0</v>
      </c>
      <c r="BF85">
        <v>0</v>
      </c>
      <c r="BG85" s="891"/>
      <c r="BK85" s="1139">
        <f t="shared" si="15"/>
        <v>4.4502617801047098E-2</v>
      </c>
      <c r="BL85" s="1139">
        <f t="shared" si="16"/>
        <v>0</v>
      </c>
    </row>
    <row r="86" spans="1:64" ht="12.75" x14ac:dyDescent="0.2">
      <c r="A86" s="912" t="s">
        <v>96</v>
      </c>
      <c r="B86" s="913">
        <v>2007</v>
      </c>
      <c r="C86" s="890">
        <v>343</v>
      </c>
      <c r="D86" s="890">
        <v>0</v>
      </c>
      <c r="E86" s="891">
        <v>0.53697749196141475</v>
      </c>
      <c r="F86" s="891">
        <v>0</v>
      </c>
      <c r="G86" s="891">
        <f t="shared" si="27"/>
        <v>184.18327974276525</v>
      </c>
      <c r="H86" s="891">
        <f t="shared" si="27"/>
        <v>0</v>
      </c>
      <c r="K86" s="891">
        <v>9.9706744868035199E-2</v>
      </c>
      <c r="L86" s="891">
        <v>0</v>
      </c>
      <c r="M86" s="891">
        <v>2.63929618768328E-2</v>
      </c>
      <c r="N86" s="891">
        <v>0</v>
      </c>
      <c r="O86" s="891">
        <v>0.19941348973607001</v>
      </c>
      <c r="P86" s="891">
        <v>0</v>
      </c>
      <c r="Q86" s="891">
        <v>0.58064516129032295</v>
      </c>
      <c r="R86" s="891">
        <v>0</v>
      </c>
      <c r="S86" s="891">
        <v>3.81231671554252E-2</v>
      </c>
      <c r="T86" s="891">
        <v>0</v>
      </c>
      <c r="U86" s="891">
        <v>0</v>
      </c>
      <c r="V86" s="891">
        <v>0</v>
      </c>
      <c r="X86" s="891">
        <f t="shared" si="28"/>
        <v>34.199413489736074</v>
      </c>
      <c r="Y86" s="891">
        <f t="shared" si="28"/>
        <v>0</v>
      </c>
      <c r="Z86" s="891">
        <f t="shared" si="29"/>
        <v>9.0527859237536497</v>
      </c>
      <c r="AA86" s="891">
        <f t="shared" si="29"/>
        <v>0</v>
      </c>
      <c r="AB86" s="891">
        <f t="shared" si="30"/>
        <v>68.39882697947202</v>
      </c>
      <c r="AC86" s="891">
        <f t="shared" si="30"/>
        <v>0</v>
      </c>
      <c r="AD86" s="891">
        <f t="shared" si="31"/>
        <v>199.16129032258078</v>
      </c>
      <c r="AE86" s="891">
        <f t="shared" si="31"/>
        <v>0</v>
      </c>
      <c r="AF86" s="891">
        <f t="shared" si="32"/>
        <v>13.076246334310843</v>
      </c>
      <c r="AG86" s="891">
        <f t="shared" si="32"/>
        <v>0</v>
      </c>
      <c r="AH86" s="891">
        <f t="shared" si="33"/>
        <v>0</v>
      </c>
      <c r="AI86" s="891">
        <f t="shared" si="33"/>
        <v>0</v>
      </c>
      <c r="AL86" s="891">
        <v>0.133333333333333</v>
      </c>
      <c r="AM86" s="891">
        <v>0</v>
      </c>
      <c r="AO86">
        <f t="shared" si="34"/>
        <v>45.733333333333221</v>
      </c>
      <c r="AP86">
        <f t="shared" si="34"/>
        <v>0</v>
      </c>
      <c r="AS86" s="892">
        <v>0.183673469387755</v>
      </c>
      <c r="AT86" s="892">
        <v>0</v>
      </c>
      <c r="AU86" s="892">
        <f t="shared" si="35"/>
        <v>8.3673469387754995E-2</v>
      </c>
      <c r="AV86" s="907">
        <f t="shared" si="35"/>
        <v>-0.1</v>
      </c>
      <c r="AX86">
        <f t="shared" si="36"/>
        <v>28.699999999999964</v>
      </c>
      <c r="AY86">
        <f t="shared" si="36"/>
        <v>0</v>
      </c>
      <c r="BA86" s="891">
        <v>9.6463022508038593E-3</v>
      </c>
      <c r="BC86">
        <f>BA86*C86</f>
        <v>3.3086816720257239</v>
      </c>
      <c r="BF86">
        <v>0</v>
      </c>
      <c r="BG86" s="891"/>
      <c r="BK86" s="1139">
        <f t="shared" ref="BK86:BK88" si="38">AS86</f>
        <v>0.183673469387755</v>
      </c>
      <c r="BL86" s="1139">
        <f t="shared" ref="BL86:BL88" si="39">AT86</f>
        <v>0</v>
      </c>
    </row>
    <row r="87" spans="1:64" s="915" customFormat="1" ht="12.75" x14ac:dyDescent="0.2">
      <c r="A87" s="888"/>
      <c r="B87" s="889"/>
      <c r="C87" s="890"/>
      <c r="D87" s="891"/>
      <c r="E87" s="891"/>
      <c r="F87" s="891"/>
      <c r="G87" s="891"/>
      <c r="H87" s="891"/>
      <c r="I87"/>
      <c r="J87"/>
      <c r="K87" s="891"/>
      <c r="L87" s="891"/>
      <c r="M87" s="891"/>
      <c r="N87" s="891"/>
      <c r="O87" s="891"/>
      <c r="P87" s="891"/>
      <c r="Q87" s="891"/>
      <c r="R87" s="891"/>
      <c r="S87" s="891"/>
      <c r="T87" s="891"/>
      <c r="U87" s="891"/>
      <c r="V87"/>
      <c r="W87"/>
      <c r="X87" s="891"/>
      <c r="Y87" s="891"/>
      <c r="Z87" s="891"/>
      <c r="AA87" s="891"/>
      <c r="AB87" s="891"/>
      <c r="AC87" s="891"/>
      <c r="AD87" s="891"/>
      <c r="AE87" s="891"/>
      <c r="AF87" s="891"/>
      <c r="AG87" s="891"/>
      <c r="AH87" s="891"/>
      <c r="AI87" s="891"/>
      <c r="AJ87"/>
      <c r="AK87"/>
      <c r="AL87" s="891"/>
      <c r="AM87" s="891"/>
      <c r="AN87"/>
      <c r="AO87"/>
      <c r="AP87"/>
      <c r="AQ87"/>
      <c r="AR87"/>
      <c r="AS87" s="892"/>
      <c r="AT87" s="892"/>
      <c r="AU87"/>
      <c r="AV87"/>
      <c r="AW87"/>
      <c r="AX87"/>
      <c r="AY87"/>
      <c r="AZ87"/>
      <c r="BA87"/>
      <c r="BB87"/>
      <c r="BC87"/>
      <c r="BD87"/>
      <c r="BE87"/>
      <c r="BF87"/>
      <c r="BG87"/>
      <c r="BK87" s="1139"/>
      <c r="BL87" s="1139"/>
    </row>
    <row r="88" spans="1:64" ht="12.75" x14ac:dyDescent="0.2">
      <c r="A88" s="914" t="s">
        <v>955</v>
      </c>
      <c r="B88" s="914"/>
      <c r="C88" s="915">
        <f t="shared" ref="C88:AU88" si="40">SUM(C3:C87)</f>
        <v>22181.291666666664</v>
      </c>
      <c r="D88" s="915">
        <f t="shared" si="40"/>
        <v>13068</v>
      </c>
      <c r="E88" s="915">
        <f t="shared" si="40"/>
        <v>21.921912320288932</v>
      </c>
      <c r="F88" s="915">
        <f t="shared" si="40"/>
        <v>4.9025494843776727</v>
      </c>
      <c r="G88" s="915">
        <f t="shared" si="40"/>
        <v>6772.8012198270962</v>
      </c>
      <c r="H88" s="915">
        <f t="shared" si="40"/>
        <v>4397.827823737327</v>
      </c>
      <c r="I88" s="915">
        <f t="shared" si="40"/>
        <v>0</v>
      </c>
      <c r="J88" s="915">
        <f t="shared" si="40"/>
        <v>0</v>
      </c>
      <c r="K88" s="915">
        <f t="shared" si="40"/>
        <v>7.3168283170737833</v>
      </c>
      <c r="L88" s="915">
        <f t="shared" si="40"/>
        <v>1.2029272824371406</v>
      </c>
      <c r="M88" s="915">
        <f t="shared" si="40"/>
        <v>6.4587584845969088</v>
      </c>
      <c r="N88" s="915">
        <f t="shared" si="40"/>
        <v>1.1459975254683981</v>
      </c>
      <c r="O88" s="915">
        <f t="shared" si="40"/>
        <v>15.952234754167666</v>
      </c>
      <c r="P88" s="915">
        <f t="shared" si="40"/>
        <v>2.6018203487019367</v>
      </c>
      <c r="Q88" s="915">
        <f t="shared" si="40"/>
        <v>11.795737095434564</v>
      </c>
      <c r="R88" s="915">
        <f t="shared" si="40"/>
        <v>2.0810328011301231</v>
      </c>
      <c r="S88" s="915">
        <f t="shared" si="40"/>
        <v>4.2327074085741661</v>
      </c>
      <c r="T88" s="915">
        <f t="shared" si="40"/>
        <v>0.79188677671025121</v>
      </c>
      <c r="U88" s="915">
        <f t="shared" si="40"/>
        <v>0</v>
      </c>
      <c r="V88" s="915">
        <f t="shared" si="40"/>
        <v>0</v>
      </c>
      <c r="W88" s="915">
        <f t="shared" si="40"/>
        <v>0</v>
      </c>
      <c r="X88" s="915">
        <f t="shared" si="40"/>
        <v>2081.1324003121681</v>
      </c>
      <c r="Y88" s="915">
        <f t="shared" si="40"/>
        <v>1216.5351395629941</v>
      </c>
      <c r="Z88" s="915">
        <f t="shared" si="40"/>
        <v>1883.4040374474325</v>
      </c>
      <c r="AA88" s="915">
        <f t="shared" si="40"/>
        <v>1088.7139979979768</v>
      </c>
      <c r="AB88" s="915">
        <f t="shared" si="40"/>
        <v>4846.755860635235</v>
      </c>
      <c r="AC88" s="915">
        <f t="shared" si="40"/>
        <v>2388.8165280709491</v>
      </c>
      <c r="AD88" s="915">
        <f t="shared" si="40"/>
        <v>3731.9049479385317</v>
      </c>
      <c r="AE88" s="915">
        <f t="shared" si="40"/>
        <v>1801.3531810764905</v>
      </c>
      <c r="AF88" s="915">
        <f t="shared" si="40"/>
        <v>1234.2938630100907</v>
      </c>
      <c r="AG88" s="915">
        <f t="shared" si="40"/>
        <v>626.28317166709712</v>
      </c>
      <c r="AH88" s="915">
        <f t="shared" si="40"/>
        <v>0</v>
      </c>
      <c r="AI88" s="915">
        <f t="shared" si="40"/>
        <v>0</v>
      </c>
      <c r="AJ88" s="915">
        <f t="shared" si="40"/>
        <v>0</v>
      </c>
      <c r="AK88" s="915">
        <f t="shared" si="40"/>
        <v>0</v>
      </c>
      <c r="AL88" s="915">
        <f t="shared" si="40"/>
        <v>12.814541174655282</v>
      </c>
      <c r="AM88" s="915">
        <f t="shared" si="40"/>
        <v>0.60635460797456453</v>
      </c>
      <c r="AN88" s="915">
        <f t="shared" si="40"/>
        <v>0</v>
      </c>
      <c r="AO88" s="915">
        <f t="shared" si="40"/>
        <v>3471.1300450086628</v>
      </c>
      <c r="AP88" s="915">
        <f t="shared" si="40"/>
        <v>493.41675684597487</v>
      </c>
      <c r="AQ88" s="915">
        <f t="shared" si="40"/>
        <v>0</v>
      </c>
      <c r="AR88" s="915">
        <f t="shared" si="40"/>
        <v>0</v>
      </c>
      <c r="AS88" s="916">
        <f t="shared" si="40"/>
        <v>7.9672011863813461</v>
      </c>
      <c r="AT88" s="916">
        <f t="shared" si="40"/>
        <v>1.2713094469661761</v>
      </c>
      <c r="AU88" s="915">
        <f t="shared" si="40"/>
        <v>-0.43279881361865558</v>
      </c>
      <c r="AV88" s="915"/>
      <c r="AW88" s="915">
        <f t="shared" ref="AW88:BG88" si="41">SUM(AW3:AW87)</f>
        <v>0</v>
      </c>
      <c r="AX88" s="915">
        <f t="shared" si="41"/>
        <v>933.41097013407671</v>
      </c>
      <c r="AY88" s="915">
        <f t="shared" si="41"/>
        <v>320.29938650306758</v>
      </c>
      <c r="AZ88" s="915">
        <f t="shared" si="41"/>
        <v>0</v>
      </c>
      <c r="BA88" s="915">
        <f t="shared" si="41"/>
        <v>0.26776677514065172</v>
      </c>
      <c r="BB88" s="915">
        <f t="shared" si="41"/>
        <v>0</v>
      </c>
      <c r="BC88" s="915">
        <f t="shared" si="41"/>
        <v>133.72202748580565</v>
      </c>
      <c r="BD88" s="915">
        <f t="shared" si="41"/>
        <v>0</v>
      </c>
      <c r="BE88" s="915">
        <f t="shared" si="41"/>
        <v>0</v>
      </c>
      <c r="BF88" s="915">
        <f t="shared" si="41"/>
        <v>3.8044804834575499</v>
      </c>
      <c r="BG88" s="915">
        <f t="shared" si="41"/>
        <v>3444.998089352614</v>
      </c>
      <c r="BK88" s="1140">
        <f t="shared" si="38"/>
        <v>7.9672011863813461</v>
      </c>
      <c r="BL88" s="1140">
        <f t="shared" si="39"/>
        <v>1.2713094469661761</v>
      </c>
    </row>
    <row r="89" spans="1:64" ht="12.75" x14ac:dyDescent="0.2">
      <c r="C89" s="890">
        <v>0</v>
      </c>
      <c r="D89" s="891">
        <v>0</v>
      </c>
    </row>
    <row r="90" spans="1:64" s="920" customFormat="1" ht="12.75" x14ac:dyDescent="0.2">
      <c r="A90" s="888"/>
      <c r="B90" s="889"/>
      <c r="C90" s="917"/>
      <c r="D90" s="891"/>
      <c r="E90" s="891"/>
      <c r="F90" s="891"/>
      <c r="G90" s="891"/>
      <c r="H90" s="891"/>
      <c r="I90"/>
      <c r="J90"/>
      <c r="K90" s="891"/>
      <c r="L90" s="891"/>
      <c r="M90" s="891"/>
      <c r="N90" s="891"/>
      <c r="O90" s="891"/>
      <c r="P90" s="891"/>
      <c r="Q90" s="891"/>
      <c r="R90" s="891"/>
      <c r="S90" s="891"/>
      <c r="T90" s="891"/>
      <c r="U90" s="891"/>
      <c r="V90"/>
      <c r="W90"/>
      <c r="X90" s="891"/>
      <c r="Y90" s="891"/>
      <c r="Z90" s="891"/>
      <c r="AA90" s="891"/>
      <c r="AB90" s="891"/>
      <c r="AC90" s="891"/>
      <c r="AD90" s="891"/>
      <c r="AE90" s="891"/>
      <c r="AF90" s="891"/>
      <c r="AG90" s="891"/>
      <c r="AH90" s="891"/>
      <c r="AI90" s="891"/>
      <c r="AJ90"/>
      <c r="AK90"/>
      <c r="AL90" s="891"/>
      <c r="AM90" s="891"/>
      <c r="AN90"/>
      <c r="AO90"/>
      <c r="AP90"/>
      <c r="AQ90"/>
      <c r="AR90"/>
      <c r="AS90" s="892"/>
      <c r="AT90" s="892"/>
      <c r="AU90"/>
      <c r="AV90"/>
      <c r="AW90"/>
      <c r="AX90"/>
      <c r="AY90"/>
      <c r="AZ90"/>
      <c r="BA90"/>
      <c r="BB90"/>
      <c r="BC90"/>
      <c r="BD90"/>
      <c r="BE90"/>
      <c r="BF90"/>
      <c r="BG90"/>
      <c r="BK90" s="1075"/>
      <c r="BL90" s="1075"/>
    </row>
    <row r="91" spans="1:64" s="920" customFormat="1" ht="15" x14ac:dyDescent="0.25">
      <c r="A91" s="918" t="s">
        <v>440</v>
      </c>
      <c r="B91" s="918">
        <v>4000</v>
      </c>
      <c r="C91" s="890">
        <v>213.75</v>
      </c>
      <c r="D91" s="890">
        <v>0</v>
      </c>
      <c r="E91" s="891">
        <v>0.30625000000000002</v>
      </c>
      <c r="F91" s="891">
        <v>0</v>
      </c>
      <c r="G91" s="919">
        <f>E91*C91</f>
        <v>65.4609375</v>
      </c>
      <c r="H91" s="919">
        <f>F91*D91</f>
        <v>0</v>
      </c>
      <c r="K91" s="891">
        <v>0.11734693877551</v>
      </c>
      <c r="L91" s="891">
        <v>0</v>
      </c>
      <c r="M91" s="891">
        <v>5.6122448979591802E-2</v>
      </c>
      <c r="N91" s="891">
        <v>0</v>
      </c>
      <c r="O91" s="891">
        <v>0.31632653061224503</v>
      </c>
      <c r="P91" s="891">
        <v>0</v>
      </c>
      <c r="Q91" s="891">
        <v>0.33163265306122403</v>
      </c>
      <c r="R91" s="891">
        <v>0</v>
      </c>
      <c r="S91" s="891">
        <v>3.5714285714285698E-2</v>
      </c>
      <c r="T91" s="891">
        <v>0</v>
      </c>
      <c r="U91" s="891">
        <v>0</v>
      </c>
      <c r="V91" s="891">
        <v>0</v>
      </c>
      <c r="X91" s="919">
        <f>K91*C91</f>
        <v>25.082908163265262</v>
      </c>
      <c r="Y91" s="919">
        <f>L91*D91</f>
        <v>0</v>
      </c>
      <c r="Z91" s="919">
        <f>M91*C91</f>
        <v>11.996173469387747</v>
      </c>
      <c r="AA91" s="919">
        <f>N91*D91</f>
        <v>0</v>
      </c>
      <c r="AB91" s="919">
        <f>O91*C91</f>
        <v>67.614795918367378</v>
      </c>
      <c r="AC91" s="919">
        <f>P91*D91</f>
        <v>0</v>
      </c>
      <c r="AD91" s="919">
        <f>Q91*C91</f>
        <v>70.886479591836633</v>
      </c>
      <c r="AE91" s="919">
        <f>R91*D91</f>
        <v>0</v>
      </c>
      <c r="AF91" s="919">
        <f>S91*C91</f>
        <v>7.6339285714285676</v>
      </c>
      <c r="AG91" s="919">
        <f>T91*D91</f>
        <v>0</v>
      </c>
      <c r="AH91" s="919">
        <f>U91*C91</f>
        <v>0</v>
      </c>
      <c r="AI91" s="919">
        <f>V91*D91</f>
        <v>0</v>
      </c>
      <c r="AL91" s="891">
        <v>0.67857142857142905</v>
      </c>
      <c r="AM91" s="891">
        <v>0</v>
      </c>
      <c r="AO91" s="22">
        <f>AL91*C91</f>
        <v>145.04464285714295</v>
      </c>
      <c r="AP91" s="22">
        <f>AM91*D91</f>
        <v>0</v>
      </c>
      <c r="AS91" s="892">
        <v>0.20707070707070699</v>
      </c>
      <c r="AT91" s="892">
        <v>0</v>
      </c>
      <c r="AU91" s="892">
        <f t="shared" ref="AU91:AV93" si="42">AS91-10%</f>
        <v>0.10707070707070698</v>
      </c>
      <c r="AV91" s="907">
        <f t="shared" si="42"/>
        <v>-0.1</v>
      </c>
      <c r="AX91">
        <f t="shared" ref="AX91:AY93" si="43">IF(AU91&gt;0,AU91*C91,0)</f>
        <v>22.886363636363619</v>
      </c>
      <c r="AY91">
        <f t="shared" si="43"/>
        <v>0</v>
      </c>
      <c r="BA91" s="891">
        <v>0</v>
      </c>
      <c r="BC91" s="22">
        <f>BA91*C91</f>
        <v>0</v>
      </c>
      <c r="BF91">
        <v>0</v>
      </c>
      <c r="BG91" s="919">
        <f>BF91*D91</f>
        <v>0</v>
      </c>
      <c r="BK91" s="1139">
        <f t="shared" ref="BK91:BK93" si="44">AS91</f>
        <v>0.20707070707070699</v>
      </c>
      <c r="BL91" s="1139">
        <f t="shared" ref="BL91:BL93" si="45">AT91</f>
        <v>0</v>
      </c>
    </row>
    <row r="92" spans="1:64" ht="12.75" x14ac:dyDescent="0.2">
      <c r="A92" s="888" t="s">
        <v>1306</v>
      </c>
      <c r="B92" s="889">
        <v>4003</v>
      </c>
      <c r="C92" s="890">
        <v>0</v>
      </c>
      <c r="D92" s="890">
        <v>200</v>
      </c>
      <c r="E92" s="891">
        <v>0</v>
      </c>
      <c r="F92" s="891">
        <v>0</v>
      </c>
      <c r="G92" s="891">
        <f t="shared" ref="G92:H92" si="46">E92*C92</f>
        <v>0</v>
      </c>
      <c r="H92" s="891">
        <f t="shared" si="46"/>
        <v>0</v>
      </c>
      <c r="K92" s="891">
        <v>0</v>
      </c>
      <c r="L92" s="891">
        <v>0.146153846153846</v>
      </c>
      <c r="M92" s="891">
        <v>0</v>
      </c>
      <c r="N92" s="891">
        <v>0.130769230769231</v>
      </c>
      <c r="O92" s="891">
        <v>0</v>
      </c>
      <c r="P92" s="891">
        <v>0.17692307692307699</v>
      </c>
      <c r="Q92" s="891">
        <v>0</v>
      </c>
      <c r="R92" s="891">
        <v>0.115384615384615</v>
      </c>
      <c r="S92" s="891">
        <v>0</v>
      </c>
      <c r="T92" s="891">
        <v>2.3076923076923099E-2</v>
      </c>
      <c r="U92" s="891">
        <v>0</v>
      </c>
      <c r="V92" s="891">
        <v>0</v>
      </c>
      <c r="X92" s="891">
        <f t="shared" ref="X92:Y92" si="47">K92*C92</f>
        <v>0</v>
      </c>
      <c r="Y92" s="891">
        <f t="shared" si="47"/>
        <v>29.230769230769198</v>
      </c>
      <c r="Z92" s="891">
        <f t="shared" ref="Z92:AA92" si="48">M92*C92</f>
        <v>0</v>
      </c>
      <c r="AA92" s="891">
        <f t="shared" si="48"/>
        <v>26.153846153846199</v>
      </c>
      <c r="AB92" s="891">
        <f t="shared" ref="AB92:AC92" si="49">O92*C92</f>
        <v>0</v>
      </c>
      <c r="AC92" s="891">
        <f t="shared" si="49"/>
        <v>35.384615384615401</v>
      </c>
      <c r="AD92" s="891">
        <f t="shared" ref="AD92:AE92" si="50">Q92*C92</f>
        <v>0</v>
      </c>
      <c r="AE92" s="891">
        <f t="shared" si="50"/>
        <v>23.076923076923002</v>
      </c>
      <c r="AF92" s="891">
        <f t="shared" ref="AF92:AG92" si="51">S92*C92</f>
        <v>0</v>
      </c>
      <c r="AG92" s="891">
        <f t="shared" si="51"/>
        <v>4.6153846153846194</v>
      </c>
      <c r="AH92" s="891">
        <f t="shared" ref="AH92:AI92" si="52">U92*C92</f>
        <v>0</v>
      </c>
      <c r="AI92" s="891">
        <f t="shared" si="52"/>
        <v>0</v>
      </c>
      <c r="AL92" s="891">
        <v>0</v>
      </c>
      <c r="AM92" s="891">
        <v>8.5470085470085496E-3</v>
      </c>
      <c r="AO92">
        <f t="shared" ref="AO92:AP92" si="53">AL92*C92</f>
        <v>0</v>
      </c>
      <c r="AP92">
        <f t="shared" si="53"/>
        <v>1.70940170940171</v>
      </c>
      <c r="AS92" s="892">
        <v>0</v>
      </c>
      <c r="AT92" s="892">
        <v>0</v>
      </c>
      <c r="AU92" s="892">
        <f t="shared" si="42"/>
        <v>-0.1</v>
      </c>
      <c r="AV92" s="907">
        <f t="shared" si="42"/>
        <v>-0.1</v>
      </c>
      <c r="AX92">
        <f t="shared" si="43"/>
        <v>0</v>
      </c>
      <c r="AY92">
        <f t="shared" si="43"/>
        <v>0</v>
      </c>
      <c r="BA92" s="891">
        <v>0</v>
      </c>
      <c r="BC92">
        <f>BA92*D92</f>
        <v>0</v>
      </c>
      <c r="BF92">
        <v>0.276422764227642</v>
      </c>
      <c r="BG92" s="891">
        <f>BF92*D92</f>
        <v>55.284552845528403</v>
      </c>
      <c r="BK92" s="1139">
        <f t="shared" si="44"/>
        <v>0</v>
      </c>
      <c r="BL92" s="1139">
        <f t="shared" si="45"/>
        <v>0</v>
      </c>
    </row>
    <row r="93" spans="1:64" s="915" customFormat="1" ht="15" x14ac:dyDescent="0.25">
      <c r="A93" s="918" t="s">
        <v>439</v>
      </c>
      <c r="B93" s="918">
        <v>6905</v>
      </c>
      <c r="C93" s="890">
        <v>0</v>
      </c>
      <c r="D93" s="890">
        <v>830</v>
      </c>
      <c r="E93" s="891">
        <v>0</v>
      </c>
      <c r="F93" s="891">
        <v>0.30614657210401891</v>
      </c>
      <c r="G93" s="919">
        <f>E93*C93</f>
        <v>0</v>
      </c>
      <c r="H93" s="919">
        <f>F93*D93</f>
        <v>254.10165484633569</v>
      </c>
      <c r="I93" s="920"/>
      <c r="J93" s="920"/>
      <c r="K93" s="891">
        <v>0</v>
      </c>
      <c r="L93" s="891">
        <v>0.11566265060241</v>
      </c>
      <c r="M93" s="891">
        <v>0</v>
      </c>
      <c r="N93" s="891">
        <v>7.4698795180722893E-2</v>
      </c>
      <c r="O93" s="891">
        <v>0</v>
      </c>
      <c r="P93" s="891">
        <v>0.23012048192771101</v>
      </c>
      <c r="Q93" s="891">
        <v>0</v>
      </c>
      <c r="R93" s="891">
        <v>0.16867469879518099</v>
      </c>
      <c r="S93" s="891">
        <v>0</v>
      </c>
      <c r="T93" s="891">
        <v>5.54216867469879E-2</v>
      </c>
      <c r="U93" s="891">
        <v>0</v>
      </c>
      <c r="V93" s="891">
        <v>0</v>
      </c>
      <c r="W93" s="920"/>
      <c r="X93" s="919">
        <f>K93*C93</f>
        <v>0</v>
      </c>
      <c r="Y93" s="919">
        <f>L93*D93</f>
        <v>96.000000000000298</v>
      </c>
      <c r="Z93" s="919">
        <f>M93*C93</f>
        <v>0</v>
      </c>
      <c r="AA93" s="919">
        <f>N93*D93</f>
        <v>62</v>
      </c>
      <c r="AB93" s="919">
        <f>O93*C93</f>
        <v>0</v>
      </c>
      <c r="AC93" s="919">
        <f>P93*D93</f>
        <v>191.00000000000014</v>
      </c>
      <c r="AD93" s="919">
        <f>Q93*C93</f>
        <v>0</v>
      </c>
      <c r="AE93" s="919">
        <f>R93*D93</f>
        <v>140.00000000000023</v>
      </c>
      <c r="AF93" s="919">
        <f>S93*C93</f>
        <v>0</v>
      </c>
      <c r="AG93" s="919">
        <f>T93*D93</f>
        <v>45.999999999999957</v>
      </c>
      <c r="AH93" s="919">
        <f>U93*C93</f>
        <v>0</v>
      </c>
      <c r="AI93" s="919">
        <f>V93*D93</f>
        <v>0</v>
      </c>
      <c r="AJ93" s="920"/>
      <c r="AK93" s="920"/>
      <c r="AL93" s="891">
        <v>0</v>
      </c>
      <c r="AM93" s="891">
        <v>2.16867469879518E-2</v>
      </c>
      <c r="AN93" s="920"/>
      <c r="AO93" s="22">
        <f>AL93*C93</f>
        <v>0</v>
      </c>
      <c r="AP93" s="22">
        <f>AM93*D93</f>
        <v>17.999999999999993</v>
      </c>
      <c r="AQ93" s="920"/>
      <c r="AR93" s="920"/>
      <c r="AS93" s="892">
        <v>0</v>
      </c>
      <c r="AT93" s="892">
        <v>3.0120481927710802E-2</v>
      </c>
      <c r="AU93" s="892">
        <f t="shared" si="42"/>
        <v>-0.1</v>
      </c>
      <c r="AV93" s="907">
        <f t="shared" si="42"/>
        <v>-6.9879518072289204E-2</v>
      </c>
      <c r="AW93" s="920"/>
      <c r="AX93">
        <f t="shared" si="43"/>
        <v>0</v>
      </c>
      <c r="AY93">
        <f t="shared" si="43"/>
        <v>0</v>
      </c>
      <c r="AZ93" s="920"/>
      <c r="BA93" s="891">
        <v>8.2742316784869974E-3</v>
      </c>
      <c r="BB93" s="920"/>
      <c r="BC93" s="22">
        <f>BA93*D93</f>
        <v>6.8676122931442078</v>
      </c>
      <c r="BD93" s="920"/>
      <c r="BE93" s="920"/>
      <c r="BF93">
        <v>0.15980024968789</v>
      </c>
      <c r="BG93" s="919">
        <f>BF93*D93</f>
        <v>132.63420724094871</v>
      </c>
      <c r="BK93" s="1139">
        <f t="shared" si="44"/>
        <v>0</v>
      </c>
      <c r="BL93" s="1139">
        <f t="shared" si="45"/>
        <v>3.0120481927710802E-2</v>
      </c>
    </row>
    <row r="94" spans="1:64" ht="12.75" x14ac:dyDescent="0.2">
      <c r="C94" s="917"/>
      <c r="BK94" s="1139"/>
      <c r="BL94" s="1139"/>
    </row>
    <row r="95" spans="1:64" ht="12.75" x14ac:dyDescent="0.2">
      <c r="A95" s="914" t="s">
        <v>1403</v>
      </c>
      <c r="B95" s="914" t="s">
        <v>503</v>
      </c>
      <c r="C95" s="915">
        <f>C93+C91+C88+C92</f>
        <v>22395.041666666664</v>
      </c>
      <c r="D95" s="915">
        <f t="shared" ref="D95:AT95" si="54">D93+D91+D88+D92</f>
        <v>14098</v>
      </c>
      <c r="E95" s="921">
        <f t="shared" si="54"/>
        <v>22.228162320288931</v>
      </c>
      <c r="F95" s="921">
        <f t="shared" si="54"/>
        <v>5.208696056481692</v>
      </c>
      <c r="G95" s="915">
        <f t="shared" si="54"/>
        <v>6838.2621573270962</v>
      </c>
      <c r="H95" s="915">
        <f t="shared" si="54"/>
        <v>4651.9294785836628</v>
      </c>
      <c r="I95" s="915">
        <f t="shared" si="54"/>
        <v>0</v>
      </c>
      <c r="J95" s="915">
        <f t="shared" si="54"/>
        <v>0</v>
      </c>
      <c r="K95" s="921">
        <f t="shared" si="54"/>
        <v>7.4341752558492935</v>
      </c>
      <c r="L95" s="921">
        <f t="shared" si="54"/>
        <v>1.4647437791933968</v>
      </c>
      <c r="M95" s="921">
        <f t="shared" si="54"/>
        <v>6.5148809335765003</v>
      </c>
      <c r="N95" s="921">
        <f t="shared" si="54"/>
        <v>1.351465551418352</v>
      </c>
      <c r="O95" s="921">
        <f t="shared" si="54"/>
        <v>16.26856128477991</v>
      </c>
      <c r="P95" s="921">
        <f t="shared" si="54"/>
        <v>3.0088639075527248</v>
      </c>
      <c r="Q95" s="921">
        <f t="shared" si="54"/>
        <v>12.127369748495788</v>
      </c>
      <c r="R95" s="921">
        <f t="shared" si="54"/>
        <v>2.3650921153099191</v>
      </c>
      <c r="S95" s="921">
        <f t="shared" si="54"/>
        <v>4.2684216942884516</v>
      </c>
      <c r="T95" s="921">
        <f t="shared" si="54"/>
        <v>0.8703853865341622</v>
      </c>
      <c r="U95" s="921">
        <f t="shared" si="54"/>
        <v>0</v>
      </c>
      <c r="V95" s="921">
        <f t="shared" si="54"/>
        <v>0</v>
      </c>
      <c r="W95" s="915">
        <f t="shared" si="54"/>
        <v>0</v>
      </c>
      <c r="X95" s="915">
        <f t="shared" si="54"/>
        <v>2106.2153084754332</v>
      </c>
      <c r="Y95" s="915">
        <f t="shared" si="54"/>
        <v>1341.7659087937636</v>
      </c>
      <c r="Z95" s="915">
        <f t="shared" si="54"/>
        <v>1895.4002109168202</v>
      </c>
      <c r="AA95" s="915">
        <f t="shared" si="54"/>
        <v>1176.867844151823</v>
      </c>
      <c r="AB95" s="915">
        <f t="shared" si="54"/>
        <v>4914.3706565536022</v>
      </c>
      <c r="AC95" s="915">
        <f t="shared" si="54"/>
        <v>2615.2011434555643</v>
      </c>
      <c r="AD95" s="915">
        <f t="shared" si="54"/>
        <v>3802.7914275303683</v>
      </c>
      <c r="AE95" s="915">
        <f t="shared" si="54"/>
        <v>1964.4301041534138</v>
      </c>
      <c r="AF95" s="915">
        <f t="shared" si="54"/>
        <v>1241.9277915815194</v>
      </c>
      <c r="AG95" s="915">
        <f t="shared" si="54"/>
        <v>676.89855628248176</v>
      </c>
      <c r="AH95" s="915">
        <f t="shared" si="54"/>
        <v>0</v>
      </c>
      <c r="AI95" s="915">
        <f t="shared" si="54"/>
        <v>0</v>
      </c>
      <c r="AJ95" s="915">
        <f t="shared" si="54"/>
        <v>0</v>
      </c>
      <c r="AK95" s="915">
        <f t="shared" si="54"/>
        <v>0</v>
      </c>
      <c r="AL95" s="921">
        <f t="shared" si="54"/>
        <v>13.493112603226711</v>
      </c>
      <c r="AM95" s="921">
        <f t="shared" si="54"/>
        <v>0.63658836350952486</v>
      </c>
      <c r="AN95" s="915">
        <f t="shared" si="54"/>
        <v>0</v>
      </c>
      <c r="AO95" s="1138">
        <f t="shared" si="54"/>
        <v>3616.1746878658059</v>
      </c>
      <c r="AP95" s="1138">
        <f t="shared" si="54"/>
        <v>513.12615855537661</v>
      </c>
      <c r="AQ95" s="915">
        <f t="shared" si="54"/>
        <v>0</v>
      </c>
      <c r="AR95" s="915">
        <f t="shared" si="54"/>
        <v>0</v>
      </c>
      <c r="AS95" s="921">
        <f t="shared" si="54"/>
        <v>8.1742718934520529</v>
      </c>
      <c r="AT95" s="921">
        <f t="shared" si="54"/>
        <v>1.3014299288938869</v>
      </c>
      <c r="AU95" s="916"/>
      <c r="AV95" s="915"/>
      <c r="AW95" s="915">
        <f t="shared" ref="AW95:BG95" si="55">AW93+AW91+AW88+AW92</f>
        <v>0</v>
      </c>
      <c r="AX95" s="915">
        <f t="shared" si="55"/>
        <v>956.29733377044033</v>
      </c>
      <c r="AY95" s="915">
        <f t="shared" si="55"/>
        <v>320.29938650306758</v>
      </c>
      <c r="AZ95" s="915">
        <f t="shared" si="55"/>
        <v>0</v>
      </c>
      <c r="BA95" s="921">
        <f t="shared" si="55"/>
        <v>0.27604100681913873</v>
      </c>
      <c r="BB95" s="915">
        <f t="shared" si="55"/>
        <v>0</v>
      </c>
      <c r="BC95" s="1138">
        <f t="shared" si="55"/>
        <v>140.58963977894987</v>
      </c>
      <c r="BD95" s="915">
        <f t="shared" si="55"/>
        <v>0</v>
      </c>
      <c r="BE95" s="915">
        <f t="shared" si="55"/>
        <v>0</v>
      </c>
      <c r="BF95" s="921">
        <f t="shared" si="55"/>
        <v>4.2407034973730822</v>
      </c>
      <c r="BG95" s="1138">
        <f t="shared" si="55"/>
        <v>3632.916849439091</v>
      </c>
      <c r="BK95" s="1140">
        <f>SUM(BK88:BK94)</f>
        <v>8.1742718934520529</v>
      </c>
      <c r="BL95" s="1140">
        <f>SUM(BL88:BL94)</f>
        <v>1.3014299288938869</v>
      </c>
    </row>
    <row r="96" spans="1:64" ht="12.75" x14ac:dyDescent="0.2">
      <c r="C96" s="917"/>
      <c r="BC96" s="891">
        <v>6.9917355371901238</v>
      </c>
    </row>
    <row r="97" spans="1:64" ht="12.75" x14ac:dyDescent="0.2">
      <c r="A97" s="888" t="s">
        <v>956</v>
      </c>
      <c r="C97" s="890">
        <v>22491.499999999996</v>
      </c>
      <c r="D97" s="890">
        <v>14294.333333333334</v>
      </c>
      <c r="E97" s="891">
        <v>23.654778782593326</v>
      </c>
      <c r="F97" s="891">
        <v>5.4267497302091048</v>
      </c>
      <c r="G97" s="891">
        <v>7246.9772871270625</v>
      </c>
      <c r="H97" s="891">
        <v>4731.1441178179957</v>
      </c>
      <c r="I97">
        <v>0</v>
      </c>
      <c r="J97">
        <v>0</v>
      </c>
      <c r="K97" s="891">
        <v>5.0819923422608957</v>
      </c>
      <c r="L97" s="891">
        <v>1.0015952305976863</v>
      </c>
      <c r="M97" s="891">
        <v>7.925986759982016</v>
      </c>
      <c r="N97" s="891">
        <v>1.398261077308858</v>
      </c>
      <c r="O97" s="891">
        <v>13.187472518528699</v>
      </c>
      <c r="P97" s="891">
        <v>2.508611443797728</v>
      </c>
      <c r="Q97" s="891">
        <v>9.7482502844054277</v>
      </c>
      <c r="R97" s="891">
        <v>1.8166400832328051</v>
      </c>
      <c r="S97" s="891">
        <v>6.2751917453612585</v>
      </c>
      <c r="T97" s="891">
        <v>1.3691525069692774</v>
      </c>
      <c r="U97" s="891">
        <v>3.7496349515619292</v>
      </c>
      <c r="V97">
        <v>0.83832970823232988</v>
      </c>
      <c r="W97">
        <v>0</v>
      </c>
      <c r="X97" s="891">
        <v>1501.4866135079733</v>
      </c>
      <c r="Y97" s="891">
        <v>971.11727359313102</v>
      </c>
      <c r="Z97" s="891">
        <v>2250.636761862921</v>
      </c>
      <c r="AA97" s="891">
        <v>1298.5949827809422</v>
      </c>
      <c r="AB97" s="891">
        <v>4000.7180250552619</v>
      </c>
      <c r="AC97" s="891">
        <v>2229.6402762965513</v>
      </c>
      <c r="AD97" s="891">
        <v>2990.2774429404158</v>
      </c>
      <c r="AE97" s="891">
        <v>1507.9596125044454</v>
      </c>
      <c r="AF97" s="891">
        <v>1951.7167680914988</v>
      </c>
      <c r="AG97" s="891">
        <v>1084.6830448025694</v>
      </c>
      <c r="AH97" s="891">
        <v>1270.8849996893064</v>
      </c>
      <c r="AI97" s="891">
        <v>709.9108541458354</v>
      </c>
      <c r="AJ97">
        <v>0</v>
      </c>
      <c r="AK97">
        <v>0</v>
      </c>
      <c r="AL97" s="891">
        <v>12.713172452334948</v>
      </c>
      <c r="AM97" s="891">
        <v>0.67336614661254579</v>
      </c>
      <c r="AN97">
        <v>0</v>
      </c>
      <c r="AO97">
        <v>3507.9126165437033</v>
      </c>
      <c r="AP97">
        <v>543.23607905206541</v>
      </c>
      <c r="AQ97">
        <v>0</v>
      </c>
      <c r="AR97">
        <v>0</v>
      </c>
      <c r="AS97" s="892">
        <v>7.5092328613599246</v>
      </c>
      <c r="AT97" s="892">
        <v>1.5235024906130175</v>
      </c>
      <c r="AU97">
        <v>-1.1907671386400742</v>
      </c>
      <c r="AV97">
        <v>-0.25734597156398098</v>
      </c>
      <c r="AW97">
        <v>0</v>
      </c>
      <c r="AX97">
        <v>783.19193482970172</v>
      </c>
      <c r="AY97">
        <v>480.59296515195035</v>
      </c>
      <c r="AZ97">
        <v>0</v>
      </c>
      <c r="BA97">
        <v>0.28494849910379871</v>
      </c>
      <c r="BB97">
        <v>0</v>
      </c>
      <c r="BC97">
        <v>147.02860707828023</v>
      </c>
      <c r="BD97">
        <v>0</v>
      </c>
      <c r="BE97">
        <v>0</v>
      </c>
      <c r="BF97">
        <v>4.422928005408199</v>
      </c>
      <c r="BG97">
        <v>3963.4168301797476</v>
      </c>
    </row>
    <row r="98" spans="1:64" ht="12.75" x14ac:dyDescent="0.2">
      <c r="A98" s="888" t="s">
        <v>835</v>
      </c>
      <c r="E98" s="891">
        <f>E95-E97</f>
        <v>-1.4266164623043949</v>
      </c>
      <c r="F98" s="891">
        <f>F95-F97</f>
        <v>-0.2180536737274128</v>
      </c>
      <c r="K98" s="891">
        <f t="shared" ref="K98:V98" si="56">K95-K97</f>
        <v>2.3521829135883978</v>
      </c>
      <c r="L98" s="891">
        <f t="shared" si="56"/>
        <v>0.46314854859571053</v>
      </c>
      <c r="M98" s="891">
        <f t="shared" si="56"/>
        <v>-1.4111058264055156</v>
      </c>
      <c r="N98" s="891">
        <f t="shared" si="56"/>
        <v>-4.6795525890505951E-2</v>
      </c>
      <c r="O98" s="891">
        <f t="shared" si="56"/>
        <v>3.0810887662512112</v>
      </c>
      <c r="P98" s="891">
        <f t="shared" si="56"/>
        <v>0.50025246375499677</v>
      </c>
      <c r="Q98" s="891">
        <f t="shared" si="56"/>
        <v>2.3791194640903601</v>
      </c>
      <c r="R98" s="891">
        <f t="shared" si="56"/>
        <v>0.54845203207711402</v>
      </c>
      <c r="S98" s="891">
        <f t="shared" si="56"/>
        <v>-2.0067700510728068</v>
      </c>
      <c r="T98" s="891">
        <f t="shared" si="56"/>
        <v>-0.49876712043511517</v>
      </c>
      <c r="U98" s="891">
        <f t="shared" si="56"/>
        <v>-3.7496349515619292</v>
      </c>
      <c r="V98" s="891">
        <f t="shared" si="56"/>
        <v>-0.83832970823232988</v>
      </c>
      <c r="AL98" s="891">
        <f t="shared" ref="AL98:AM98" si="57">AL95-AL97</f>
        <v>0.77994015089176294</v>
      </c>
      <c r="AM98" s="891">
        <f t="shared" si="57"/>
        <v>-3.6777783103020933E-2</v>
      </c>
      <c r="AS98" s="891">
        <f t="shared" ref="AS98:AT98" si="58">AS95-AS97</f>
        <v>0.66503903209212822</v>
      </c>
      <c r="AT98" s="891">
        <f t="shared" si="58"/>
        <v>-0.22207256171913059</v>
      </c>
      <c r="BA98" s="891">
        <f>BA95-BA97</f>
        <v>-8.9074922846599791E-3</v>
      </c>
      <c r="BF98" s="891">
        <f>BF95-BF97</f>
        <v>-0.18222450803511681</v>
      </c>
      <c r="BH98" s="922"/>
      <c r="BI98" s="923"/>
      <c r="BJ98" s="922"/>
    </row>
    <row r="100" spans="1:64" ht="12.75" x14ac:dyDescent="0.2">
      <c r="B100" s="922">
        <v>1</v>
      </c>
      <c r="C100" s="923">
        <v>2</v>
      </c>
      <c r="D100" s="922">
        <v>3</v>
      </c>
      <c r="E100" s="923">
        <v>4</v>
      </c>
      <c r="F100" s="922">
        <v>5</v>
      </c>
      <c r="G100" s="923">
        <v>6</v>
      </c>
      <c r="H100" s="922">
        <v>7</v>
      </c>
      <c r="I100" s="923">
        <v>8</v>
      </c>
      <c r="J100" s="922">
        <v>9</v>
      </c>
      <c r="K100" s="923">
        <v>10</v>
      </c>
      <c r="L100" s="922">
        <v>11</v>
      </c>
      <c r="M100" s="923">
        <v>12</v>
      </c>
      <c r="N100" s="922">
        <v>13</v>
      </c>
      <c r="O100" s="923">
        <v>14</v>
      </c>
      <c r="P100" s="922">
        <v>15</v>
      </c>
      <c r="Q100" s="923">
        <v>16</v>
      </c>
      <c r="R100" s="922">
        <v>17</v>
      </c>
      <c r="S100" s="923">
        <v>18</v>
      </c>
      <c r="T100" s="922">
        <v>19</v>
      </c>
      <c r="U100" s="923">
        <v>20</v>
      </c>
      <c r="V100" s="922">
        <v>21</v>
      </c>
      <c r="W100" s="923">
        <v>22</v>
      </c>
      <c r="X100" s="922">
        <v>23</v>
      </c>
      <c r="Y100" s="923">
        <v>24</v>
      </c>
      <c r="Z100" s="922">
        <v>25</v>
      </c>
      <c r="AA100" s="923">
        <v>26</v>
      </c>
      <c r="AB100" s="922">
        <v>27</v>
      </c>
      <c r="AC100" s="923">
        <v>28</v>
      </c>
      <c r="AD100" s="922">
        <v>29</v>
      </c>
      <c r="AE100" s="923">
        <v>30</v>
      </c>
      <c r="AF100" s="922">
        <v>31</v>
      </c>
      <c r="AG100" s="923">
        <v>32</v>
      </c>
      <c r="AH100" s="922">
        <v>33</v>
      </c>
      <c r="AI100" s="923">
        <v>34</v>
      </c>
      <c r="AJ100" s="922">
        <v>35</v>
      </c>
      <c r="AK100" s="923">
        <v>36</v>
      </c>
      <c r="AL100" s="922">
        <v>37</v>
      </c>
      <c r="AM100" s="923">
        <v>38</v>
      </c>
      <c r="AN100" s="922">
        <v>39</v>
      </c>
      <c r="AO100" s="923">
        <v>40</v>
      </c>
      <c r="AP100" s="922">
        <v>41</v>
      </c>
      <c r="AQ100" s="923">
        <v>42</v>
      </c>
      <c r="AR100" s="922">
        <v>43</v>
      </c>
      <c r="AS100" s="923">
        <v>44</v>
      </c>
      <c r="AT100" s="922">
        <v>45</v>
      </c>
      <c r="AU100" s="923">
        <v>46</v>
      </c>
      <c r="AV100" s="922">
        <v>47</v>
      </c>
      <c r="AW100" s="923">
        <v>48</v>
      </c>
      <c r="AX100" s="922">
        <v>49</v>
      </c>
      <c r="AY100" s="923">
        <v>50</v>
      </c>
      <c r="AZ100" s="922">
        <v>51</v>
      </c>
      <c r="BA100" s="923">
        <v>52</v>
      </c>
      <c r="BB100" s="922">
        <v>53</v>
      </c>
      <c r="BC100" s="923">
        <v>54</v>
      </c>
      <c r="BD100" s="922">
        <v>55</v>
      </c>
      <c r="BE100" s="923">
        <v>56</v>
      </c>
      <c r="BF100" s="922">
        <v>57</v>
      </c>
      <c r="BG100" s="923">
        <v>58</v>
      </c>
      <c r="BH100" s="922">
        <v>59</v>
      </c>
      <c r="BI100" s="923">
        <v>60</v>
      </c>
      <c r="BJ100" s="922">
        <v>61</v>
      </c>
      <c r="BK100" s="923">
        <v>62</v>
      </c>
      <c r="BL100" s="922">
        <v>63</v>
      </c>
    </row>
  </sheetData>
  <sheetProtection password="EF5C" sheet="1" objects="1" scenarios="1"/>
  <pageMargins left="0.70866141732283472" right="0.70866141732283472" top="0.74803149606299213" bottom="0.74803149606299213" header="0.31496062992125984" footer="0.31496062992125984"/>
  <pageSetup paperSize="9" scale="55" orientation="landscape" r:id="rId1"/>
  <headerFooter>
    <oddHeader>&amp;L&amp;"arial,Bold"&amp;11&amp;K008040Classification: OFFICIAL</oddHeader>
    <oddFooter>&amp;Z&amp;F&amp;L&amp;"arial,Bold"&amp;11&amp;K008040Classification: OFFICIAL</oddFooter>
    <evenHeader>&amp;L&amp;"arial,Bold"&amp;11&amp;K008040Classification: OFFICIAL</evenHeader>
    <evenFooter>&amp;C&amp;Z&amp;F&amp;L&amp;"arial,Bold"&amp;11&amp;K008040Classification: OFFICIAL</evenFooter>
    <firstHeader>&amp;L&amp;"arial,Bold"&amp;11&amp;K008040Classification: OFFICIAL</firstHeader>
    <firstFooter>&amp;C&amp;Z&amp;F&amp;L&amp;"arial,Bold"&amp;11&amp;K008040Classification: OFFICIAL</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pageSetUpPr fitToPage="1"/>
  </sheetPr>
  <dimension ref="A1:AO403"/>
  <sheetViews>
    <sheetView workbookViewId="0">
      <pane xSplit="5" ySplit="2" topLeftCell="F123" activePane="bottomRight" state="frozen"/>
      <selection activeCell="C118" sqref="C118"/>
      <selection pane="topRight" activeCell="C118" sqref="C118"/>
      <selection pane="bottomLeft" activeCell="C118" sqref="C118"/>
      <selection pane="bottomRight" activeCell="H144" sqref="H144"/>
    </sheetView>
  </sheetViews>
  <sheetFormatPr defaultRowHeight="13.2" x14ac:dyDescent="0.25"/>
  <cols>
    <col min="1" max="1" width="7" style="741" hidden="1" customWidth="1"/>
    <col min="2" max="3" width="7" style="809" customWidth="1"/>
    <col min="4" max="4" width="8.33203125" style="809" bestFit="1" customWidth="1"/>
    <col min="5" max="5" width="46" style="796" customWidth="1"/>
    <col min="6" max="6" width="9.109375" style="810" customWidth="1"/>
    <col min="7" max="7" width="9.109375" style="809" customWidth="1"/>
    <col min="8" max="8" width="8.5546875" style="810" customWidth="1"/>
    <col min="9" max="9" width="10.6640625" style="810" customWidth="1"/>
    <col min="10" max="10" width="12.88671875" style="809" customWidth="1"/>
    <col min="11" max="14" width="5.5546875" style="810" customWidth="1"/>
    <col min="15" max="15" width="12.5546875" style="809" customWidth="1"/>
    <col min="16" max="18" width="5.5546875" style="809" customWidth="1"/>
    <col min="19" max="19" width="11.44140625" style="809" customWidth="1"/>
    <col min="20" max="21" width="5.5546875" style="809" customWidth="1"/>
    <col min="22" max="22" width="11" style="809" customWidth="1"/>
    <col min="23" max="25" width="5.5546875" style="809" customWidth="1"/>
    <col min="26" max="26" width="6.88671875" style="811" customWidth="1"/>
    <col min="27" max="30" width="6.88671875" style="746" customWidth="1"/>
    <col min="31" max="31" width="6.88671875" style="811" customWidth="1"/>
    <col min="32" max="32" width="6.5546875" style="745" customWidth="1"/>
    <col min="33" max="40" width="9.109375" style="809"/>
    <col min="41" max="260" width="9.109375" style="796"/>
    <col min="261" max="261" width="0" style="796" hidden="1" customWidth="1"/>
    <col min="262" max="263" width="7" style="796" customWidth="1"/>
    <col min="264" max="264" width="8.33203125" style="796" bestFit="1" customWidth="1"/>
    <col min="265" max="265" width="46" style="796" customWidth="1"/>
    <col min="266" max="280" width="5.5546875" style="796" customWidth="1"/>
    <col min="281" max="286" width="6.88671875" style="796" customWidth="1"/>
    <col min="287" max="516" width="9.109375" style="796"/>
    <col min="517" max="517" width="0" style="796" hidden="1" customWidth="1"/>
    <col min="518" max="519" width="7" style="796" customWidth="1"/>
    <col min="520" max="520" width="8.33203125" style="796" bestFit="1" customWidth="1"/>
    <col min="521" max="521" width="46" style="796" customWidth="1"/>
    <col min="522" max="536" width="5.5546875" style="796" customWidth="1"/>
    <col min="537" max="542" width="6.88671875" style="796" customWidth="1"/>
    <col min="543" max="772" width="9.109375" style="796"/>
    <col min="773" max="773" width="0" style="796" hidden="1" customWidth="1"/>
    <col min="774" max="775" width="7" style="796" customWidth="1"/>
    <col min="776" max="776" width="8.33203125" style="796" bestFit="1" customWidth="1"/>
    <col min="777" max="777" width="46" style="796" customWidth="1"/>
    <col min="778" max="792" width="5.5546875" style="796" customWidth="1"/>
    <col min="793" max="798" width="6.88671875" style="796" customWidth="1"/>
    <col min="799" max="1028" width="9.109375" style="796"/>
    <col min="1029" max="1029" width="0" style="796" hidden="1" customWidth="1"/>
    <col min="1030" max="1031" width="7" style="796" customWidth="1"/>
    <col min="1032" max="1032" width="8.33203125" style="796" bestFit="1" customWidth="1"/>
    <col min="1033" max="1033" width="46" style="796" customWidth="1"/>
    <col min="1034" max="1048" width="5.5546875" style="796" customWidth="1"/>
    <col min="1049" max="1054" width="6.88671875" style="796" customWidth="1"/>
    <col min="1055" max="1284" width="9.109375" style="796"/>
    <col min="1285" max="1285" width="0" style="796" hidden="1" customWidth="1"/>
    <col min="1286" max="1287" width="7" style="796" customWidth="1"/>
    <col min="1288" max="1288" width="8.33203125" style="796" bestFit="1" customWidth="1"/>
    <col min="1289" max="1289" width="46" style="796" customWidth="1"/>
    <col min="1290" max="1304" width="5.5546875" style="796" customWidth="1"/>
    <col min="1305" max="1310" width="6.88671875" style="796" customWidth="1"/>
    <col min="1311" max="1540" width="9.109375" style="796"/>
    <col min="1541" max="1541" width="0" style="796" hidden="1" customWidth="1"/>
    <col min="1542" max="1543" width="7" style="796" customWidth="1"/>
    <col min="1544" max="1544" width="8.33203125" style="796" bestFit="1" customWidth="1"/>
    <col min="1545" max="1545" width="46" style="796" customWidth="1"/>
    <col min="1546" max="1560" width="5.5546875" style="796" customWidth="1"/>
    <col min="1561" max="1566" width="6.88671875" style="796" customWidth="1"/>
    <col min="1567" max="1796" width="9.109375" style="796"/>
    <col min="1797" max="1797" width="0" style="796" hidden="1" customWidth="1"/>
    <col min="1798" max="1799" width="7" style="796" customWidth="1"/>
    <col min="1800" max="1800" width="8.33203125" style="796" bestFit="1" customWidth="1"/>
    <col min="1801" max="1801" width="46" style="796" customWidth="1"/>
    <col min="1802" max="1816" width="5.5546875" style="796" customWidth="1"/>
    <col min="1817" max="1822" width="6.88671875" style="796" customWidth="1"/>
    <col min="1823" max="2052" width="9.109375" style="796"/>
    <col min="2053" max="2053" width="0" style="796" hidden="1" customWidth="1"/>
    <col min="2054" max="2055" width="7" style="796" customWidth="1"/>
    <col min="2056" max="2056" width="8.33203125" style="796" bestFit="1" customWidth="1"/>
    <col min="2057" max="2057" width="46" style="796" customWidth="1"/>
    <col min="2058" max="2072" width="5.5546875" style="796" customWidth="1"/>
    <col min="2073" max="2078" width="6.88671875" style="796" customWidth="1"/>
    <col min="2079" max="2308" width="9.109375" style="796"/>
    <col min="2309" max="2309" width="0" style="796" hidden="1" customWidth="1"/>
    <col min="2310" max="2311" width="7" style="796" customWidth="1"/>
    <col min="2312" max="2312" width="8.33203125" style="796" bestFit="1" customWidth="1"/>
    <col min="2313" max="2313" width="46" style="796" customWidth="1"/>
    <col min="2314" max="2328" width="5.5546875" style="796" customWidth="1"/>
    <col min="2329" max="2334" width="6.88671875" style="796" customWidth="1"/>
    <col min="2335" max="2564" width="9.109375" style="796"/>
    <col min="2565" max="2565" width="0" style="796" hidden="1" customWidth="1"/>
    <col min="2566" max="2567" width="7" style="796" customWidth="1"/>
    <col min="2568" max="2568" width="8.33203125" style="796" bestFit="1" customWidth="1"/>
    <col min="2569" max="2569" width="46" style="796" customWidth="1"/>
    <col min="2570" max="2584" width="5.5546875" style="796" customWidth="1"/>
    <col min="2585" max="2590" width="6.88671875" style="796" customWidth="1"/>
    <col min="2591" max="2820" width="9.109375" style="796"/>
    <col min="2821" max="2821" width="0" style="796" hidden="1" customWidth="1"/>
    <col min="2822" max="2823" width="7" style="796" customWidth="1"/>
    <col min="2824" max="2824" width="8.33203125" style="796" bestFit="1" customWidth="1"/>
    <col min="2825" max="2825" width="46" style="796" customWidth="1"/>
    <col min="2826" max="2840" width="5.5546875" style="796" customWidth="1"/>
    <col min="2841" max="2846" width="6.88671875" style="796" customWidth="1"/>
    <col min="2847" max="3076" width="9.109375" style="796"/>
    <col min="3077" max="3077" width="0" style="796" hidden="1" customWidth="1"/>
    <col min="3078" max="3079" width="7" style="796" customWidth="1"/>
    <col min="3080" max="3080" width="8.33203125" style="796" bestFit="1" customWidth="1"/>
    <col min="3081" max="3081" width="46" style="796" customWidth="1"/>
    <col min="3082" max="3096" width="5.5546875" style="796" customWidth="1"/>
    <col min="3097" max="3102" width="6.88671875" style="796" customWidth="1"/>
    <col min="3103" max="3332" width="9.109375" style="796"/>
    <col min="3333" max="3333" width="0" style="796" hidden="1" customWidth="1"/>
    <col min="3334" max="3335" width="7" style="796" customWidth="1"/>
    <col min="3336" max="3336" width="8.33203125" style="796" bestFit="1" customWidth="1"/>
    <col min="3337" max="3337" width="46" style="796" customWidth="1"/>
    <col min="3338" max="3352" width="5.5546875" style="796" customWidth="1"/>
    <col min="3353" max="3358" width="6.88671875" style="796" customWidth="1"/>
    <col min="3359" max="3588" width="9.109375" style="796"/>
    <col min="3589" max="3589" width="0" style="796" hidden="1" customWidth="1"/>
    <col min="3590" max="3591" width="7" style="796" customWidth="1"/>
    <col min="3592" max="3592" width="8.33203125" style="796" bestFit="1" customWidth="1"/>
    <col min="3593" max="3593" width="46" style="796" customWidth="1"/>
    <col min="3594" max="3608" width="5.5546875" style="796" customWidth="1"/>
    <col min="3609" max="3614" width="6.88671875" style="796" customWidth="1"/>
    <col min="3615" max="3844" width="9.109375" style="796"/>
    <col min="3845" max="3845" width="0" style="796" hidden="1" customWidth="1"/>
    <col min="3846" max="3847" width="7" style="796" customWidth="1"/>
    <col min="3848" max="3848" width="8.33203125" style="796" bestFit="1" customWidth="1"/>
    <col min="3849" max="3849" width="46" style="796" customWidth="1"/>
    <col min="3850" max="3864" width="5.5546875" style="796" customWidth="1"/>
    <col min="3865" max="3870" width="6.88671875" style="796" customWidth="1"/>
    <col min="3871" max="4100" width="9.109375" style="796"/>
    <col min="4101" max="4101" width="0" style="796" hidden="1" customWidth="1"/>
    <col min="4102" max="4103" width="7" style="796" customWidth="1"/>
    <col min="4104" max="4104" width="8.33203125" style="796" bestFit="1" customWidth="1"/>
    <col min="4105" max="4105" width="46" style="796" customWidth="1"/>
    <col min="4106" max="4120" width="5.5546875" style="796" customWidth="1"/>
    <col min="4121" max="4126" width="6.88671875" style="796" customWidth="1"/>
    <col min="4127" max="4356" width="9.109375" style="796"/>
    <col min="4357" max="4357" width="0" style="796" hidden="1" customWidth="1"/>
    <col min="4358" max="4359" width="7" style="796" customWidth="1"/>
    <col min="4360" max="4360" width="8.33203125" style="796" bestFit="1" customWidth="1"/>
    <col min="4361" max="4361" width="46" style="796" customWidth="1"/>
    <col min="4362" max="4376" width="5.5546875" style="796" customWidth="1"/>
    <col min="4377" max="4382" width="6.88671875" style="796" customWidth="1"/>
    <col min="4383" max="4612" width="9.109375" style="796"/>
    <col min="4613" max="4613" width="0" style="796" hidden="1" customWidth="1"/>
    <col min="4614" max="4615" width="7" style="796" customWidth="1"/>
    <col min="4616" max="4616" width="8.33203125" style="796" bestFit="1" customWidth="1"/>
    <col min="4617" max="4617" width="46" style="796" customWidth="1"/>
    <col min="4618" max="4632" width="5.5546875" style="796" customWidth="1"/>
    <col min="4633" max="4638" width="6.88671875" style="796" customWidth="1"/>
    <col min="4639" max="4868" width="9.109375" style="796"/>
    <col min="4869" max="4869" width="0" style="796" hidden="1" customWidth="1"/>
    <col min="4870" max="4871" width="7" style="796" customWidth="1"/>
    <col min="4872" max="4872" width="8.33203125" style="796" bestFit="1" customWidth="1"/>
    <col min="4873" max="4873" width="46" style="796" customWidth="1"/>
    <col min="4874" max="4888" width="5.5546875" style="796" customWidth="1"/>
    <col min="4889" max="4894" width="6.88671875" style="796" customWidth="1"/>
    <col min="4895" max="5124" width="9.109375" style="796"/>
    <col min="5125" max="5125" width="0" style="796" hidden="1" customWidth="1"/>
    <col min="5126" max="5127" width="7" style="796" customWidth="1"/>
    <col min="5128" max="5128" width="8.33203125" style="796" bestFit="1" customWidth="1"/>
    <col min="5129" max="5129" width="46" style="796" customWidth="1"/>
    <col min="5130" max="5144" width="5.5546875" style="796" customWidth="1"/>
    <col min="5145" max="5150" width="6.88671875" style="796" customWidth="1"/>
    <col min="5151" max="5380" width="9.109375" style="796"/>
    <col min="5381" max="5381" width="0" style="796" hidden="1" customWidth="1"/>
    <col min="5382" max="5383" width="7" style="796" customWidth="1"/>
    <col min="5384" max="5384" width="8.33203125" style="796" bestFit="1" customWidth="1"/>
    <col min="5385" max="5385" width="46" style="796" customWidth="1"/>
    <col min="5386" max="5400" width="5.5546875" style="796" customWidth="1"/>
    <col min="5401" max="5406" width="6.88671875" style="796" customWidth="1"/>
    <col min="5407" max="5636" width="9.109375" style="796"/>
    <col min="5637" max="5637" width="0" style="796" hidden="1" customWidth="1"/>
    <col min="5638" max="5639" width="7" style="796" customWidth="1"/>
    <col min="5640" max="5640" width="8.33203125" style="796" bestFit="1" customWidth="1"/>
    <col min="5641" max="5641" width="46" style="796" customWidth="1"/>
    <col min="5642" max="5656" width="5.5546875" style="796" customWidth="1"/>
    <col min="5657" max="5662" width="6.88671875" style="796" customWidth="1"/>
    <col min="5663" max="5892" width="9.109375" style="796"/>
    <col min="5893" max="5893" width="0" style="796" hidden="1" customWidth="1"/>
    <col min="5894" max="5895" width="7" style="796" customWidth="1"/>
    <col min="5896" max="5896" width="8.33203125" style="796" bestFit="1" customWidth="1"/>
    <col min="5897" max="5897" width="46" style="796" customWidth="1"/>
    <col min="5898" max="5912" width="5.5546875" style="796" customWidth="1"/>
    <col min="5913" max="5918" width="6.88671875" style="796" customWidth="1"/>
    <col min="5919" max="6148" width="9.109375" style="796"/>
    <col min="6149" max="6149" width="0" style="796" hidden="1" customWidth="1"/>
    <col min="6150" max="6151" width="7" style="796" customWidth="1"/>
    <col min="6152" max="6152" width="8.33203125" style="796" bestFit="1" customWidth="1"/>
    <col min="6153" max="6153" width="46" style="796" customWidth="1"/>
    <col min="6154" max="6168" width="5.5546875" style="796" customWidth="1"/>
    <col min="6169" max="6174" width="6.88671875" style="796" customWidth="1"/>
    <col min="6175" max="6404" width="9.109375" style="796"/>
    <col min="6405" max="6405" width="0" style="796" hidden="1" customWidth="1"/>
    <col min="6406" max="6407" width="7" style="796" customWidth="1"/>
    <col min="6408" max="6408" width="8.33203125" style="796" bestFit="1" customWidth="1"/>
    <col min="6409" max="6409" width="46" style="796" customWidth="1"/>
    <col min="6410" max="6424" width="5.5546875" style="796" customWidth="1"/>
    <col min="6425" max="6430" width="6.88671875" style="796" customWidth="1"/>
    <col min="6431" max="6660" width="9.109375" style="796"/>
    <col min="6661" max="6661" width="0" style="796" hidden="1" customWidth="1"/>
    <col min="6662" max="6663" width="7" style="796" customWidth="1"/>
    <col min="6664" max="6664" width="8.33203125" style="796" bestFit="1" customWidth="1"/>
    <col min="6665" max="6665" width="46" style="796" customWidth="1"/>
    <col min="6666" max="6680" width="5.5546875" style="796" customWidth="1"/>
    <col min="6681" max="6686" width="6.88671875" style="796" customWidth="1"/>
    <col min="6687" max="6916" width="9.109375" style="796"/>
    <col min="6917" max="6917" width="0" style="796" hidden="1" customWidth="1"/>
    <col min="6918" max="6919" width="7" style="796" customWidth="1"/>
    <col min="6920" max="6920" width="8.33203125" style="796" bestFit="1" customWidth="1"/>
    <col min="6921" max="6921" width="46" style="796" customWidth="1"/>
    <col min="6922" max="6936" width="5.5546875" style="796" customWidth="1"/>
    <col min="6937" max="6942" width="6.88671875" style="796" customWidth="1"/>
    <col min="6943" max="7172" width="9.109375" style="796"/>
    <col min="7173" max="7173" width="0" style="796" hidden="1" customWidth="1"/>
    <col min="7174" max="7175" width="7" style="796" customWidth="1"/>
    <col min="7176" max="7176" width="8.33203125" style="796" bestFit="1" customWidth="1"/>
    <col min="7177" max="7177" width="46" style="796" customWidth="1"/>
    <col min="7178" max="7192" width="5.5546875" style="796" customWidth="1"/>
    <col min="7193" max="7198" width="6.88671875" style="796" customWidth="1"/>
    <col min="7199" max="7428" width="9.109375" style="796"/>
    <col min="7429" max="7429" width="0" style="796" hidden="1" customWidth="1"/>
    <col min="7430" max="7431" width="7" style="796" customWidth="1"/>
    <col min="7432" max="7432" width="8.33203125" style="796" bestFit="1" customWidth="1"/>
    <col min="7433" max="7433" width="46" style="796" customWidth="1"/>
    <col min="7434" max="7448" width="5.5546875" style="796" customWidth="1"/>
    <col min="7449" max="7454" width="6.88671875" style="796" customWidth="1"/>
    <col min="7455" max="7684" width="9.109375" style="796"/>
    <col min="7685" max="7685" width="0" style="796" hidden="1" customWidth="1"/>
    <col min="7686" max="7687" width="7" style="796" customWidth="1"/>
    <col min="7688" max="7688" width="8.33203125" style="796" bestFit="1" customWidth="1"/>
    <col min="7689" max="7689" width="46" style="796" customWidth="1"/>
    <col min="7690" max="7704" width="5.5546875" style="796" customWidth="1"/>
    <col min="7705" max="7710" width="6.88671875" style="796" customWidth="1"/>
    <col min="7711" max="7940" width="9.109375" style="796"/>
    <col min="7941" max="7941" width="0" style="796" hidden="1" customWidth="1"/>
    <col min="7942" max="7943" width="7" style="796" customWidth="1"/>
    <col min="7944" max="7944" width="8.33203125" style="796" bestFit="1" customWidth="1"/>
    <col min="7945" max="7945" width="46" style="796" customWidth="1"/>
    <col min="7946" max="7960" width="5.5546875" style="796" customWidth="1"/>
    <col min="7961" max="7966" width="6.88671875" style="796" customWidth="1"/>
    <col min="7967" max="8196" width="9.109375" style="796"/>
    <col min="8197" max="8197" width="0" style="796" hidden="1" customWidth="1"/>
    <col min="8198" max="8199" width="7" style="796" customWidth="1"/>
    <col min="8200" max="8200" width="8.33203125" style="796" bestFit="1" customWidth="1"/>
    <col min="8201" max="8201" width="46" style="796" customWidth="1"/>
    <col min="8202" max="8216" width="5.5546875" style="796" customWidth="1"/>
    <col min="8217" max="8222" width="6.88671875" style="796" customWidth="1"/>
    <col min="8223" max="8452" width="9.109375" style="796"/>
    <col min="8453" max="8453" width="0" style="796" hidden="1" customWidth="1"/>
    <col min="8454" max="8455" width="7" style="796" customWidth="1"/>
    <col min="8456" max="8456" width="8.33203125" style="796" bestFit="1" customWidth="1"/>
    <col min="8457" max="8457" width="46" style="796" customWidth="1"/>
    <col min="8458" max="8472" width="5.5546875" style="796" customWidth="1"/>
    <col min="8473" max="8478" width="6.88671875" style="796" customWidth="1"/>
    <col min="8479" max="8708" width="9.109375" style="796"/>
    <col min="8709" max="8709" width="0" style="796" hidden="1" customWidth="1"/>
    <col min="8710" max="8711" width="7" style="796" customWidth="1"/>
    <col min="8712" max="8712" width="8.33203125" style="796" bestFit="1" customWidth="1"/>
    <col min="8713" max="8713" width="46" style="796" customWidth="1"/>
    <col min="8714" max="8728" width="5.5546875" style="796" customWidth="1"/>
    <col min="8729" max="8734" width="6.88671875" style="796" customWidth="1"/>
    <col min="8735" max="8964" width="9.109375" style="796"/>
    <col min="8965" max="8965" width="0" style="796" hidden="1" customWidth="1"/>
    <col min="8966" max="8967" width="7" style="796" customWidth="1"/>
    <col min="8968" max="8968" width="8.33203125" style="796" bestFit="1" customWidth="1"/>
    <col min="8969" max="8969" width="46" style="796" customWidth="1"/>
    <col min="8970" max="8984" width="5.5546875" style="796" customWidth="1"/>
    <col min="8985" max="8990" width="6.88671875" style="796" customWidth="1"/>
    <col min="8991" max="9220" width="9.109375" style="796"/>
    <col min="9221" max="9221" width="0" style="796" hidden="1" customWidth="1"/>
    <col min="9222" max="9223" width="7" style="796" customWidth="1"/>
    <col min="9224" max="9224" width="8.33203125" style="796" bestFit="1" customWidth="1"/>
    <col min="9225" max="9225" width="46" style="796" customWidth="1"/>
    <col min="9226" max="9240" width="5.5546875" style="796" customWidth="1"/>
    <col min="9241" max="9246" width="6.88671875" style="796" customWidth="1"/>
    <col min="9247" max="9476" width="9.109375" style="796"/>
    <col min="9477" max="9477" width="0" style="796" hidden="1" customWidth="1"/>
    <col min="9478" max="9479" width="7" style="796" customWidth="1"/>
    <col min="9480" max="9480" width="8.33203125" style="796" bestFit="1" customWidth="1"/>
    <col min="9481" max="9481" width="46" style="796" customWidth="1"/>
    <col min="9482" max="9496" width="5.5546875" style="796" customWidth="1"/>
    <col min="9497" max="9502" width="6.88671875" style="796" customWidth="1"/>
    <col min="9503" max="9732" width="9.109375" style="796"/>
    <col min="9733" max="9733" width="0" style="796" hidden="1" customWidth="1"/>
    <col min="9734" max="9735" width="7" style="796" customWidth="1"/>
    <col min="9736" max="9736" width="8.33203125" style="796" bestFit="1" customWidth="1"/>
    <col min="9737" max="9737" width="46" style="796" customWidth="1"/>
    <col min="9738" max="9752" width="5.5546875" style="796" customWidth="1"/>
    <col min="9753" max="9758" width="6.88671875" style="796" customWidth="1"/>
    <col min="9759" max="9988" width="9.109375" style="796"/>
    <col min="9989" max="9989" width="0" style="796" hidden="1" customWidth="1"/>
    <col min="9990" max="9991" width="7" style="796" customWidth="1"/>
    <col min="9992" max="9992" width="8.33203125" style="796" bestFit="1" customWidth="1"/>
    <col min="9993" max="9993" width="46" style="796" customWidth="1"/>
    <col min="9994" max="10008" width="5.5546875" style="796" customWidth="1"/>
    <col min="10009" max="10014" width="6.88671875" style="796" customWidth="1"/>
    <col min="10015" max="10244" width="9.109375" style="796"/>
    <col min="10245" max="10245" width="0" style="796" hidden="1" customWidth="1"/>
    <col min="10246" max="10247" width="7" style="796" customWidth="1"/>
    <col min="10248" max="10248" width="8.33203125" style="796" bestFit="1" customWidth="1"/>
    <col min="10249" max="10249" width="46" style="796" customWidth="1"/>
    <col min="10250" max="10264" width="5.5546875" style="796" customWidth="1"/>
    <col min="10265" max="10270" width="6.88671875" style="796" customWidth="1"/>
    <col min="10271" max="10500" width="9.109375" style="796"/>
    <col min="10501" max="10501" width="0" style="796" hidden="1" customWidth="1"/>
    <col min="10502" max="10503" width="7" style="796" customWidth="1"/>
    <col min="10504" max="10504" width="8.33203125" style="796" bestFit="1" customWidth="1"/>
    <col min="10505" max="10505" width="46" style="796" customWidth="1"/>
    <col min="10506" max="10520" width="5.5546875" style="796" customWidth="1"/>
    <col min="10521" max="10526" width="6.88671875" style="796" customWidth="1"/>
    <col min="10527" max="10756" width="9.109375" style="796"/>
    <col min="10757" max="10757" width="0" style="796" hidden="1" customWidth="1"/>
    <col min="10758" max="10759" width="7" style="796" customWidth="1"/>
    <col min="10760" max="10760" width="8.33203125" style="796" bestFit="1" customWidth="1"/>
    <col min="10761" max="10761" width="46" style="796" customWidth="1"/>
    <col min="10762" max="10776" width="5.5546875" style="796" customWidth="1"/>
    <col min="10777" max="10782" width="6.88671875" style="796" customWidth="1"/>
    <col min="10783" max="11012" width="9.109375" style="796"/>
    <col min="11013" max="11013" width="0" style="796" hidden="1" customWidth="1"/>
    <col min="11014" max="11015" width="7" style="796" customWidth="1"/>
    <col min="11016" max="11016" width="8.33203125" style="796" bestFit="1" customWidth="1"/>
    <col min="11017" max="11017" width="46" style="796" customWidth="1"/>
    <col min="11018" max="11032" width="5.5546875" style="796" customWidth="1"/>
    <col min="11033" max="11038" width="6.88671875" style="796" customWidth="1"/>
    <col min="11039" max="11268" width="9.109375" style="796"/>
    <col min="11269" max="11269" width="0" style="796" hidden="1" customWidth="1"/>
    <col min="11270" max="11271" width="7" style="796" customWidth="1"/>
    <col min="11272" max="11272" width="8.33203125" style="796" bestFit="1" customWidth="1"/>
    <col min="11273" max="11273" width="46" style="796" customWidth="1"/>
    <col min="11274" max="11288" width="5.5546875" style="796" customWidth="1"/>
    <col min="11289" max="11294" width="6.88671875" style="796" customWidth="1"/>
    <col min="11295" max="11524" width="9.109375" style="796"/>
    <col min="11525" max="11525" width="0" style="796" hidden="1" customWidth="1"/>
    <col min="11526" max="11527" width="7" style="796" customWidth="1"/>
    <col min="11528" max="11528" width="8.33203125" style="796" bestFit="1" customWidth="1"/>
    <col min="11529" max="11529" width="46" style="796" customWidth="1"/>
    <col min="11530" max="11544" width="5.5546875" style="796" customWidth="1"/>
    <col min="11545" max="11550" width="6.88671875" style="796" customWidth="1"/>
    <col min="11551" max="11780" width="9.109375" style="796"/>
    <col min="11781" max="11781" width="0" style="796" hidden="1" customWidth="1"/>
    <col min="11782" max="11783" width="7" style="796" customWidth="1"/>
    <col min="11784" max="11784" width="8.33203125" style="796" bestFit="1" customWidth="1"/>
    <col min="11785" max="11785" width="46" style="796" customWidth="1"/>
    <col min="11786" max="11800" width="5.5546875" style="796" customWidth="1"/>
    <col min="11801" max="11806" width="6.88671875" style="796" customWidth="1"/>
    <col min="11807" max="12036" width="9.109375" style="796"/>
    <col min="12037" max="12037" width="0" style="796" hidden="1" customWidth="1"/>
    <col min="12038" max="12039" width="7" style="796" customWidth="1"/>
    <col min="12040" max="12040" width="8.33203125" style="796" bestFit="1" customWidth="1"/>
    <col min="12041" max="12041" width="46" style="796" customWidth="1"/>
    <col min="12042" max="12056" width="5.5546875" style="796" customWidth="1"/>
    <col min="12057" max="12062" width="6.88671875" style="796" customWidth="1"/>
    <col min="12063" max="12292" width="9.109375" style="796"/>
    <col min="12293" max="12293" width="0" style="796" hidden="1" customWidth="1"/>
    <col min="12294" max="12295" width="7" style="796" customWidth="1"/>
    <col min="12296" max="12296" width="8.33203125" style="796" bestFit="1" customWidth="1"/>
    <col min="12297" max="12297" width="46" style="796" customWidth="1"/>
    <col min="12298" max="12312" width="5.5546875" style="796" customWidth="1"/>
    <col min="12313" max="12318" width="6.88671875" style="796" customWidth="1"/>
    <col min="12319" max="12548" width="9.109375" style="796"/>
    <col min="12549" max="12549" width="0" style="796" hidden="1" customWidth="1"/>
    <col min="12550" max="12551" width="7" style="796" customWidth="1"/>
    <col min="12552" max="12552" width="8.33203125" style="796" bestFit="1" customWidth="1"/>
    <col min="12553" max="12553" width="46" style="796" customWidth="1"/>
    <col min="12554" max="12568" width="5.5546875" style="796" customWidth="1"/>
    <col min="12569" max="12574" width="6.88671875" style="796" customWidth="1"/>
    <col min="12575" max="12804" width="9.109375" style="796"/>
    <col min="12805" max="12805" width="0" style="796" hidden="1" customWidth="1"/>
    <col min="12806" max="12807" width="7" style="796" customWidth="1"/>
    <col min="12808" max="12808" width="8.33203125" style="796" bestFit="1" customWidth="1"/>
    <col min="12809" max="12809" width="46" style="796" customWidth="1"/>
    <col min="12810" max="12824" width="5.5546875" style="796" customWidth="1"/>
    <col min="12825" max="12830" width="6.88671875" style="796" customWidth="1"/>
    <col min="12831" max="13060" width="9.109375" style="796"/>
    <col min="13061" max="13061" width="0" style="796" hidden="1" customWidth="1"/>
    <col min="13062" max="13063" width="7" style="796" customWidth="1"/>
    <col min="13064" max="13064" width="8.33203125" style="796" bestFit="1" customWidth="1"/>
    <col min="13065" max="13065" width="46" style="796" customWidth="1"/>
    <col min="13066" max="13080" width="5.5546875" style="796" customWidth="1"/>
    <col min="13081" max="13086" width="6.88671875" style="796" customWidth="1"/>
    <col min="13087" max="13316" width="9.109375" style="796"/>
    <col min="13317" max="13317" width="0" style="796" hidden="1" customWidth="1"/>
    <col min="13318" max="13319" width="7" style="796" customWidth="1"/>
    <col min="13320" max="13320" width="8.33203125" style="796" bestFit="1" customWidth="1"/>
    <col min="13321" max="13321" width="46" style="796" customWidth="1"/>
    <col min="13322" max="13336" width="5.5546875" style="796" customWidth="1"/>
    <col min="13337" max="13342" width="6.88671875" style="796" customWidth="1"/>
    <col min="13343" max="13572" width="9.109375" style="796"/>
    <col min="13573" max="13573" width="0" style="796" hidden="1" customWidth="1"/>
    <col min="13574" max="13575" width="7" style="796" customWidth="1"/>
    <col min="13576" max="13576" width="8.33203125" style="796" bestFit="1" customWidth="1"/>
    <col min="13577" max="13577" width="46" style="796" customWidth="1"/>
    <col min="13578" max="13592" width="5.5546875" style="796" customWidth="1"/>
    <col min="13593" max="13598" width="6.88671875" style="796" customWidth="1"/>
    <col min="13599" max="13828" width="9.109375" style="796"/>
    <col min="13829" max="13829" width="0" style="796" hidden="1" customWidth="1"/>
    <col min="13830" max="13831" width="7" style="796" customWidth="1"/>
    <col min="13832" max="13832" width="8.33203125" style="796" bestFit="1" customWidth="1"/>
    <col min="13833" max="13833" width="46" style="796" customWidth="1"/>
    <col min="13834" max="13848" width="5.5546875" style="796" customWidth="1"/>
    <col min="13849" max="13854" width="6.88671875" style="796" customWidth="1"/>
    <col min="13855" max="14084" width="9.109375" style="796"/>
    <col min="14085" max="14085" width="0" style="796" hidden="1" customWidth="1"/>
    <col min="14086" max="14087" width="7" style="796" customWidth="1"/>
    <col min="14088" max="14088" width="8.33203125" style="796" bestFit="1" customWidth="1"/>
    <col min="14089" max="14089" width="46" style="796" customWidth="1"/>
    <col min="14090" max="14104" width="5.5546875" style="796" customWidth="1"/>
    <col min="14105" max="14110" width="6.88671875" style="796" customWidth="1"/>
    <col min="14111" max="14340" width="9.109375" style="796"/>
    <col min="14341" max="14341" width="0" style="796" hidden="1" customWidth="1"/>
    <col min="14342" max="14343" width="7" style="796" customWidth="1"/>
    <col min="14344" max="14344" width="8.33203125" style="796" bestFit="1" customWidth="1"/>
    <col min="14345" max="14345" width="46" style="796" customWidth="1"/>
    <col min="14346" max="14360" width="5.5546875" style="796" customWidth="1"/>
    <col min="14361" max="14366" width="6.88671875" style="796" customWidth="1"/>
    <col min="14367" max="14596" width="9.109375" style="796"/>
    <col min="14597" max="14597" width="0" style="796" hidden="1" customWidth="1"/>
    <col min="14598" max="14599" width="7" style="796" customWidth="1"/>
    <col min="14600" max="14600" width="8.33203125" style="796" bestFit="1" customWidth="1"/>
    <col min="14601" max="14601" width="46" style="796" customWidth="1"/>
    <col min="14602" max="14616" width="5.5546875" style="796" customWidth="1"/>
    <col min="14617" max="14622" width="6.88671875" style="796" customWidth="1"/>
    <col min="14623" max="14852" width="9.109375" style="796"/>
    <col min="14853" max="14853" width="0" style="796" hidden="1" customWidth="1"/>
    <col min="14854" max="14855" width="7" style="796" customWidth="1"/>
    <col min="14856" max="14856" width="8.33203125" style="796" bestFit="1" customWidth="1"/>
    <col min="14857" max="14857" width="46" style="796" customWidth="1"/>
    <col min="14858" max="14872" width="5.5546875" style="796" customWidth="1"/>
    <col min="14873" max="14878" width="6.88671875" style="796" customWidth="1"/>
    <col min="14879" max="15108" width="9.109375" style="796"/>
    <col min="15109" max="15109" width="0" style="796" hidden="1" customWidth="1"/>
    <col min="15110" max="15111" width="7" style="796" customWidth="1"/>
    <col min="15112" max="15112" width="8.33203125" style="796" bestFit="1" customWidth="1"/>
    <col min="15113" max="15113" width="46" style="796" customWidth="1"/>
    <col min="15114" max="15128" width="5.5546875" style="796" customWidth="1"/>
    <col min="15129" max="15134" width="6.88671875" style="796" customWidth="1"/>
    <col min="15135" max="15364" width="9.109375" style="796"/>
    <col min="15365" max="15365" width="0" style="796" hidden="1" customWidth="1"/>
    <col min="15366" max="15367" width="7" style="796" customWidth="1"/>
    <col min="15368" max="15368" width="8.33203125" style="796" bestFit="1" customWidth="1"/>
    <col min="15369" max="15369" width="46" style="796" customWidth="1"/>
    <col min="15370" max="15384" width="5.5546875" style="796" customWidth="1"/>
    <col min="15385" max="15390" width="6.88671875" style="796" customWidth="1"/>
    <col min="15391" max="15620" width="9.109375" style="796"/>
    <col min="15621" max="15621" width="0" style="796" hidden="1" customWidth="1"/>
    <col min="15622" max="15623" width="7" style="796" customWidth="1"/>
    <col min="15624" max="15624" width="8.33203125" style="796" bestFit="1" customWidth="1"/>
    <col min="15625" max="15625" width="46" style="796" customWidth="1"/>
    <col min="15626" max="15640" width="5.5546875" style="796" customWidth="1"/>
    <col min="15641" max="15646" width="6.88671875" style="796" customWidth="1"/>
    <col min="15647" max="15876" width="9.109375" style="796"/>
    <col min="15877" max="15877" width="0" style="796" hidden="1" customWidth="1"/>
    <col min="15878" max="15879" width="7" style="796" customWidth="1"/>
    <col min="15880" max="15880" width="8.33203125" style="796" bestFit="1" customWidth="1"/>
    <col min="15881" max="15881" width="46" style="796" customWidth="1"/>
    <col min="15882" max="15896" width="5.5546875" style="796" customWidth="1"/>
    <col min="15897" max="15902" width="6.88671875" style="796" customWidth="1"/>
    <col min="15903" max="16132" width="9.109375" style="796"/>
    <col min="16133" max="16133" width="0" style="796" hidden="1" customWidth="1"/>
    <col min="16134" max="16135" width="7" style="796" customWidth="1"/>
    <col min="16136" max="16136" width="8.33203125" style="796" bestFit="1" customWidth="1"/>
    <col min="16137" max="16137" width="46" style="796" customWidth="1"/>
    <col min="16138" max="16152" width="5.5546875" style="796" customWidth="1"/>
    <col min="16153" max="16158" width="6.88671875" style="796" customWidth="1"/>
    <col min="16159" max="16384" width="9.109375" style="796"/>
  </cols>
  <sheetData>
    <row r="1" spans="1:40" s="745" customFormat="1" ht="18.75" customHeight="1" thickBot="1" x14ac:dyDescent="0.3">
      <c r="A1" s="741"/>
      <c r="B1" s="742" t="s">
        <v>857</v>
      </c>
      <c r="C1" s="743"/>
      <c r="D1" s="743"/>
      <c r="E1" s="744"/>
      <c r="F1" s="1242" t="s">
        <v>858</v>
      </c>
      <c r="G1" s="1243"/>
      <c r="H1" s="1243"/>
      <c r="I1" s="1243"/>
      <c r="J1" s="1243"/>
      <c r="K1" s="1243"/>
      <c r="L1" s="1243"/>
      <c r="M1" s="1243"/>
      <c r="N1" s="1243"/>
      <c r="O1" s="1243"/>
      <c r="P1" s="1243"/>
      <c r="Q1" s="1243"/>
      <c r="R1" s="1243"/>
      <c r="S1" s="1243"/>
      <c r="T1" s="1243"/>
      <c r="U1" s="1243"/>
      <c r="V1" s="1243"/>
      <c r="W1" s="1243"/>
      <c r="X1" s="1243"/>
      <c r="Y1" s="1243"/>
      <c r="Z1" s="1244" t="s">
        <v>859</v>
      </c>
      <c r="AA1" s="1246" t="s">
        <v>860</v>
      </c>
      <c r="AB1" s="1246" t="s">
        <v>861</v>
      </c>
      <c r="AC1" s="1246" t="s">
        <v>862</v>
      </c>
      <c r="AD1" s="1248" t="s">
        <v>863</v>
      </c>
      <c r="AE1" s="1236" t="s">
        <v>864</v>
      </c>
      <c r="AG1" s="746"/>
      <c r="AH1" s="746"/>
      <c r="AI1" s="746"/>
      <c r="AJ1" s="746"/>
      <c r="AK1" s="746"/>
      <c r="AL1" s="746"/>
      <c r="AM1" s="746"/>
      <c r="AN1" s="746"/>
    </row>
    <row r="2" spans="1:40" s="745" customFormat="1" ht="44.25" customHeight="1" thickBot="1" x14ac:dyDescent="0.3">
      <c r="A2" s="747"/>
      <c r="B2" s="748" t="s">
        <v>651</v>
      </c>
      <c r="C2" s="748" t="s">
        <v>865</v>
      </c>
      <c r="D2" s="749" t="s">
        <v>866</v>
      </c>
      <c r="E2" s="750" t="s">
        <v>867</v>
      </c>
      <c r="F2" s="751" t="s">
        <v>868</v>
      </c>
      <c r="G2" s="752" t="s">
        <v>869</v>
      </c>
      <c r="H2" s="751">
        <v>1</v>
      </c>
      <c r="I2" s="751">
        <v>2</v>
      </c>
      <c r="J2" s="753" t="s">
        <v>870</v>
      </c>
      <c r="K2" s="751">
        <v>3</v>
      </c>
      <c r="L2" s="751">
        <v>4</v>
      </c>
      <c r="M2" s="751">
        <v>5</v>
      </c>
      <c r="N2" s="751">
        <v>6</v>
      </c>
      <c r="O2" s="753" t="s">
        <v>871</v>
      </c>
      <c r="P2" s="754">
        <v>7</v>
      </c>
      <c r="Q2" s="754">
        <v>8</v>
      </c>
      <c r="R2" s="754">
        <v>9</v>
      </c>
      <c r="S2" s="753" t="s">
        <v>872</v>
      </c>
      <c r="T2" s="754">
        <v>10</v>
      </c>
      <c r="U2" s="754">
        <v>11</v>
      </c>
      <c r="V2" s="753" t="s">
        <v>873</v>
      </c>
      <c r="W2" s="755">
        <v>12</v>
      </c>
      <c r="X2" s="755">
        <v>13</v>
      </c>
      <c r="Y2" s="756">
        <v>14</v>
      </c>
      <c r="Z2" s="1245"/>
      <c r="AA2" s="1247"/>
      <c r="AB2" s="1247"/>
      <c r="AC2" s="1247"/>
      <c r="AD2" s="1249"/>
      <c r="AE2" s="1237"/>
      <c r="AG2" s="746" t="s">
        <v>868</v>
      </c>
      <c r="AH2" s="746" t="s">
        <v>874</v>
      </c>
      <c r="AI2" s="746" t="s">
        <v>875</v>
      </c>
      <c r="AJ2" s="746" t="s">
        <v>836</v>
      </c>
      <c r="AK2" s="746" t="s">
        <v>837</v>
      </c>
      <c r="AL2" s="746" t="s">
        <v>876</v>
      </c>
      <c r="AM2" s="757" t="s">
        <v>877</v>
      </c>
      <c r="AN2" s="746" t="s">
        <v>503</v>
      </c>
    </row>
    <row r="3" spans="1:40" s="745" customFormat="1" ht="13.5" thickBot="1" x14ac:dyDescent="0.25">
      <c r="A3" s="758">
        <v>8312400</v>
      </c>
      <c r="B3" s="759">
        <v>2012</v>
      </c>
      <c r="C3" s="760" t="s">
        <v>255</v>
      </c>
      <c r="D3" s="761" t="s">
        <v>610</v>
      </c>
      <c r="E3" s="762" t="s">
        <v>10</v>
      </c>
      <c r="F3" s="763">
        <v>55</v>
      </c>
      <c r="G3" s="764"/>
      <c r="H3" s="765">
        <v>58</v>
      </c>
      <c r="I3" s="765">
        <v>58</v>
      </c>
      <c r="J3" s="765"/>
      <c r="K3" s="765">
        <v>52</v>
      </c>
      <c r="L3" s="765">
        <v>52</v>
      </c>
      <c r="M3" s="765">
        <v>42</v>
      </c>
      <c r="N3" s="765">
        <v>41</v>
      </c>
      <c r="O3" s="766"/>
      <c r="P3" s="765">
        <v>0</v>
      </c>
      <c r="Q3" s="765">
        <v>0</v>
      </c>
      <c r="R3" s="765">
        <v>0</v>
      </c>
      <c r="S3" s="765"/>
      <c r="T3" s="765">
        <v>0</v>
      </c>
      <c r="U3" s="765">
        <v>0</v>
      </c>
      <c r="V3" s="765"/>
      <c r="W3" s="765">
        <v>0</v>
      </c>
      <c r="X3" s="765">
        <v>0</v>
      </c>
      <c r="Y3" s="767">
        <v>0</v>
      </c>
      <c r="Z3" s="768">
        <f t="shared" ref="Z3:Z34" si="0">SUM(F3:O3)</f>
        <v>358</v>
      </c>
      <c r="AA3" s="769">
        <f>SUM(P3:S3)</f>
        <v>0</v>
      </c>
      <c r="AB3" s="769">
        <f>SUM(T3:V3)</f>
        <v>0</v>
      </c>
      <c r="AC3" s="770">
        <f t="shared" ref="AC3:AC66" si="1">SUM(F3:V3)</f>
        <v>358</v>
      </c>
      <c r="AD3" s="771">
        <f t="shared" ref="AD3:AD66" si="2">SUM(W3:Y3)</f>
        <v>0</v>
      </c>
      <c r="AE3" s="772">
        <f t="shared" ref="AE3:AE66" si="3">SUM(AC3:AD3)</f>
        <v>358</v>
      </c>
      <c r="AG3" s="773">
        <f>F3+G3</f>
        <v>55</v>
      </c>
      <c r="AH3" s="773">
        <f t="shared" ref="AH3:AH66" si="4">H3+I3+J3</f>
        <v>116</v>
      </c>
      <c r="AI3" s="773">
        <f>K3+L3+M3+N3+O3</f>
        <v>187</v>
      </c>
      <c r="AJ3" s="773">
        <f>SUM(P3:S3)</f>
        <v>0</v>
      </c>
      <c r="AK3" s="773">
        <f>SUM(T3:V3)</f>
        <v>0</v>
      </c>
      <c r="AL3" s="773">
        <f>SUM(W3:Y3)</f>
        <v>0</v>
      </c>
      <c r="AM3" s="774">
        <f>SUM(AG3:AK3)</f>
        <v>358</v>
      </c>
      <c r="AN3" s="773">
        <f>AM3+AL3</f>
        <v>358</v>
      </c>
    </row>
    <row r="4" spans="1:40" s="745" customFormat="1" ht="13.5" thickBot="1" x14ac:dyDescent="0.25">
      <c r="A4" s="758">
        <v>8315414</v>
      </c>
      <c r="B4" s="775">
        <v>5414</v>
      </c>
      <c r="C4" s="776" t="s">
        <v>192</v>
      </c>
      <c r="D4" s="777"/>
      <c r="E4" s="778" t="s">
        <v>73</v>
      </c>
      <c r="F4" s="779">
        <v>0</v>
      </c>
      <c r="G4" s="780"/>
      <c r="H4" s="781">
        <v>0</v>
      </c>
      <c r="I4" s="781">
        <v>0</v>
      </c>
      <c r="J4" s="781"/>
      <c r="K4" s="781">
        <v>0</v>
      </c>
      <c r="L4" s="781">
        <v>0</v>
      </c>
      <c r="M4" s="781">
        <v>0</v>
      </c>
      <c r="N4" s="781">
        <v>0</v>
      </c>
      <c r="O4" s="781"/>
      <c r="P4" s="781">
        <v>226</v>
      </c>
      <c r="Q4" s="781">
        <v>205</v>
      </c>
      <c r="R4" s="781">
        <v>212</v>
      </c>
      <c r="S4" s="781"/>
      <c r="T4" s="781">
        <v>211</v>
      </c>
      <c r="U4" s="781">
        <v>201</v>
      </c>
      <c r="V4" s="781"/>
      <c r="W4" s="781">
        <v>115</v>
      </c>
      <c r="X4" s="781">
        <v>104</v>
      </c>
      <c r="Y4" s="782">
        <v>0</v>
      </c>
      <c r="Z4" s="783">
        <f t="shared" si="0"/>
        <v>0</v>
      </c>
      <c r="AA4" s="769">
        <f t="shared" ref="AA4:AA67" si="5">SUM(P4:S4)</f>
        <v>643</v>
      </c>
      <c r="AB4" s="769">
        <f t="shared" ref="AB4:AB67" si="6">SUM(T4:V4)</f>
        <v>412</v>
      </c>
      <c r="AC4" s="770">
        <f t="shared" si="1"/>
        <v>1055</v>
      </c>
      <c r="AD4" s="784">
        <f t="shared" si="2"/>
        <v>219</v>
      </c>
      <c r="AE4" s="785">
        <f t="shared" si="3"/>
        <v>1274</v>
      </c>
      <c r="AG4" s="773">
        <f t="shared" ref="AG4:AG67" si="7">F4+G4</f>
        <v>0</v>
      </c>
      <c r="AH4" s="773">
        <f t="shared" si="4"/>
        <v>0</v>
      </c>
      <c r="AI4" s="773">
        <f t="shared" ref="AI4:AI67" si="8">K4+L4+M4+N4+O4</f>
        <v>0</v>
      </c>
      <c r="AJ4" s="773">
        <f t="shared" ref="AJ4:AJ67" si="9">SUM(P4:S4)</f>
        <v>643</v>
      </c>
      <c r="AK4" s="773">
        <f t="shared" ref="AK4:AK67" si="10">SUM(T4:V4)</f>
        <v>412</v>
      </c>
      <c r="AL4" s="773">
        <f t="shared" ref="AL4:AL67" si="11">SUM(W4:Y4)</f>
        <v>219</v>
      </c>
      <c r="AM4" s="774">
        <f t="shared" ref="AM4:AM67" si="12">SUM(AG4:AK4)</f>
        <v>1055</v>
      </c>
      <c r="AN4" s="773">
        <f t="shared" ref="AN4:AN67" si="13">AM4+AL4</f>
        <v>1274</v>
      </c>
    </row>
    <row r="5" spans="1:40" s="745" customFormat="1" ht="13.5" thickBot="1" x14ac:dyDescent="0.25">
      <c r="A5" s="758">
        <v>8314000</v>
      </c>
      <c r="B5" s="775">
        <v>4000</v>
      </c>
      <c r="C5" s="776" t="s">
        <v>255</v>
      </c>
      <c r="D5" s="777"/>
      <c r="E5" s="778" t="s">
        <v>878</v>
      </c>
      <c r="F5" s="779">
        <v>22</v>
      </c>
      <c r="G5" s="786"/>
      <c r="H5" s="781">
        <v>40</v>
      </c>
      <c r="I5" s="781">
        <v>43</v>
      </c>
      <c r="J5" s="787"/>
      <c r="K5" s="781">
        <v>23</v>
      </c>
      <c r="L5" s="781">
        <v>31</v>
      </c>
      <c r="M5" s="781">
        <v>0</v>
      </c>
      <c r="N5" s="781">
        <v>0</v>
      </c>
      <c r="O5" s="787"/>
      <c r="P5" s="787">
        <v>0</v>
      </c>
      <c r="Q5" s="787">
        <v>0</v>
      </c>
      <c r="R5" s="787">
        <v>0</v>
      </c>
      <c r="S5" s="787"/>
      <c r="T5" s="787">
        <v>0</v>
      </c>
      <c r="U5" s="787">
        <v>0</v>
      </c>
      <c r="V5" s="787"/>
      <c r="W5" s="787">
        <v>0</v>
      </c>
      <c r="X5" s="787">
        <v>0</v>
      </c>
      <c r="Y5" s="788">
        <v>0</v>
      </c>
      <c r="Z5" s="783">
        <f t="shared" si="0"/>
        <v>159</v>
      </c>
      <c r="AA5" s="769">
        <f t="shared" si="5"/>
        <v>0</v>
      </c>
      <c r="AB5" s="769">
        <f t="shared" si="6"/>
        <v>0</v>
      </c>
      <c r="AC5" s="770">
        <f t="shared" si="1"/>
        <v>159</v>
      </c>
      <c r="AD5" s="789">
        <f t="shared" si="2"/>
        <v>0</v>
      </c>
      <c r="AE5" s="785">
        <f t="shared" si="3"/>
        <v>159</v>
      </c>
      <c r="AG5" s="773">
        <f t="shared" si="7"/>
        <v>22</v>
      </c>
      <c r="AH5" s="773">
        <f t="shared" si="4"/>
        <v>83</v>
      </c>
      <c r="AI5" s="773">
        <f t="shared" si="8"/>
        <v>54</v>
      </c>
      <c r="AJ5" s="773">
        <f t="shared" si="9"/>
        <v>0</v>
      </c>
      <c r="AK5" s="773">
        <f t="shared" si="10"/>
        <v>0</v>
      </c>
      <c r="AL5" s="773">
        <f t="shared" si="11"/>
        <v>0</v>
      </c>
      <c r="AM5" s="774">
        <f t="shared" si="12"/>
        <v>159</v>
      </c>
      <c r="AN5" s="773">
        <f t="shared" si="13"/>
        <v>159</v>
      </c>
    </row>
    <row r="6" spans="1:40" s="745" customFormat="1" ht="13.5" thickBot="1" x14ac:dyDescent="0.25">
      <c r="A6" s="758">
        <v>8312443</v>
      </c>
      <c r="B6" s="775">
        <v>2443</v>
      </c>
      <c r="C6" s="776" t="s">
        <v>255</v>
      </c>
      <c r="D6" s="777" t="s">
        <v>191</v>
      </c>
      <c r="E6" s="778" t="s">
        <v>11</v>
      </c>
      <c r="F6" s="779">
        <v>90</v>
      </c>
      <c r="G6" s="790"/>
      <c r="H6" s="781">
        <v>81</v>
      </c>
      <c r="I6" s="781">
        <v>84</v>
      </c>
      <c r="J6" s="781"/>
      <c r="K6" s="781">
        <v>0</v>
      </c>
      <c r="L6" s="781">
        <v>0</v>
      </c>
      <c r="M6" s="781">
        <v>0</v>
      </c>
      <c r="N6" s="781">
        <v>0</v>
      </c>
      <c r="O6" s="781"/>
      <c r="P6" s="781">
        <v>0</v>
      </c>
      <c r="Q6" s="781">
        <v>0</v>
      </c>
      <c r="R6" s="781">
        <v>0</v>
      </c>
      <c r="S6" s="781"/>
      <c r="T6" s="781">
        <v>0</v>
      </c>
      <c r="U6" s="781">
        <v>0</v>
      </c>
      <c r="V6" s="781"/>
      <c r="W6" s="781">
        <v>0</v>
      </c>
      <c r="X6" s="781">
        <v>0</v>
      </c>
      <c r="Y6" s="782">
        <v>0</v>
      </c>
      <c r="Z6" s="783">
        <f t="shared" si="0"/>
        <v>255</v>
      </c>
      <c r="AA6" s="769">
        <f t="shared" si="5"/>
        <v>0</v>
      </c>
      <c r="AB6" s="769">
        <f t="shared" si="6"/>
        <v>0</v>
      </c>
      <c r="AC6" s="770">
        <f t="shared" si="1"/>
        <v>255</v>
      </c>
      <c r="AD6" s="784">
        <f t="shared" si="2"/>
        <v>0</v>
      </c>
      <c r="AE6" s="785">
        <f t="shared" si="3"/>
        <v>255</v>
      </c>
      <c r="AG6" s="773">
        <f t="shared" si="7"/>
        <v>90</v>
      </c>
      <c r="AH6" s="773">
        <f t="shared" si="4"/>
        <v>165</v>
      </c>
      <c r="AI6" s="773">
        <f t="shared" si="8"/>
        <v>0</v>
      </c>
      <c r="AJ6" s="773">
        <f t="shared" si="9"/>
        <v>0</v>
      </c>
      <c r="AK6" s="773">
        <f t="shared" si="10"/>
        <v>0</v>
      </c>
      <c r="AL6" s="773">
        <f t="shared" si="11"/>
        <v>0</v>
      </c>
      <c r="AM6" s="774">
        <f t="shared" si="12"/>
        <v>255</v>
      </c>
      <c r="AN6" s="773">
        <f t="shared" si="13"/>
        <v>255</v>
      </c>
    </row>
    <row r="7" spans="1:40" s="745" customFormat="1" ht="13.5" thickBot="1" x14ac:dyDescent="0.25">
      <c r="A7" s="758">
        <v>8312442</v>
      </c>
      <c r="B7" s="775">
        <v>2442</v>
      </c>
      <c r="C7" s="776" t="s">
        <v>255</v>
      </c>
      <c r="D7" s="777" t="s">
        <v>879</v>
      </c>
      <c r="E7" s="778" t="s">
        <v>12</v>
      </c>
      <c r="F7" s="779">
        <v>0</v>
      </c>
      <c r="G7" s="780"/>
      <c r="H7" s="781">
        <v>0</v>
      </c>
      <c r="I7" s="781">
        <v>0</v>
      </c>
      <c r="J7" s="781"/>
      <c r="K7" s="781">
        <v>81</v>
      </c>
      <c r="L7" s="781">
        <v>86</v>
      </c>
      <c r="M7" s="781">
        <v>69</v>
      </c>
      <c r="N7" s="781">
        <v>85</v>
      </c>
      <c r="O7" s="791"/>
      <c r="P7" s="781">
        <v>0</v>
      </c>
      <c r="Q7" s="781">
        <v>0</v>
      </c>
      <c r="R7" s="781">
        <v>0</v>
      </c>
      <c r="S7" s="781"/>
      <c r="T7" s="781">
        <v>0</v>
      </c>
      <c r="U7" s="781">
        <v>0</v>
      </c>
      <c r="V7" s="781"/>
      <c r="W7" s="781">
        <v>0</v>
      </c>
      <c r="X7" s="781">
        <v>0</v>
      </c>
      <c r="Y7" s="782">
        <v>0</v>
      </c>
      <c r="Z7" s="783">
        <f t="shared" si="0"/>
        <v>321</v>
      </c>
      <c r="AA7" s="769">
        <f t="shared" si="5"/>
        <v>0</v>
      </c>
      <c r="AB7" s="769">
        <f t="shared" si="6"/>
        <v>0</v>
      </c>
      <c r="AC7" s="770">
        <f t="shared" si="1"/>
        <v>321</v>
      </c>
      <c r="AD7" s="784">
        <f t="shared" si="2"/>
        <v>0</v>
      </c>
      <c r="AE7" s="785">
        <f t="shared" si="3"/>
        <v>321</v>
      </c>
      <c r="AG7" s="773">
        <f t="shared" si="7"/>
        <v>0</v>
      </c>
      <c r="AH7" s="773">
        <f t="shared" si="4"/>
        <v>0</v>
      </c>
      <c r="AI7" s="773">
        <f t="shared" si="8"/>
        <v>321</v>
      </c>
      <c r="AJ7" s="773">
        <f t="shared" si="9"/>
        <v>0</v>
      </c>
      <c r="AK7" s="773">
        <f t="shared" si="10"/>
        <v>0</v>
      </c>
      <c r="AL7" s="773">
        <f t="shared" si="11"/>
        <v>0</v>
      </c>
      <c r="AM7" s="774">
        <f t="shared" si="12"/>
        <v>321</v>
      </c>
      <c r="AN7" s="773">
        <f t="shared" si="13"/>
        <v>321</v>
      </c>
    </row>
    <row r="8" spans="1:40" s="745" customFormat="1" ht="13.5" thickBot="1" x14ac:dyDescent="0.25">
      <c r="A8" s="758">
        <v>8312629</v>
      </c>
      <c r="B8" s="775">
        <v>2629</v>
      </c>
      <c r="C8" s="776" t="s">
        <v>255</v>
      </c>
      <c r="D8" s="777" t="s">
        <v>193</v>
      </c>
      <c r="E8" s="778" t="s">
        <v>13</v>
      </c>
      <c r="F8" s="779">
        <v>74</v>
      </c>
      <c r="G8" s="780"/>
      <c r="H8" s="781">
        <v>75</v>
      </c>
      <c r="I8" s="781">
        <v>75</v>
      </c>
      <c r="J8" s="781"/>
      <c r="K8" s="781">
        <v>75</v>
      </c>
      <c r="L8" s="781">
        <v>45</v>
      </c>
      <c r="M8" s="781">
        <v>47</v>
      </c>
      <c r="N8" s="781">
        <v>45</v>
      </c>
      <c r="O8" s="781"/>
      <c r="P8" s="781">
        <v>0</v>
      </c>
      <c r="Q8" s="781">
        <v>0</v>
      </c>
      <c r="R8" s="781">
        <v>0</v>
      </c>
      <c r="S8" s="781"/>
      <c r="T8" s="781">
        <v>0</v>
      </c>
      <c r="U8" s="781">
        <v>0</v>
      </c>
      <c r="V8" s="781"/>
      <c r="W8" s="781">
        <v>0</v>
      </c>
      <c r="X8" s="781">
        <v>0</v>
      </c>
      <c r="Y8" s="782">
        <v>0</v>
      </c>
      <c r="Z8" s="783">
        <f t="shared" si="0"/>
        <v>436</v>
      </c>
      <c r="AA8" s="769">
        <f t="shared" si="5"/>
        <v>0</v>
      </c>
      <c r="AB8" s="769">
        <f t="shared" si="6"/>
        <v>0</v>
      </c>
      <c r="AC8" s="770">
        <f t="shared" si="1"/>
        <v>436</v>
      </c>
      <c r="AD8" s="784">
        <f t="shared" si="2"/>
        <v>0</v>
      </c>
      <c r="AE8" s="785">
        <f t="shared" si="3"/>
        <v>436</v>
      </c>
      <c r="AG8" s="773">
        <f t="shared" si="7"/>
        <v>74</v>
      </c>
      <c r="AH8" s="773">
        <f t="shared" si="4"/>
        <v>150</v>
      </c>
      <c r="AI8" s="773">
        <f t="shared" si="8"/>
        <v>212</v>
      </c>
      <c r="AJ8" s="773">
        <f t="shared" si="9"/>
        <v>0</v>
      </c>
      <c r="AK8" s="773">
        <f t="shared" si="10"/>
        <v>0</v>
      </c>
      <c r="AL8" s="773">
        <f t="shared" si="11"/>
        <v>0</v>
      </c>
      <c r="AM8" s="774">
        <f t="shared" si="12"/>
        <v>436</v>
      </c>
      <c r="AN8" s="773">
        <f t="shared" si="13"/>
        <v>436</v>
      </c>
    </row>
    <row r="9" spans="1:40" s="745" customFormat="1" ht="13.5" thickBot="1" x14ac:dyDescent="0.25">
      <c r="A9" s="758">
        <v>8312509</v>
      </c>
      <c r="B9" s="775">
        <v>2509</v>
      </c>
      <c r="C9" s="776" t="s">
        <v>255</v>
      </c>
      <c r="D9" s="777" t="s">
        <v>611</v>
      </c>
      <c r="E9" s="778" t="s">
        <v>14</v>
      </c>
      <c r="F9" s="779">
        <v>40</v>
      </c>
      <c r="G9" s="780"/>
      <c r="H9" s="781">
        <v>29</v>
      </c>
      <c r="I9" s="781">
        <v>31</v>
      </c>
      <c r="J9" s="781">
        <v>-1</v>
      </c>
      <c r="K9" s="781">
        <v>24</v>
      </c>
      <c r="L9" s="781">
        <v>29</v>
      </c>
      <c r="M9" s="781">
        <v>25</v>
      </c>
      <c r="N9" s="781">
        <v>18</v>
      </c>
      <c r="O9" s="781"/>
      <c r="P9" s="781">
        <v>0</v>
      </c>
      <c r="Q9" s="781">
        <v>0</v>
      </c>
      <c r="R9" s="781">
        <v>0</v>
      </c>
      <c r="S9" s="781"/>
      <c r="T9" s="781">
        <v>0</v>
      </c>
      <c r="U9" s="781">
        <v>0</v>
      </c>
      <c r="V9" s="781"/>
      <c r="W9" s="781">
        <v>0</v>
      </c>
      <c r="X9" s="781">
        <v>0</v>
      </c>
      <c r="Y9" s="782">
        <v>0</v>
      </c>
      <c r="Z9" s="792">
        <f t="shared" si="0"/>
        <v>195</v>
      </c>
      <c r="AA9" s="769">
        <f t="shared" si="5"/>
        <v>0</v>
      </c>
      <c r="AB9" s="769">
        <f t="shared" si="6"/>
        <v>0</v>
      </c>
      <c r="AC9" s="770">
        <f t="shared" si="1"/>
        <v>195</v>
      </c>
      <c r="AD9" s="793">
        <f t="shared" si="2"/>
        <v>0</v>
      </c>
      <c r="AE9" s="794">
        <f t="shared" si="3"/>
        <v>195</v>
      </c>
      <c r="AG9" s="773">
        <f t="shared" si="7"/>
        <v>40</v>
      </c>
      <c r="AH9" s="773">
        <f t="shared" si="4"/>
        <v>59</v>
      </c>
      <c r="AI9" s="773">
        <f t="shared" si="8"/>
        <v>96</v>
      </c>
      <c r="AJ9" s="773">
        <f t="shared" si="9"/>
        <v>0</v>
      </c>
      <c r="AK9" s="773">
        <f t="shared" si="10"/>
        <v>0</v>
      </c>
      <c r="AL9" s="773">
        <f t="shared" si="11"/>
        <v>0</v>
      </c>
      <c r="AM9" s="774">
        <f t="shared" si="12"/>
        <v>195</v>
      </c>
      <c r="AN9" s="773">
        <f t="shared" si="13"/>
        <v>195</v>
      </c>
    </row>
    <row r="10" spans="1:40" s="745" customFormat="1" ht="13.5" thickBot="1" x14ac:dyDescent="0.25">
      <c r="A10" s="758">
        <v>8311014</v>
      </c>
      <c r="B10" s="775">
        <v>1014</v>
      </c>
      <c r="C10" s="776" t="s">
        <v>880</v>
      </c>
      <c r="D10" s="777" t="s">
        <v>194</v>
      </c>
      <c r="E10" s="778" t="s">
        <v>2</v>
      </c>
      <c r="F10" s="779">
        <v>4</v>
      </c>
      <c r="G10" s="780"/>
      <c r="H10" s="781">
        <v>0</v>
      </c>
      <c r="I10" s="781">
        <v>0</v>
      </c>
      <c r="J10" s="781"/>
      <c r="K10" s="781">
        <v>0</v>
      </c>
      <c r="L10" s="781">
        <v>0</v>
      </c>
      <c r="M10" s="781">
        <v>0</v>
      </c>
      <c r="N10" s="781">
        <v>0</v>
      </c>
      <c r="O10" s="781"/>
      <c r="P10" s="781">
        <v>0</v>
      </c>
      <c r="Q10" s="781">
        <v>0</v>
      </c>
      <c r="R10" s="781">
        <v>0</v>
      </c>
      <c r="S10" s="781"/>
      <c r="T10" s="781">
        <v>0</v>
      </c>
      <c r="U10" s="781">
        <v>0</v>
      </c>
      <c r="V10" s="781"/>
      <c r="W10" s="781">
        <v>0</v>
      </c>
      <c r="X10" s="781">
        <v>0</v>
      </c>
      <c r="Y10" s="782">
        <v>0</v>
      </c>
      <c r="Z10" s="783">
        <f t="shared" si="0"/>
        <v>4</v>
      </c>
      <c r="AA10" s="769">
        <f t="shared" si="5"/>
        <v>0</v>
      </c>
      <c r="AB10" s="769">
        <f t="shared" si="6"/>
        <v>0</v>
      </c>
      <c r="AC10" s="770">
        <f t="shared" si="1"/>
        <v>4</v>
      </c>
      <c r="AD10" s="784">
        <f t="shared" si="2"/>
        <v>0</v>
      </c>
      <c r="AE10" s="785">
        <f t="shared" si="3"/>
        <v>4</v>
      </c>
      <c r="AG10" s="773">
        <f t="shared" si="7"/>
        <v>4</v>
      </c>
      <c r="AH10" s="773">
        <f t="shared" si="4"/>
        <v>0</v>
      </c>
      <c r="AI10" s="773">
        <f t="shared" si="8"/>
        <v>0</v>
      </c>
      <c r="AJ10" s="773">
        <f t="shared" si="9"/>
        <v>0</v>
      </c>
      <c r="AK10" s="773">
        <f t="shared" si="10"/>
        <v>0</v>
      </c>
      <c r="AL10" s="773">
        <f t="shared" si="11"/>
        <v>0</v>
      </c>
      <c r="AM10" s="774">
        <f t="shared" si="12"/>
        <v>4</v>
      </c>
      <c r="AN10" s="773">
        <f t="shared" si="13"/>
        <v>4</v>
      </c>
    </row>
    <row r="11" spans="1:40" s="745" customFormat="1" ht="13.5" thickBot="1" x14ac:dyDescent="0.25">
      <c r="A11" s="758">
        <v>8312005</v>
      </c>
      <c r="B11" s="775">
        <v>2005</v>
      </c>
      <c r="C11" s="776" t="s">
        <v>255</v>
      </c>
      <c r="D11" s="777" t="s">
        <v>881</v>
      </c>
      <c r="E11" s="778" t="s">
        <v>15</v>
      </c>
      <c r="F11" s="779">
        <v>45</v>
      </c>
      <c r="G11" s="780"/>
      <c r="H11" s="781">
        <v>52</v>
      </c>
      <c r="I11" s="781">
        <v>59</v>
      </c>
      <c r="J11" s="781"/>
      <c r="K11" s="781">
        <v>42</v>
      </c>
      <c r="L11" s="781">
        <v>44</v>
      </c>
      <c r="M11" s="781">
        <v>41</v>
      </c>
      <c r="N11" s="781">
        <v>40</v>
      </c>
      <c r="O11" s="781"/>
      <c r="P11" s="781">
        <v>0</v>
      </c>
      <c r="Q11" s="781">
        <v>0</v>
      </c>
      <c r="R11" s="781">
        <v>0</v>
      </c>
      <c r="S11" s="781"/>
      <c r="T11" s="781">
        <v>0</v>
      </c>
      <c r="U11" s="781">
        <v>0</v>
      </c>
      <c r="V11" s="781"/>
      <c r="W11" s="781">
        <v>0</v>
      </c>
      <c r="X11" s="781">
        <v>0</v>
      </c>
      <c r="Y11" s="782">
        <v>0</v>
      </c>
      <c r="Z11" s="783">
        <f t="shared" si="0"/>
        <v>323</v>
      </c>
      <c r="AA11" s="769">
        <f t="shared" si="5"/>
        <v>0</v>
      </c>
      <c r="AB11" s="769">
        <f t="shared" si="6"/>
        <v>0</v>
      </c>
      <c r="AC11" s="770">
        <f t="shared" si="1"/>
        <v>323</v>
      </c>
      <c r="AD11" s="784">
        <f t="shared" si="2"/>
        <v>0</v>
      </c>
      <c r="AE11" s="785">
        <f t="shared" si="3"/>
        <v>323</v>
      </c>
      <c r="AG11" s="773">
        <f t="shared" si="7"/>
        <v>45</v>
      </c>
      <c r="AH11" s="773">
        <f t="shared" si="4"/>
        <v>111</v>
      </c>
      <c r="AI11" s="773">
        <f t="shared" si="8"/>
        <v>167</v>
      </c>
      <c r="AJ11" s="773">
        <f t="shared" si="9"/>
        <v>0</v>
      </c>
      <c r="AK11" s="773">
        <f t="shared" si="10"/>
        <v>0</v>
      </c>
      <c r="AL11" s="773">
        <f t="shared" si="11"/>
        <v>0</v>
      </c>
      <c r="AM11" s="774">
        <f t="shared" si="12"/>
        <v>323</v>
      </c>
      <c r="AN11" s="773">
        <f t="shared" si="13"/>
        <v>323</v>
      </c>
    </row>
    <row r="12" spans="1:40" s="745" customFormat="1" ht="13.5" thickBot="1" x14ac:dyDescent="0.25">
      <c r="A12" s="758">
        <v>8312464</v>
      </c>
      <c r="B12" s="775">
        <v>2464</v>
      </c>
      <c r="C12" s="776" t="s">
        <v>255</v>
      </c>
      <c r="D12" s="777" t="s">
        <v>196</v>
      </c>
      <c r="E12" s="778" t="s">
        <v>16</v>
      </c>
      <c r="F12" s="779">
        <v>28</v>
      </c>
      <c r="G12" s="780"/>
      <c r="H12" s="781">
        <v>30</v>
      </c>
      <c r="I12" s="781">
        <v>32</v>
      </c>
      <c r="J12" s="781"/>
      <c r="K12" s="781">
        <v>31</v>
      </c>
      <c r="L12" s="781">
        <v>29</v>
      </c>
      <c r="M12" s="781">
        <v>19</v>
      </c>
      <c r="N12" s="781">
        <v>23</v>
      </c>
      <c r="O12" s="781"/>
      <c r="P12" s="781">
        <v>0</v>
      </c>
      <c r="Q12" s="781">
        <v>0</v>
      </c>
      <c r="R12" s="781">
        <v>0</v>
      </c>
      <c r="S12" s="781"/>
      <c r="T12" s="781">
        <v>0</v>
      </c>
      <c r="U12" s="781">
        <v>0</v>
      </c>
      <c r="V12" s="781"/>
      <c r="W12" s="781">
        <v>0</v>
      </c>
      <c r="X12" s="781">
        <v>0</v>
      </c>
      <c r="Y12" s="782">
        <v>0</v>
      </c>
      <c r="Z12" s="783">
        <f t="shared" si="0"/>
        <v>192</v>
      </c>
      <c r="AA12" s="769">
        <f t="shared" si="5"/>
        <v>0</v>
      </c>
      <c r="AB12" s="769">
        <f t="shared" si="6"/>
        <v>0</v>
      </c>
      <c r="AC12" s="770">
        <f t="shared" si="1"/>
        <v>192</v>
      </c>
      <c r="AD12" s="784">
        <f t="shared" si="2"/>
        <v>0</v>
      </c>
      <c r="AE12" s="785">
        <f t="shared" si="3"/>
        <v>192</v>
      </c>
      <c r="AG12" s="773">
        <f t="shared" si="7"/>
        <v>28</v>
      </c>
      <c r="AH12" s="773">
        <f t="shared" si="4"/>
        <v>62</v>
      </c>
      <c r="AI12" s="773">
        <f t="shared" si="8"/>
        <v>102</v>
      </c>
      <c r="AJ12" s="773">
        <f t="shared" si="9"/>
        <v>0</v>
      </c>
      <c r="AK12" s="773">
        <f t="shared" si="10"/>
        <v>0</v>
      </c>
      <c r="AL12" s="773">
        <f t="shared" si="11"/>
        <v>0</v>
      </c>
      <c r="AM12" s="774">
        <f t="shared" si="12"/>
        <v>192</v>
      </c>
      <c r="AN12" s="773">
        <f t="shared" si="13"/>
        <v>192</v>
      </c>
    </row>
    <row r="13" spans="1:40" s="745" customFormat="1" ht="13.5" thickBot="1" x14ac:dyDescent="0.25">
      <c r="A13" s="758">
        <v>8312004</v>
      </c>
      <c r="B13" s="775">
        <v>2004</v>
      </c>
      <c r="C13" s="776" t="s">
        <v>255</v>
      </c>
      <c r="D13" s="777" t="s">
        <v>197</v>
      </c>
      <c r="E13" s="778" t="s">
        <v>17</v>
      </c>
      <c r="F13" s="779">
        <v>34</v>
      </c>
      <c r="G13" s="780"/>
      <c r="H13" s="781">
        <v>51</v>
      </c>
      <c r="I13" s="781">
        <v>50</v>
      </c>
      <c r="J13" s="781"/>
      <c r="K13" s="781">
        <v>43</v>
      </c>
      <c r="L13" s="781">
        <v>33</v>
      </c>
      <c r="M13" s="781">
        <v>31</v>
      </c>
      <c r="N13" s="781">
        <v>30</v>
      </c>
      <c r="O13" s="781"/>
      <c r="P13" s="781">
        <v>0</v>
      </c>
      <c r="Q13" s="781">
        <v>0</v>
      </c>
      <c r="R13" s="781">
        <v>0</v>
      </c>
      <c r="S13" s="781"/>
      <c r="T13" s="781">
        <v>0</v>
      </c>
      <c r="U13" s="781">
        <v>0</v>
      </c>
      <c r="V13" s="781"/>
      <c r="W13" s="781">
        <v>0</v>
      </c>
      <c r="X13" s="781">
        <v>0</v>
      </c>
      <c r="Y13" s="782">
        <v>0</v>
      </c>
      <c r="Z13" s="783">
        <f t="shared" si="0"/>
        <v>272</v>
      </c>
      <c r="AA13" s="769">
        <f t="shared" si="5"/>
        <v>0</v>
      </c>
      <c r="AB13" s="769">
        <f t="shared" si="6"/>
        <v>0</v>
      </c>
      <c r="AC13" s="770">
        <f t="shared" si="1"/>
        <v>272</v>
      </c>
      <c r="AD13" s="784">
        <f t="shared" si="2"/>
        <v>0</v>
      </c>
      <c r="AE13" s="785">
        <f t="shared" si="3"/>
        <v>272</v>
      </c>
      <c r="AG13" s="773">
        <f t="shared" si="7"/>
        <v>34</v>
      </c>
      <c r="AH13" s="773">
        <f t="shared" si="4"/>
        <v>101</v>
      </c>
      <c r="AI13" s="773">
        <f t="shared" si="8"/>
        <v>137</v>
      </c>
      <c r="AJ13" s="773">
        <f t="shared" si="9"/>
        <v>0</v>
      </c>
      <c r="AK13" s="773">
        <f t="shared" si="10"/>
        <v>0</v>
      </c>
      <c r="AL13" s="773">
        <f t="shared" si="11"/>
        <v>0</v>
      </c>
      <c r="AM13" s="774">
        <f t="shared" si="12"/>
        <v>272</v>
      </c>
      <c r="AN13" s="773">
        <f t="shared" si="13"/>
        <v>272</v>
      </c>
    </row>
    <row r="14" spans="1:40" s="745" customFormat="1" ht="13.5" thickBot="1" x14ac:dyDescent="0.25">
      <c r="A14" s="758">
        <v>8312405</v>
      </c>
      <c r="B14" s="775">
        <v>2405</v>
      </c>
      <c r="C14" s="776" t="s">
        <v>255</v>
      </c>
      <c r="D14" s="777" t="s">
        <v>198</v>
      </c>
      <c r="E14" s="778" t="s">
        <v>18</v>
      </c>
      <c r="F14" s="779">
        <v>30</v>
      </c>
      <c r="G14" s="780"/>
      <c r="H14" s="781">
        <v>30</v>
      </c>
      <c r="I14" s="781">
        <v>30</v>
      </c>
      <c r="J14" s="781"/>
      <c r="K14" s="781">
        <v>30</v>
      </c>
      <c r="L14" s="781">
        <v>29</v>
      </c>
      <c r="M14" s="781">
        <v>29</v>
      </c>
      <c r="N14" s="781">
        <v>29</v>
      </c>
      <c r="O14" s="781"/>
      <c r="P14" s="781">
        <v>0</v>
      </c>
      <c r="Q14" s="781">
        <v>0</v>
      </c>
      <c r="R14" s="781">
        <v>0</v>
      </c>
      <c r="S14" s="781"/>
      <c r="T14" s="781">
        <v>0</v>
      </c>
      <c r="U14" s="781">
        <v>0</v>
      </c>
      <c r="V14" s="781"/>
      <c r="W14" s="781">
        <v>0</v>
      </c>
      <c r="X14" s="781">
        <v>0</v>
      </c>
      <c r="Y14" s="782">
        <v>0</v>
      </c>
      <c r="Z14" s="783">
        <f t="shared" si="0"/>
        <v>207</v>
      </c>
      <c r="AA14" s="769">
        <f t="shared" si="5"/>
        <v>0</v>
      </c>
      <c r="AB14" s="769">
        <f t="shared" si="6"/>
        <v>0</v>
      </c>
      <c r="AC14" s="770">
        <f t="shared" si="1"/>
        <v>207</v>
      </c>
      <c r="AD14" s="784">
        <f t="shared" si="2"/>
        <v>0</v>
      </c>
      <c r="AE14" s="785">
        <f t="shared" si="3"/>
        <v>207</v>
      </c>
      <c r="AG14" s="773">
        <f t="shared" si="7"/>
        <v>30</v>
      </c>
      <c r="AH14" s="773">
        <f t="shared" si="4"/>
        <v>60</v>
      </c>
      <c r="AI14" s="773">
        <f t="shared" si="8"/>
        <v>117</v>
      </c>
      <c r="AJ14" s="773">
        <f t="shared" si="9"/>
        <v>0</v>
      </c>
      <c r="AK14" s="773">
        <f t="shared" si="10"/>
        <v>0</v>
      </c>
      <c r="AL14" s="773">
        <f t="shared" si="11"/>
        <v>0</v>
      </c>
      <c r="AM14" s="774">
        <f t="shared" si="12"/>
        <v>207</v>
      </c>
      <c r="AN14" s="773">
        <f t="shared" si="13"/>
        <v>207</v>
      </c>
    </row>
    <row r="15" spans="1:40" s="745" customFormat="1" ht="13.5" thickBot="1" x14ac:dyDescent="0.25">
      <c r="A15" s="758">
        <v>8314177</v>
      </c>
      <c r="B15" s="775">
        <v>4177</v>
      </c>
      <c r="C15" s="776" t="s">
        <v>117</v>
      </c>
      <c r="D15" s="777" t="s">
        <v>636</v>
      </c>
      <c r="E15" s="778" t="s">
        <v>637</v>
      </c>
      <c r="F15" s="779">
        <v>19</v>
      </c>
      <c r="G15" s="780"/>
      <c r="H15" s="781">
        <v>0</v>
      </c>
      <c r="I15" s="781">
        <v>0</v>
      </c>
      <c r="J15" s="781"/>
      <c r="K15" s="781">
        <v>11</v>
      </c>
      <c r="L15" s="781">
        <v>0</v>
      </c>
      <c r="M15" s="781">
        <v>0</v>
      </c>
      <c r="N15" s="781">
        <v>0</v>
      </c>
      <c r="O15" s="781"/>
      <c r="P15" s="781">
        <v>131</v>
      </c>
      <c r="Q15" s="781">
        <v>136</v>
      </c>
      <c r="R15" s="781">
        <v>118</v>
      </c>
      <c r="S15" s="781"/>
      <c r="T15" s="781">
        <v>132</v>
      </c>
      <c r="U15" s="781">
        <v>145</v>
      </c>
      <c r="V15" s="781"/>
      <c r="W15" s="781">
        <v>63</v>
      </c>
      <c r="X15" s="781">
        <v>17</v>
      </c>
      <c r="Y15" s="782">
        <v>0</v>
      </c>
      <c r="Z15" s="783">
        <f t="shared" si="0"/>
        <v>30</v>
      </c>
      <c r="AA15" s="769">
        <f t="shared" si="5"/>
        <v>385</v>
      </c>
      <c r="AB15" s="769">
        <f t="shared" si="6"/>
        <v>277</v>
      </c>
      <c r="AC15" s="770">
        <f t="shared" si="1"/>
        <v>692</v>
      </c>
      <c r="AD15" s="784">
        <f t="shared" si="2"/>
        <v>80</v>
      </c>
      <c r="AE15" s="785">
        <f t="shared" si="3"/>
        <v>772</v>
      </c>
      <c r="AG15" s="773">
        <f t="shared" si="7"/>
        <v>19</v>
      </c>
      <c r="AH15" s="773">
        <f t="shared" si="4"/>
        <v>0</v>
      </c>
      <c r="AI15" s="773">
        <f t="shared" si="8"/>
        <v>11</v>
      </c>
      <c r="AJ15" s="773">
        <f t="shared" si="9"/>
        <v>385</v>
      </c>
      <c r="AK15" s="773">
        <f t="shared" si="10"/>
        <v>277</v>
      </c>
      <c r="AL15" s="773">
        <f t="shared" si="11"/>
        <v>80</v>
      </c>
      <c r="AM15" s="774">
        <f t="shared" si="12"/>
        <v>692</v>
      </c>
      <c r="AN15" s="773">
        <f t="shared" si="13"/>
        <v>772</v>
      </c>
    </row>
    <row r="16" spans="1:40" s="745" customFormat="1" ht="13.5" thickBot="1" x14ac:dyDescent="0.25">
      <c r="A16" s="758">
        <v>8313525</v>
      </c>
      <c r="B16" s="777">
        <v>2011</v>
      </c>
      <c r="C16" s="776" t="s">
        <v>255</v>
      </c>
      <c r="D16" s="775" t="s">
        <v>199</v>
      </c>
      <c r="E16" s="778" t="s">
        <v>19</v>
      </c>
      <c r="F16" s="779">
        <v>31</v>
      </c>
      <c r="G16" s="780"/>
      <c r="H16" s="781">
        <v>28</v>
      </c>
      <c r="I16" s="781">
        <v>29</v>
      </c>
      <c r="J16" s="781"/>
      <c r="K16" s="781">
        <v>30</v>
      </c>
      <c r="L16" s="781">
        <v>32</v>
      </c>
      <c r="M16" s="781">
        <v>32</v>
      </c>
      <c r="N16" s="781">
        <v>32</v>
      </c>
      <c r="O16" s="781"/>
      <c r="P16" s="781">
        <v>0</v>
      </c>
      <c r="Q16" s="781">
        <v>0</v>
      </c>
      <c r="R16" s="781">
        <v>0</v>
      </c>
      <c r="S16" s="781"/>
      <c r="T16" s="781">
        <v>0</v>
      </c>
      <c r="U16" s="781">
        <v>0</v>
      </c>
      <c r="V16" s="781"/>
      <c r="W16" s="781">
        <v>0</v>
      </c>
      <c r="X16" s="781">
        <v>0</v>
      </c>
      <c r="Y16" s="782">
        <v>0</v>
      </c>
      <c r="Z16" s="783">
        <f t="shared" si="0"/>
        <v>214</v>
      </c>
      <c r="AA16" s="769">
        <f t="shared" si="5"/>
        <v>0</v>
      </c>
      <c r="AB16" s="769">
        <f t="shared" si="6"/>
        <v>0</v>
      </c>
      <c r="AC16" s="770">
        <f t="shared" si="1"/>
        <v>214</v>
      </c>
      <c r="AD16" s="784">
        <f t="shared" si="2"/>
        <v>0</v>
      </c>
      <c r="AE16" s="785">
        <f t="shared" si="3"/>
        <v>214</v>
      </c>
      <c r="AG16" s="773">
        <f t="shared" si="7"/>
        <v>31</v>
      </c>
      <c r="AH16" s="773">
        <f t="shared" si="4"/>
        <v>57</v>
      </c>
      <c r="AI16" s="773">
        <f t="shared" si="8"/>
        <v>126</v>
      </c>
      <c r="AJ16" s="773">
        <f t="shared" si="9"/>
        <v>0</v>
      </c>
      <c r="AK16" s="773">
        <f t="shared" si="10"/>
        <v>0</v>
      </c>
      <c r="AL16" s="773">
        <f t="shared" si="11"/>
        <v>0</v>
      </c>
      <c r="AM16" s="774">
        <f t="shared" si="12"/>
        <v>214</v>
      </c>
      <c r="AN16" s="773">
        <f t="shared" si="13"/>
        <v>214</v>
      </c>
    </row>
    <row r="17" spans="1:40" s="745" customFormat="1" ht="13.5" thickBot="1" x14ac:dyDescent="0.25">
      <c r="A17" s="758">
        <v>8315201</v>
      </c>
      <c r="B17" s="777">
        <v>5201</v>
      </c>
      <c r="C17" s="776" t="s">
        <v>255</v>
      </c>
      <c r="D17" s="777" t="s">
        <v>200</v>
      </c>
      <c r="E17" s="778" t="s">
        <v>20</v>
      </c>
      <c r="F17" s="779">
        <v>59</v>
      </c>
      <c r="G17" s="780"/>
      <c r="H17" s="781">
        <v>69</v>
      </c>
      <c r="I17" s="781">
        <v>60</v>
      </c>
      <c r="J17" s="781"/>
      <c r="K17" s="781">
        <v>61</v>
      </c>
      <c r="L17" s="781">
        <v>59</v>
      </c>
      <c r="M17" s="781">
        <v>53</v>
      </c>
      <c r="N17" s="781">
        <v>58</v>
      </c>
      <c r="O17" s="781"/>
      <c r="P17" s="781">
        <v>0</v>
      </c>
      <c r="Q17" s="781">
        <v>0</v>
      </c>
      <c r="R17" s="781">
        <v>0</v>
      </c>
      <c r="S17" s="781"/>
      <c r="T17" s="781">
        <v>0</v>
      </c>
      <c r="U17" s="781">
        <v>0</v>
      </c>
      <c r="V17" s="781"/>
      <c r="W17" s="781">
        <v>0</v>
      </c>
      <c r="X17" s="781">
        <v>0</v>
      </c>
      <c r="Y17" s="782">
        <v>0</v>
      </c>
      <c r="Z17" s="783">
        <f t="shared" si="0"/>
        <v>419</v>
      </c>
      <c r="AA17" s="769">
        <f t="shared" si="5"/>
        <v>0</v>
      </c>
      <c r="AB17" s="769">
        <f t="shared" si="6"/>
        <v>0</v>
      </c>
      <c r="AC17" s="770">
        <f t="shared" si="1"/>
        <v>419</v>
      </c>
      <c r="AD17" s="784">
        <f t="shared" si="2"/>
        <v>0</v>
      </c>
      <c r="AE17" s="785">
        <f t="shared" si="3"/>
        <v>419</v>
      </c>
      <c r="AG17" s="773">
        <f t="shared" si="7"/>
        <v>59</v>
      </c>
      <c r="AH17" s="773">
        <f t="shared" si="4"/>
        <v>129</v>
      </c>
      <c r="AI17" s="773">
        <f t="shared" si="8"/>
        <v>231</v>
      </c>
      <c r="AJ17" s="773">
        <f t="shared" si="9"/>
        <v>0</v>
      </c>
      <c r="AK17" s="773">
        <f t="shared" si="10"/>
        <v>0</v>
      </c>
      <c r="AL17" s="773">
        <f t="shared" si="11"/>
        <v>0</v>
      </c>
      <c r="AM17" s="774">
        <f t="shared" si="12"/>
        <v>419</v>
      </c>
      <c r="AN17" s="773">
        <f t="shared" si="13"/>
        <v>419</v>
      </c>
    </row>
    <row r="18" spans="1:40" s="745" customFormat="1" ht="13.5" thickBot="1" x14ac:dyDescent="0.25">
      <c r="A18" s="758">
        <v>8312433</v>
      </c>
      <c r="B18" s="775">
        <v>2433</v>
      </c>
      <c r="C18" s="776" t="s">
        <v>255</v>
      </c>
      <c r="D18" s="777" t="s">
        <v>201</v>
      </c>
      <c r="E18" s="778" t="s">
        <v>21</v>
      </c>
      <c r="F18" s="779">
        <v>64</v>
      </c>
      <c r="G18" s="780"/>
      <c r="H18" s="781">
        <v>68</v>
      </c>
      <c r="I18" s="781">
        <v>65</v>
      </c>
      <c r="J18" s="781"/>
      <c r="K18" s="781">
        <v>0</v>
      </c>
      <c r="L18" s="781">
        <v>0</v>
      </c>
      <c r="M18" s="781">
        <v>0</v>
      </c>
      <c r="N18" s="781">
        <v>0</v>
      </c>
      <c r="O18" s="781"/>
      <c r="P18" s="781">
        <v>0</v>
      </c>
      <c r="Q18" s="781">
        <v>0</v>
      </c>
      <c r="R18" s="781">
        <v>0</v>
      </c>
      <c r="S18" s="781"/>
      <c r="T18" s="781">
        <v>0</v>
      </c>
      <c r="U18" s="781">
        <v>0</v>
      </c>
      <c r="V18" s="781"/>
      <c r="W18" s="781">
        <v>0</v>
      </c>
      <c r="X18" s="781">
        <v>0</v>
      </c>
      <c r="Y18" s="782">
        <v>0</v>
      </c>
      <c r="Z18" s="783">
        <f t="shared" si="0"/>
        <v>197</v>
      </c>
      <c r="AA18" s="769">
        <f t="shared" si="5"/>
        <v>0</v>
      </c>
      <c r="AB18" s="769">
        <f t="shared" si="6"/>
        <v>0</v>
      </c>
      <c r="AC18" s="770">
        <f t="shared" si="1"/>
        <v>197</v>
      </c>
      <c r="AD18" s="784">
        <f t="shared" si="2"/>
        <v>0</v>
      </c>
      <c r="AE18" s="785">
        <f t="shared" si="3"/>
        <v>197</v>
      </c>
      <c r="AG18" s="773">
        <f t="shared" si="7"/>
        <v>64</v>
      </c>
      <c r="AH18" s="773">
        <f t="shared" si="4"/>
        <v>133</v>
      </c>
      <c r="AI18" s="773">
        <f t="shared" si="8"/>
        <v>0</v>
      </c>
      <c r="AJ18" s="773">
        <f t="shared" si="9"/>
        <v>0</v>
      </c>
      <c r="AK18" s="773">
        <f t="shared" si="10"/>
        <v>0</v>
      </c>
      <c r="AL18" s="773">
        <f t="shared" si="11"/>
        <v>0</v>
      </c>
      <c r="AM18" s="774">
        <f t="shared" si="12"/>
        <v>197</v>
      </c>
      <c r="AN18" s="773">
        <f t="shared" si="13"/>
        <v>197</v>
      </c>
    </row>
    <row r="19" spans="1:40" s="745" customFormat="1" ht="13.5" thickBot="1" x14ac:dyDescent="0.25">
      <c r="A19" s="758">
        <v>8312432</v>
      </c>
      <c r="B19" s="775">
        <v>2432</v>
      </c>
      <c r="C19" s="776" t="s">
        <v>255</v>
      </c>
      <c r="D19" s="777" t="s">
        <v>612</v>
      </c>
      <c r="E19" s="778" t="s">
        <v>22</v>
      </c>
      <c r="F19" s="779">
        <v>0</v>
      </c>
      <c r="G19" s="780"/>
      <c r="H19" s="781">
        <v>0</v>
      </c>
      <c r="I19" s="781">
        <v>0</v>
      </c>
      <c r="J19" s="781"/>
      <c r="K19" s="781">
        <v>61</v>
      </c>
      <c r="L19" s="781">
        <v>58</v>
      </c>
      <c r="M19" s="781">
        <v>63</v>
      </c>
      <c r="N19" s="781">
        <v>61</v>
      </c>
      <c r="O19" s="781"/>
      <c r="P19" s="781">
        <v>0</v>
      </c>
      <c r="Q19" s="781">
        <v>0</v>
      </c>
      <c r="R19" s="781">
        <v>0</v>
      </c>
      <c r="S19" s="781"/>
      <c r="T19" s="781">
        <v>0</v>
      </c>
      <c r="U19" s="781">
        <v>0</v>
      </c>
      <c r="V19" s="781"/>
      <c r="W19" s="781">
        <v>0</v>
      </c>
      <c r="X19" s="781">
        <v>0</v>
      </c>
      <c r="Y19" s="782">
        <v>0</v>
      </c>
      <c r="Z19" s="783">
        <f t="shared" si="0"/>
        <v>243</v>
      </c>
      <c r="AA19" s="769">
        <f t="shared" si="5"/>
        <v>0</v>
      </c>
      <c r="AB19" s="769">
        <f t="shared" si="6"/>
        <v>0</v>
      </c>
      <c r="AC19" s="770">
        <f t="shared" si="1"/>
        <v>243</v>
      </c>
      <c r="AD19" s="784">
        <f t="shared" si="2"/>
        <v>0</v>
      </c>
      <c r="AE19" s="785">
        <f t="shared" si="3"/>
        <v>243</v>
      </c>
      <c r="AG19" s="773">
        <f t="shared" si="7"/>
        <v>0</v>
      </c>
      <c r="AH19" s="773">
        <f t="shared" si="4"/>
        <v>0</v>
      </c>
      <c r="AI19" s="773">
        <f t="shared" si="8"/>
        <v>243</v>
      </c>
      <c r="AJ19" s="773">
        <f t="shared" si="9"/>
        <v>0</v>
      </c>
      <c r="AK19" s="773">
        <f t="shared" si="10"/>
        <v>0</v>
      </c>
      <c r="AL19" s="773">
        <f t="shared" si="11"/>
        <v>0</v>
      </c>
      <c r="AM19" s="774">
        <f t="shared" si="12"/>
        <v>243</v>
      </c>
      <c r="AN19" s="773">
        <f t="shared" si="13"/>
        <v>243</v>
      </c>
    </row>
    <row r="20" spans="1:40" s="745" customFormat="1" ht="13.5" thickBot="1" x14ac:dyDescent="0.25">
      <c r="A20" s="758">
        <v>8312446</v>
      </c>
      <c r="B20" s="775">
        <v>2447</v>
      </c>
      <c r="C20" s="776" t="s">
        <v>255</v>
      </c>
      <c r="D20" s="777" t="s">
        <v>613</v>
      </c>
      <c r="E20" s="778" t="s">
        <v>188</v>
      </c>
      <c r="F20" s="779">
        <v>71</v>
      </c>
      <c r="G20" s="780"/>
      <c r="H20" s="781">
        <v>62</v>
      </c>
      <c r="I20" s="781">
        <v>59</v>
      </c>
      <c r="J20" s="781"/>
      <c r="K20" s="781">
        <v>55</v>
      </c>
      <c r="L20" s="781">
        <v>60</v>
      </c>
      <c r="M20" s="781">
        <v>58</v>
      </c>
      <c r="N20" s="781">
        <v>54</v>
      </c>
      <c r="O20" s="781"/>
      <c r="P20" s="781">
        <v>0</v>
      </c>
      <c r="Q20" s="781">
        <v>0</v>
      </c>
      <c r="R20" s="781">
        <v>0</v>
      </c>
      <c r="S20" s="781"/>
      <c r="T20" s="781">
        <v>0</v>
      </c>
      <c r="U20" s="781">
        <v>0</v>
      </c>
      <c r="V20" s="781"/>
      <c r="W20" s="781">
        <v>0</v>
      </c>
      <c r="X20" s="781">
        <v>0</v>
      </c>
      <c r="Y20" s="782">
        <v>0</v>
      </c>
      <c r="Z20" s="783">
        <f t="shared" si="0"/>
        <v>419</v>
      </c>
      <c r="AA20" s="769">
        <f t="shared" si="5"/>
        <v>0</v>
      </c>
      <c r="AB20" s="769">
        <f t="shared" si="6"/>
        <v>0</v>
      </c>
      <c r="AC20" s="770">
        <f t="shared" si="1"/>
        <v>419</v>
      </c>
      <c r="AD20" s="784">
        <f t="shared" si="2"/>
        <v>0</v>
      </c>
      <c r="AE20" s="785">
        <f t="shared" si="3"/>
        <v>419</v>
      </c>
      <c r="AG20" s="773">
        <f t="shared" si="7"/>
        <v>71</v>
      </c>
      <c r="AH20" s="773">
        <f t="shared" si="4"/>
        <v>121</v>
      </c>
      <c r="AI20" s="773">
        <f t="shared" si="8"/>
        <v>227</v>
      </c>
      <c r="AJ20" s="773">
        <f t="shared" si="9"/>
        <v>0</v>
      </c>
      <c r="AK20" s="773">
        <f t="shared" si="10"/>
        <v>0</v>
      </c>
      <c r="AL20" s="773">
        <f t="shared" si="11"/>
        <v>0</v>
      </c>
      <c r="AM20" s="774">
        <f t="shared" si="12"/>
        <v>419</v>
      </c>
      <c r="AN20" s="773">
        <f t="shared" si="13"/>
        <v>419</v>
      </c>
    </row>
    <row r="21" spans="1:40" s="745" customFormat="1" ht="13.5" thickBot="1" x14ac:dyDescent="0.25">
      <c r="A21" s="758">
        <v>8312447</v>
      </c>
      <c r="B21" s="775">
        <v>2512</v>
      </c>
      <c r="C21" s="776" t="s">
        <v>255</v>
      </c>
      <c r="D21" s="777" t="s">
        <v>203</v>
      </c>
      <c r="E21" s="778" t="s">
        <v>23</v>
      </c>
      <c r="F21" s="779">
        <v>30</v>
      </c>
      <c r="G21" s="780"/>
      <c r="H21" s="781">
        <v>29</v>
      </c>
      <c r="I21" s="781">
        <v>30</v>
      </c>
      <c r="J21" s="781"/>
      <c r="K21" s="781">
        <v>29</v>
      </c>
      <c r="L21" s="781">
        <v>28</v>
      </c>
      <c r="M21" s="781">
        <v>30</v>
      </c>
      <c r="N21" s="781">
        <v>30</v>
      </c>
      <c r="O21" s="781"/>
      <c r="P21" s="781">
        <v>0</v>
      </c>
      <c r="Q21" s="781">
        <v>0</v>
      </c>
      <c r="R21" s="781">
        <v>0</v>
      </c>
      <c r="S21" s="781"/>
      <c r="T21" s="781">
        <v>0</v>
      </c>
      <c r="U21" s="781">
        <v>0</v>
      </c>
      <c r="V21" s="781"/>
      <c r="W21" s="781">
        <v>0</v>
      </c>
      <c r="X21" s="781">
        <v>0</v>
      </c>
      <c r="Y21" s="782">
        <v>0</v>
      </c>
      <c r="Z21" s="783">
        <f t="shared" si="0"/>
        <v>206</v>
      </c>
      <c r="AA21" s="769">
        <f t="shared" si="5"/>
        <v>0</v>
      </c>
      <c r="AB21" s="769">
        <f t="shared" si="6"/>
        <v>0</v>
      </c>
      <c r="AC21" s="770">
        <f t="shared" si="1"/>
        <v>206</v>
      </c>
      <c r="AD21" s="784">
        <f t="shared" si="2"/>
        <v>0</v>
      </c>
      <c r="AE21" s="785">
        <f t="shared" si="3"/>
        <v>206</v>
      </c>
      <c r="AG21" s="773">
        <f t="shared" si="7"/>
        <v>30</v>
      </c>
      <c r="AH21" s="773">
        <f t="shared" si="4"/>
        <v>59</v>
      </c>
      <c r="AI21" s="773">
        <f t="shared" si="8"/>
        <v>117</v>
      </c>
      <c r="AJ21" s="773">
        <f t="shared" si="9"/>
        <v>0</v>
      </c>
      <c r="AK21" s="773">
        <f t="shared" si="10"/>
        <v>0</v>
      </c>
      <c r="AL21" s="773">
        <f t="shared" si="11"/>
        <v>0</v>
      </c>
      <c r="AM21" s="774">
        <f t="shared" si="12"/>
        <v>206</v>
      </c>
      <c r="AN21" s="773">
        <f t="shared" si="13"/>
        <v>206</v>
      </c>
    </row>
    <row r="22" spans="1:40" s="745" customFormat="1" ht="13.5" thickBot="1" x14ac:dyDescent="0.25">
      <c r="A22" s="758">
        <v>8312512</v>
      </c>
      <c r="B22" s="775">
        <v>2456</v>
      </c>
      <c r="C22" s="776" t="s">
        <v>255</v>
      </c>
      <c r="D22" s="777" t="s">
        <v>204</v>
      </c>
      <c r="E22" s="778" t="s">
        <v>24</v>
      </c>
      <c r="F22" s="779">
        <v>59</v>
      </c>
      <c r="G22" s="780"/>
      <c r="H22" s="781">
        <v>60</v>
      </c>
      <c r="I22" s="781">
        <v>60</v>
      </c>
      <c r="J22" s="781"/>
      <c r="K22" s="781">
        <v>0</v>
      </c>
      <c r="L22" s="781">
        <v>0</v>
      </c>
      <c r="M22" s="781">
        <v>0</v>
      </c>
      <c r="N22" s="781">
        <v>0</v>
      </c>
      <c r="O22" s="781"/>
      <c r="P22" s="781">
        <v>0</v>
      </c>
      <c r="Q22" s="781">
        <v>0</v>
      </c>
      <c r="R22" s="781">
        <v>0</v>
      </c>
      <c r="S22" s="781"/>
      <c r="T22" s="781">
        <v>0</v>
      </c>
      <c r="U22" s="781">
        <v>0</v>
      </c>
      <c r="V22" s="781"/>
      <c r="W22" s="781">
        <v>0</v>
      </c>
      <c r="X22" s="781">
        <v>0</v>
      </c>
      <c r="Y22" s="782">
        <v>0</v>
      </c>
      <c r="Z22" s="783">
        <f t="shared" si="0"/>
        <v>179</v>
      </c>
      <c r="AA22" s="769">
        <f t="shared" si="5"/>
        <v>0</v>
      </c>
      <c r="AB22" s="769">
        <f t="shared" si="6"/>
        <v>0</v>
      </c>
      <c r="AC22" s="770">
        <f t="shared" si="1"/>
        <v>179</v>
      </c>
      <c r="AD22" s="784">
        <f t="shared" si="2"/>
        <v>0</v>
      </c>
      <c r="AE22" s="785">
        <f t="shared" si="3"/>
        <v>179</v>
      </c>
      <c r="AG22" s="773">
        <f t="shared" si="7"/>
        <v>59</v>
      </c>
      <c r="AH22" s="773">
        <f t="shared" si="4"/>
        <v>120</v>
      </c>
      <c r="AI22" s="773">
        <f t="shared" si="8"/>
        <v>0</v>
      </c>
      <c r="AJ22" s="773">
        <f t="shared" si="9"/>
        <v>0</v>
      </c>
      <c r="AK22" s="773">
        <f t="shared" si="10"/>
        <v>0</v>
      </c>
      <c r="AL22" s="773">
        <f t="shared" si="11"/>
        <v>0</v>
      </c>
      <c r="AM22" s="774">
        <f t="shared" si="12"/>
        <v>179</v>
      </c>
      <c r="AN22" s="773">
        <f t="shared" si="13"/>
        <v>179</v>
      </c>
    </row>
    <row r="23" spans="1:40" s="745" customFormat="1" ht="13.5" thickBot="1" x14ac:dyDescent="0.25">
      <c r="A23" s="758">
        <v>8312456</v>
      </c>
      <c r="B23" s="775">
        <v>1017</v>
      </c>
      <c r="C23" s="776" t="s">
        <v>880</v>
      </c>
      <c r="D23" s="777" t="s">
        <v>205</v>
      </c>
      <c r="E23" s="778" t="s">
        <v>3</v>
      </c>
      <c r="F23" s="779">
        <v>0</v>
      </c>
      <c r="G23" s="780"/>
      <c r="H23" s="781">
        <v>0</v>
      </c>
      <c r="I23" s="781">
        <v>0</v>
      </c>
      <c r="J23" s="781"/>
      <c r="K23" s="781">
        <v>0</v>
      </c>
      <c r="L23" s="781">
        <v>0</v>
      </c>
      <c r="M23" s="781">
        <v>0</v>
      </c>
      <c r="N23" s="781">
        <v>0</v>
      </c>
      <c r="O23" s="781"/>
      <c r="P23" s="781">
        <v>0</v>
      </c>
      <c r="Q23" s="781">
        <v>0</v>
      </c>
      <c r="R23" s="781">
        <v>0</v>
      </c>
      <c r="S23" s="781"/>
      <c r="T23" s="781">
        <v>0</v>
      </c>
      <c r="U23" s="781">
        <v>0</v>
      </c>
      <c r="V23" s="781"/>
      <c r="W23" s="781">
        <v>0</v>
      </c>
      <c r="X23" s="781">
        <v>0</v>
      </c>
      <c r="Y23" s="782">
        <v>0</v>
      </c>
      <c r="Z23" s="792">
        <f t="shared" si="0"/>
        <v>0</v>
      </c>
      <c r="AA23" s="769">
        <f t="shared" si="5"/>
        <v>0</v>
      </c>
      <c r="AB23" s="769">
        <f t="shared" si="6"/>
        <v>0</v>
      </c>
      <c r="AC23" s="770">
        <f t="shared" si="1"/>
        <v>0</v>
      </c>
      <c r="AD23" s="793">
        <f t="shared" si="2"/>
        <v>0</v>
      </c>
      <c r="AE23" s="794">
        <f t="shared" si="3"/>
        <v>0</v>
      </c>
      <c r="AG23" s="773">
        <f t="shared" si="7"/>
        <v>0</v>
      </c>
      <c r="AH23" s="773">
        <f t="shared" si="4"/>
        <v>0</v>
      </c>
      <c r="AI23" s="773">
        <f t="shared" si="8"/>
        <v>0</v>
      </c>
      <c r="AJ23" s="773">
        <f t="shared" si="9"/>
        <v>0</v>
      </c>
      <c r="AK23" s="773">
        <f t="shared" si="10"/>
        <v>0</v>
      </c>
      <c r="AL23" s="773">
        <f t="shared" si="11"/>
        <v>0</v>
      </c>
      <c r="AM23" s="774">
        <f t="shared" si="12"/>
        <v>0</v>
      </c>
      <c r="AN23" s="773">
        <f t="shared" si="13"/>
        <v>0</v>
      </c>
    </row>
    <row r="24" spans="1:40" s="745" customFormat="1" ht="13.5" thickBot="1" x14ac:dyDescent="0.25">
      <c r="A24" s="758">
        <v>8311017</v>
      </c>
      <c r="B24" s="775">
        <v>2449</v>
      </c>
      <c r="C24" s="776" t="s">
        <v>255</v>
      </c>
      <c r="D24" s="777" t="s">
        <v>206</v>
      </c>
      <c r="E24" s="778" t="s">
        <v>25</v>
      </c>
      <c r="F24" s="779">
        <v>90</v>
      </c>
      <c r="G24" s="780"/>
      <c r="H24" s="781">
        <v>90</v>
      </c>
      <c r="I24" s="781">
        <v>90</v>
      </c>
      <c r="J24" s="781"/>
      <c r="K24" s="781">
        <v>0</v>
      </c>
      <c r="L24" s="781">
        <v>0</v>
      </c>
      <c r="M24" s="781">
        <v>0</v>
      </c>
      <c r="N24" s="781">
        <v>0</v>
      </c>
      <c r="O24" s="781"/>
      <c r="P24" s="781">
        <v>0</v>
      </c>
      <c r="Q24" s="781">
        <v>0</v>
      </c>
      <c r="R24" s="781">
        <v>0</v>
      </c>
      <c r="S24" s="781"/>
      <c r="T24" s="781">
        <v>0</v>
      </c>
      <c r="U24" s="781">
        <v>0</v>
      </c>
      <c r="V24" s="781"/>
      <c r="W24" s="781">
        <v>0</v>
      </c>
      <c r="X24" s="781">
        <v>0</v>
      </c>
      <c r="Y24" s="782">
        <v>0</v>
      </c>
      <c r="Z24" s="783">
        <f t="shared" si="0"/>
        <v>270</v>
      </c>
      <c r="AA24" s="769">
        <f t="shared" si="5"/>
        <v>0</v>
      </c>
      <c r="AB24" s="769">
        <f t="shared" si="6"/>
        <v>0</v>
      </c>
      <c r="AC24" s="770">
        <f t="shared" si="1"/>
        <v>270</v>
      </c>
      <c r="AD24" s="784">
        <f t="shared" si="2"/>
        <v>0</v>
      </c>
      <c r="AE24" s="785">
        <f t="shared" si="3"/>
        <v>270</v>
      </c>
      <c r="AG24" s="773">
        <f t="shared" si="7"/>
        <v>90</v>
      </c>
      <c r="AH24" s="773">
        <f t="shared" si="4"/>
        <v>180</v>
      </c>
      <c r="AI24" s="773">
        <f t="shared" si="8"/>
        <v>0</v>
      </c>
      <c r="AJ24" s="773">
        <f t="shared" si="9"/>
        <v>0</v>
      </c>
      <c r="AK24" s="773">
        <f t="shared" si="10"/>
        <v>0</v>
      </c>
      <c r="AL24" s="773">
        <f t="shared" si="11"/>
        <v>0</v>
      </c>
      <c r="AM24" s="774">
        <f t="shared" si="12"/>
        <v>270</v>
      </c>
      <c r="AN24" s="773">
        <f t="shared" si="13"/>
        <v>270</v>
      </c>
    </row>
    <row r="25" spans="1:40" s="745" customFormat="1" ht="13.5" thickBot="1" x14ac:dyDescent="0.25">
      <c r="A25" s="758">
        <v>8312449</v>
      </c>
      <c r="B25" s="775">
        <v>2448</v>
      </c>
      <c r="C25" s="776" t="s">
        <v>255</v>
      </c>
      <c r="D25" s="777" t="s">
        <v>568</v>
      </c>
      <c r="E25" s="778" t="s">
        <v>26</v>
      </c>
      <c r="F25" s="779">
        <v>0</v>
      </c>
      <c r="G25" s="780"/>
      <c r="H25" s="781">
        <v>0</v>
      </c>
      <c r="I25" s="781">
        <v>0</v>
      </c>
      <c r="J25" s="781"/>
      <c r="K25" s="781">
        <v>90</v>
      </c>
      <c r="L25" s="781">
        <v>76</v>
      </c>
      <c r="M25" s="781">
        <v>87</v>
      </c>
      <c r="N25" s="781">
        <v>81</v>
      </c>
      <c r="O25" s="781"/>
      <c r="P25" s="781">
        <v>0</v>
      </c>
      <c r="Q25" s="781">
        <v>0</v>
      </c>
      <c r="R25" s="781">
        <v>0</v>
      </c>
      <c r="S25" s="781"/>
      <c r="T25" s="781">
        <v>0</v>
      </c>
      <c r="U25" s="781">
        <v>0</v>
      </c>
      <c r="V25" s="781"/>
      <c r="W25" s="781">
        <v>0</v>
      </c>
      <c r="X25" s="781">
        <v>0</v>
      </c>
      <c r="Y25" s="782">
        <v>0</v>
      </c>
      <c r="Z25" s="783">
        <f t="shared" si="0"/>
        <v>334</v>
      </c>
      <c r="AA25" s="769">
        <f t="shared" si="5"/>
        <v>0</v>
      </c>
      <c r="AB25" s="769">
        <f t="shared" si="6"/>
        <v>0</v>
      </c>
      <c r="AC25" s="770">
        <f t="shared" si="1"/>
        <v>334</v>
      </c>
      <c r="AD25" s="784">
        <f t="shared" si="2"/>
        <v>0</v>
      </c>
      <c r="AE25" s="785">
        <f t="shared" si="3"/>
        <v>334</v>
      </c>
      <c r="AG25" s="773">
        <f t="shared" si="7"/>
        <v>0</v>
      </c>
      <c r="AH25" s="773">
        <f t="shared" si="4"/>
        <v>0</v>
      </c>
      <c r="AI25" s="773">
        <f t="shared" si="8"/>
        <v>334</v>
      </c>
      <c r="AJ25" s="773">
        <f t="shared" si="9"/>
        <v>0</v>
      </c>
      <c r="AK25" s="773">
        <f t="shared" si="10"/>
        <v>0</v>
      </c>
      <c r="AL25" s="773">
        <f t="shared" si="11"/>
        <v>0</v>
      </c>
      <c r="AM25" s="774">
        <f t="shared" si="12"/>
        <v>334</v>
      </c>
      <c r="AN25" s="773">
        <f t="shared" si="13"/>
        <v>334</v>
      </c>
    </row>
    <row r="26" spans="1:40" s="745" customFormat="1" ht="13.5" thickBot="1" x14ac:dyDescent="0.25">
      <c r="A26" s="758">
        <v>8312448</v>
      </c>
      <c r="B26" s="775">
        <v>1006</v>
      </c>
      <c r="C26" s="776" t="s">
        <v>880</v>
      </c>
      <c r="D26" s="777" t="s">
        <v>207</v>
      </c>
      <c r="E26" s="778" t="s">
        <v>882</v>
      </c>
      <c r="F26" s="779">
        <v>0</v>
      </c>
      <c r="G26" s="780"/>
      <c r="H26" s="781">
        <v>0</v>
      </c>
      <c r="I26" s="781">
        <v>0</v>
      </c>
      <c r="J26" s="781"/>
      <c r="K26" s="781">
        <v>0</v>
      </c>
      <c r="L26" s="781">
        <v>0</v>
      </c>
      <c r="M26" s="781">
        <v>0</v>
      </c>
      <c r="N26" s="781">
        <v>0</v>
      </c>
      <c r="O26" s="781"/>
      <c r="P26" s="781">
        <v>0</v>
      </c>
      <c r="Q26" s="781">
        <v>0</v>
      </c>
      <c r="R26" s="781">
        <v>0</v>
      </c>
      <c r="S26" s="781"/>
      <c r="T26" s="781">
        <v>0</v>
      </c>
      <c r="U26" s="781">
        <v>0</v>
      </c>
      <c r="V26" s="781"/>
      <c r="W26" s="781">
        <v>0</v>
      </c>
      <c r="X26" s="781">
        <v>0</v>
      </c>
      <c r="Y26" s="782">
        <v>0</v>
      </c>
      <c r="Z26" s="792">
        <f t="shared" si="0"/>
        <v>0</v>
      </c>
      <c r="AA26" s="769">
        <f t="shared" si="5"/>
        <v>0</v>
      </c>
      <c r="AB26" s="769">
        <f t="shared" si="6"/>
        <v>0</v>
      </c>
      <c r="AC26" s="770">
        <f t="shared" si="1"/>
        <v>0</v>
      </c>
      <c r="AD26" s="793">
        <f t="shared" si="2"/>
        <v>0</v>
      </c>
      <c r="AE26" s="794">
        <f t="shared" si="3"/>
        <v>0</v>
      </c>
      <c r="AG26" s="773">
        <f t="shared" si="7"/>
        <v>0</v>
      </c>
      <c r="AH26" s="773">
        <f t="shared" si="4"/>
        <v>0</v>
      </c>
      <c r="AI26" s="773">
        <f t="shared" si="8"/>
        <v>0</v>
      </c>
      <c r="AJ26" s="773">
        <f t="shared" si="9"/>
        <v>0</v>
      </c>
      <c r="AK26" s="773">
        <f t="shared" si="10"/>
        <v>0</v>
      </c>
      <c r="AL26" s="773">
        <f t="shared" si="11"/>
        <v>0</v>
      </c>
      <c r="AM26" s="774">
        <f t="shared" si="12"/>
        <v>0</v>
      </c>
      <c r="AN26" s="773">
        <f t="shared" si="13"/>
        <v>0</v>
      </c>
    </row>
    <row r="27" spans="1:40" s="745" customFormat="1" ht="13.5" thickBot="1" x14ac:dyDescent="0.25">
      <c r="A27" s="758">
        <v>8311006</v>
      </c>
      <c r="B27" s="775">
        <v>2467</v>
      </c>
      <c r="C27" s="776" t="s">
        <v>255</v>
      </c>
      <c r="D27" s="777" t="s">
        <v>208</v>
      </c>
      <c r="E27" s="778" t="s">
        <v>27</v>
      </c>
      <c r="F27" s="779">
        <v>40</v>
      </c>
      <c r="G27" s="780"/>
      <c r="H27" s="781">
        <v>57</v>
      </c>
      <c r="I27" s="781">
        <v>58</v>
      </c>
      <c r="J27" s="781"/>
      <c r="K27" s="781">
        <v>53</v>
      </c>
      <c r="L27" s="781">
        <v>58</v>
      </c>
      <c r="M27" s="781">
        <v>46</v>
      </c>
      <c r="N27" s="781">
        <v>37</v>
      </c>
      <c r="O27" s="781"/>
      <c r="P27" s="781">
        <v>0</v>
      </c>
      <c r="Q27" s="781">
        <v>0</v>
      </c>
      <c r="R27" s="781">
        <v>0</v>
      </c>
      <c r="S27" s="781"/>
      <c r="T27" s="781">
        <v>0</v>
      </c>
      <c r="U27" s="781">
        <v>0</v>
      </c>
      <c r="V27" s="781"/>
      <c r="W27" s="781">
        <v>0</v>
      </c>
      <c r="X27" s="781">
        <v>0</v>
      </c>
      <c r="Y27" s="782">
        <v>0</v>
      </c>
      <c r="Z27" s="783">
        <f t="shared" si="0"/>
        <v>349</v>
      </c>
      <c r="AA27" s="769">
        <f t="shared" si="5"/>
        <v>0</v>
      </c>
      <c r="AB27" s="769">
        <f t="shared" si="6"/>
        <v>0</v>
      </c>
      <c r="AC27" s="770">
        <f t="shared" si="1"/>
        <v>349</v>
      </c>
      <c r="AD27" s="784">
        <f t="shared" si="2"/>
        <v>0</v>
      </c>
      <c r="AE27" s="785">
        <f t="shared" si="3"/>
        <v>349</v>
      </c>
      <c r="AG27" s="773">
        <f t="shared" si="7"/>
        <v>40</v>
      </c>
      <c r="AH27" s="773">
        <f t="shared" si="4"/>
        <v>115</v>
      </c>
      <c r="AI27" s="773">
        <f t="shared" si="8"/>
        <v>194</v>
      </c>
      <c r="AJ27" s="773">
        <f t="shared" si="9"/>
        <v>0</v>
      </c>
      <c r="AK27" s="773">
        <f t="shared" si="10"/>
        <v>0</v>
      </c>
      <c r="AL27" s="773">
        <f t="shared" si="11"/>
        <v>0</v>
      </c>
      <c r="AM27" s="774">
        <f t="shared" si="12"/>
        <v>349</v>
      </c>
      <c r="AN27" s="773">
        <f t="shared" si="13"/>
        <v>349</v>
      </c>
    </row>
    <row r="28" spans="1:40" s="745" customFormat="1" ht="13.5" thickBot="1" x14ac:dyDescent="0.25">
      <c r="A28" s="758">
        <v>8312467</v>
      </c>
      <c r="B28" s="775">
        <v>5402</v>
      </c>
      <c r="C28" s="776" t="s">
        <v>192</v>
      </c>
      <c r="D28" s="777"/>
      <c r="E28" s="778" t="s">
        <v>75</v>
      </c>
      <c r="F28" s="779">
        <v>0</v>
      </c>
      <c r="G28" s="780"/>
      <c r="H28" s="781">
        <v>0</v>
      </c>
      <c r="I28" s="781">
        <v>0</v>
      </c>
      <c r="J28" s="781"/>
      <c r="K28" s="781">
        <v>0</v>
      </c>
      <c r="L28" s="781">
        <v>0</v>
      </c>
      <c r="M28" s="781">
        <v>0</v>
      </c>
      <c r="N28" s="781">
        <v>0</v>
      </c>
      <c r="O28" s="781"/>
      <c r="P28" s="781">
        <v>267</v>
      </c>
      <c r="Q28" s="781">
        <v>262</v>
      </c>
      <c r="R28" s="781">
        <v>263</v>
      </c>
      <c r="S28" s="781"/>
      <c r="T28" s="781">
        <v>258</v>
      </c>
      <c r="U28" s="781">
        <v>276</v>
      </c>
      <c r="V28" s="781"/>
      <c r="W28" s="781">
        <v>195</v>
      </c>
      <c r="X28" s="781">
        <v>177</v>
      </c>
      <c r="Y28" s="782">
        <v>0</v>
      </c>
      <c r="Z28" s="783">
        <f t="shared" si="0"/>
        <v>0</v>
      </c>
      <c r="AA28" s="769">
        <f t="shared" si="5"/>
        <v>792</v>
      </c>
      <c r="AB28" s="769">
        <f t="shared" si="6"/>
        <v>534</v>
      </c>
      <c r="AC28" s="770">
        <f t="shared" si="1"/>
        <v>1326</v>
      </c>
      <c r="AD28" s="784">
        <f t="shared" si="2"/>
        <v>372</v>
      </c>
      <c r="AE28" s="785">
        <f t="shared" si="3"/>
        <v>1698</v>
      </c>
      <c r="AG28" s="773">
        <f t="shared" si="7"/>
        <v>0</v>
      </c>
      <c r="AH28" s="773">
        <f t="shared" si="4"/>
        <v>0</v>
      </c>
      <c r="AI28" s="773">
        <f t="shared" si="8"/>
        <v>0</v>
      </c>
      <c r="AJ28" s="773">
        <f t="shared" si="9"/>
        <v>792</v>
      </c>
      <c r="AK28" s="773">
        <f t="shared" si="10"/>
        <v>534</v>
      </c>
      <c r="AL28" s="773">
        <f t="shared" si="11"/>
        <v>372</v>
      </c>
      <c r="AM28" s="774">
        <f t="shared" si="12"/>
        <v>1326</v>
      </c>
      <c r="AN28" s="773">
        <f t="shared" si="13"/>
        <v>1698</v>
      </c>
    </row>
    <row r="29" spans="1:40" s="745" customFormat="1" ht="13.5" thickBot="1" x14ac:dyDescent="0.25">
      <c r="A29" s="758">
        <v>8315402</v>
      </c>
      <c r="B29" s="775">
        <v>2455</v>
      </c>
      <c r="C29" s="776" t="s">
        <v>255</v>
      </c>
      <c r="D29" s="777" t="s">
        <v>614</v>
      </c>
      <c r="E29" s="778" t="s">
        <v>28</v>
      </c>
      <c r="F29" s="779">
        <v>117</v>
      </c>
      <c r="G29" s="786"/>
      <c r="H29" s="781">
        <v>117</v>
      </c>
      <c r="I29" s="781">
        <v>117</v>
      </c>
      <c r="J29" s="787"/>
      <c r="K29" s="781">
        <v>0</v>
      </c>
      <c r="L29" s="781">
        <v>0</v>
      </c>
      <c r="M29" s="781">
        <v>0</v>
      </c>
      <c r="N29" s="781">
        <v>0</v>
      </c>
      <c r="O29" s="787"/>
      <c r="P29" s="787">
        <v>0</v>
      </c>
      <c r="Q29" s="787">
        <v>0</v>
      </c>
      <c r="R29" s="787">
        <v>0</v>
      </c>
      <c r="S29" s="787"/>
      <c r="T29" s="787">
        <v>0</v>
      </c>
      <c r="U29" s="787">
        <v>0</v>
      </c>
      <c r="V29" s="787"/>
      <c r="W29" s="787">
        <v>0</v>
      </c>
      <c r="X29" s="787">
        <v>0</v>
      </c>
      <c r="Y29" s="788">
        <v>0</v>
      </c>
      <c r="Z29" s="783">
        <f t="shared" si="0"/>
        <v>351</v>
      </c>
      <c r="AA29" s="769">
        <f t="shared" si="5"/>
        <v>0</v>
      </c>
      <c r="AB29" s="769">
        <f t="shared" si="6"/>
        <v>0</v>
      </c>
      <c r="AC29" s="770">
        <f t="shared" si="1"/>
        <v>351</v>
      </c>
      <c r="AD29" s="789">
        <f t="shared" si="2"/>
        <v>0</v>
      </c>
      <c r="AE29" s="785">
        <f t="shared" si="3"/>
        <v>351</v>
      </c>
      <c r="AG29" s="773">
        <f t="shared" si="7"/>
        <v>117</v>
      </c>
      <c r="AH29" s="773">
        <f t="shared" si="4"/>
        <v>234</v>
      </c>
      <c r="AI29" s="773">
        <f t="shared" si="8"/>
        <v>0</v>
      </c>
      <c r="AJ29" s="773">
        <f t="shared" si="9"/>
        <v>0</v>
      </c>
      <c r="AK29" s="773">
        <f t="shared" si="10"/>
        <v>0</v>
      </c>
      <c r="AL29" s="773">
        <f t="shared" si="11"/>
        <v>0</v>
      </c>
      <c r="AM29" s="774">
        <f t="shared" si="12"/>
        <v>351</v>
      </c>
      <c r="AN29" s="773">
        <f t="shared" si="13"/>
        <v>351</v>
      </c>
    </row>
    <row r="30" spans="1:40" s="745" customFormat="1" ht="13.5" thickBot="1" x14ac:dyDescent="0.25">
      <c r="A30" s="758">
        <v>8312455</v>
      </c>
      <c r="B30" s="775">
        <v>5203</v>
      </c>
      <c r="C30" s="776" t="s">
        <v>255</v>
      </c>
      <c r="D30" s="777" t="s">
        <v>616</v>
      </c>
      <c r="E30" s="778" t="s">
        <v>29</v>
      </c>
      <c r="F30" s="779">
        <v>0</v>
      </c>
      <c r="G30" s="780"/>
      <c r="H30" s="781">
        <v>0</v>
      </c>
      <c r="I30" s="781">
        <v>0</v>
      </c>
      <c r="J30" s="781"/>
      <c r="K30" s="781">
        <v>124</v>
      </c>
      <c r="L30" s="781">
        <v>120</v>
      </c>
      <c r="M30" s="781">
        <v>121</v>
      </c>
      <c r="N30" s="781">
        <v>120</v>
      </c>
      <c r="O30" s="781"/>
      <c r="P30" s="781">
        <v>0</v>
      </c>
      <c r="Q30" s="781">
        <v>0</v>
      </c>
      <c r="R30" s="781">
        <v>0</v>
      </c>
      <c r="S30" s="781"/>
      <c r="T30" s="781">
        <v>0</v>
      </c>
      <c r="U30" s="781">
        <v>0</v>
      </c>
      <c r="V30" s="781"/>
      <c r="W30" s="781">
        <v>0</v>
      </c>
      <c r="X30" s="781">
        <v>0</v>
      </c>
      <c r="Y30" s="782">
        <v>0</v>
      </c>
      <c r="Z30" s="783">
        <f t="shared" si="0"/>
        <v>485</v>
      </c>
      <c r="AA30" s="769">
        <f t="shared" si="5"/>
        <v>0</v>
      </c>
      <c r="AB30" s="769">
        <f t="shared" si="6"/>
        <v>0</v>
      </c>
      <c r="AC30" s="770">
        <f t="shared" si="1"/>
        <v>485</v>
      </c>
      <c r="AD30" s="784">
        <f t="shared" si="2"/>
        <v>0</v>
      </c>
      <c r="AE30" s="785">
        <f t="shared" si="3"/>
        <v>485</v>
      </c>
      <c r="AG30" s="773">
        <f t="shared" si="7"/>
        <v>0</v>
      </c>
      <c r="AH30" s="773">
        <f t="shared" si="4"/>
        <v>0</v>
      </c>
      <c r="AI30" s="773">
        <f t="shared" si="8"/>
        <v>485</v>
      </c>
      <c r="AJ30" s="773">
        <f t="shared" si="9"/>
        <v>0</v>
      </c>
      <c r="AK30" s="773">
        <f t="shared" si="10"/>
        <v>0</v>
      </c>
      <c r="AL30" s="773">
        <f t="shared" si="11"/>
        <v>0</v>
      </c>
      <c r="AM30" s="774">
        <f t="shared" si="12"/>
        <v>485</v>
      </c>
      <c r="AN30" s="773">
        <f t="shared" si="13"/>
        <v>485</v>
      </c>
    </row>
    <row r="31" spans="1:40" s="745" customFormat="1" ht="13.5" thickBot="1" x14ac:dyDescent="0.25">
      <c r="A31" s="758">
        <v>8315203</v>
      </c>
      <c r="B31" s="775">
        <v>2451</v>
      </c>
      <c r="C31" s="776" t="s">
        <v>255</v>
      </c>
      <c r="D31" s="777" t="s">
        <v>209</v>
      </c>
      <c r="E31" s="778" t="s">
        <v>30</v>
      </c>
      <c r="F31" s="779">
        <v>76</v>
      </c>
      <c r="G31" s="780"/>
      <c r="H31" s="781">
        <v>89</v>
      </c>
      <c r="I31" s="781">
        <v>70</v>
      </c>
      <c r="J31" s="781"/>
      <c r="K31" s="781">
        <v>66</v>
      </c>
      <c r="L31" s="781">
        <v>60</v>
      </c>
      <c r="M31" s="781">
        <v>59</v>
      </c>
      <c r="N31" s="781">
        <v>52</v>
      </c>
      <c r="O31" s="781"/>
      <c r="P31" s="781">
        <v>0</v>
      </c>
      <c r="Q31" s="781">
        <v>0</v>
      </c>
      <c r="R31" s="781">
        <v>0</v>
      </c>
      <c r="S31" s="781"/>
      <c r="T31" s="781">
        <v>0</v>
      </c>
      <c r="U31" s="781">
        <v>0</v>
      </c>
      <c r="V31" s="781"/>
      <c r="W31" s="781">
        <v>0</v>
      </c>
      <c r="X31" s="781">
        <v>0</v>
      </c>
      <c r="Y31" s="782">
        <v>0</v>
      </c>
      <c r="Z31" s="783">
        <f t="shared" si="0"/>
        <v>472</v>
      </c>
      <c r="AA31" s="769">
        <f t="shared" si="5"/>
        <v>0</v>
      </c>
      <c r="AB31" s="769">
        <f t="shared" si="6"/>
        <v>0</v>
      </c>
      <c r="AC31" s="770">
        <f t="shared" si="1"/>
        <v>472</v>
      </c>
      <c r="AD31" s="784">
        <f t="shared" si="2"/>
        <v>0</v>
      </c>
      <c r="AE31" s="785">
        <f t="shared" si="3"/>
        <v>472</v>
      </c>
      <c r="AG31" s="773">
        <f t="shared" si="7"/>
        <v>76</v>
      </c>
      <c r="AH31" s="773">
        <f t="shared" si="4"/>
        <v>159</v>
      </c>
      <c r="AI31" s="773">
        <f t="shared" si="8"/>
        <v>237</v>
      </c>
      <c r="AJ31" s="773">
        <f t="shared" si="9"/>
        <v>0</v>
      </c>
      <c r="AK31" s="773">
        <f t="shared" si="10"/>
        <v>0</v>
      </c>
      <c r="AL31" s="773">
        <f t="shared" si="11"/>
        <v>0</v>
      </c>
      <c r="AM31" s="774">
        <f t="shared" si="12"/>
        <v>472</v>
      </c>
      <c r="AN31" s="773">
        <f t="shared" si="13"/>
        <v>472</v>
      </c>
    </row>
    <row r="32" spans="1:40" s="745" customFormat="1" ht="13.5" thickBot="1" x14ac:dyDescent="0.25">
      <c r="A32" s="758">
        <v>8312451</v>
      </c>
      <c r="B32" s="775">
        <v>4002</v>
      </c>
      <c r="C32" s="776" t="s">
        <v>192</v>
      </c>
      <c r="D32" s="777"/>
      <c r="E32" s="778" t="s">
        <v>438</v>
      </c>
      <c r="F32" s="779">
        <v>0</v>
      </c>
      <c r="G32" s="780"/>
      <c r="H32" s="781">
        <v>0</v>
      </c>
      <c r="I32" s="781">
        <v>0</v>
      </c>
      <c r="J32" s="781"/>
      <c r="K32" s="781">
        <v>0</v>
      </c>
      <c r="L32" s="781">
        <v>0</v>
      </c>
      <c r="M32" s="781">
        <v>0</v>
      </c>
      <c r="N32" s="781">
        <v>0</v>
      </c>
      <c r="O32" s="781"/>
      <c r="P32" s="781">
        <v>176</v>
      </c>
      <c r="Q32" s="781">
        <v>125</v>
      </c>
      <c r="R32" s="781">
        <v>142</v>
      </c>
      <c r="S32" s="781"/>
      <c r="T32" s="781">
        <v>141</v>
      </c>
      <c r="U32" s="781">
        <v>194</v>
      </c>
      <c r="V32" s="781"/>
      <c r="W32" s="781">
        <v>0</v>
      </c>
      <c r="X32" s="781">
        <v>0</v>
      </c>
      <c r="Y32" s="782">
        <v>0</v>
      </c>
      <c r="Z32" s="783">
        <f t="shared" si="0"/>
        <v>0</v>
      </c>
      <c r="AA32" s="769">
        <f t="shared" si="5"/>
        <v>443</v>
      </c>
      <c r="AB32" s="769">
        <f t="shared" si="6"/>
        <v>335</v>
      </c>
      <c r="AC32" s="770">
        <f t="shared" si="1"/>
        <v>778</v>
      </c>
      <c r="AD32" s="784">
        <f t="shared" si="2"/>
        <v>0</v>
      </c>
      <c r="AE32" s="785">
        <f t="shared" si="3"/>
        <v>778</v>
      </c>
      <c r="AG32" s="773">
        <f t="shared" si="7"/>
        <v>0</v>
      </c>
      <c r="AH32" s="773">
        <f t="shared" si="4"/>
        <v>0</v>
      </c>
      <c r="AI32" s="773">
        <f t="shared" si="8"/>
        <v>0</v>
      </c>
      <c r="AJ32" s="773">
        <f t="shared" si="9"/>
        <v>443</v>
      </c>
      <c r="AK32" s="773">
        <f t="shared" si="10"/>
        <v>335</v>
      </c>
      <c r="AL32" s="773">
        <f t="shared" si="11"/>
        <v>0</v>
      </c>
      <c r="AM32" s="774">
        <f t="shared" si="12"/>
        <v>778</v>
      </c>
      <c r="AN32" s="773">
        <f t="shared" si="13"/>
        <v>778</v>
      </c>
    </row>
    <row r="33" spans="1:40" s="745" customFormat="1" ht="13.5" thickBot="1" x14ac:dyDescent="0.25">
      <c r="A33" s="758">
        <v>8314002</v>
      </c>
      <c r="B33" s="775">
        <v>2430</v>
      </c>
      <c r="C33" s="776" t="s">
        <v>255</v>
      </c>
      <c r="D33" s="777" t="s">
        <v>228</v>
      </c>
      <c r="E33" s="778" t="s">
        <v>437</v>
      </c>
      <c r="F33" s="779">
        <v>22</v>
      </c>
      <c r="G33" s="780"/>
      <c r="H33" s="781">
        <v>18</v>
      </c>
      <c r="I33" s="781">
        <v>20</v>
      </c>
      <c r="J33" s="781"/>
      <c r="K33" s="781">
        <v>18</v>
      </c>
      <c r="L33" s="781">
        <v>16</v>
      </c>
      <c r="M33" s="781">
        <v>7</v>
      </c>
      <c r="N33" s="781">
        <v>19</v>
      </c>
      <c r="O33" s="781"/>
      <c r="P33" s="781">
        <v>0</v>
      </c>
      <c r="Q33" s="781">
        <v>0</v>
      </c>
      <c r="R33" s="781">
        <v>0</v>
      </c>
      <c r="S33" s="781"/>
      <c r="T33" s="781">
        <v>0</v>
      </c>
      <c r="U33" s="781">
        <v>0</v>
      </c>
      <c r="V33" s="781"/>
      <c r="W33" s="781">
        <v>0</v>
      </c>
      <c r="X33" s="781">
        <v>0</v>
      </c>
      <c r="Y33" s="782">
        <v>0</v>
      </c>
      <c r="Z33" s="783">
        <f t="shared" si="0"/>
        <v>120</v>
      </c>
      <c r="AA33" s="769">
        <f t="shared" si="5"/>
        <v>0</v>
      </c>
      <c r="AB33" s="769">
        <f t="shared" si="6"/>
        <v>0</v>
      </c>
      <c r="AC33" s="770">
        <f t="shared" si="1"/>
        <v>120</v>
      </c>
      <c r="AD33" s="784">
        <f t="shared" si="2"/>
        <v>0</v>
      </c>
      <c r="AE33" s="785">
        <f t="shared" si="3"/>
        <v>120</v>
      </c>
      <c r="AG33" s="773">
        <f t="shared" si="7"/>
        <v>22</v>
      </c>
      <c r="AH33" s="773">
        <f t="shared" si="4"/>
        <v>38</v>
      </c>
      <c r="AI33" s="773">
        <f t="shared" si="8"/>
        <v>60</v>
      </c>
      <c r="AJ33" s="773">
        <f t="shared" si="9"/>
        <v>0</v>
      </c>
      <c r="AK33" s="773">
        <f t="shared" si="10"/>
        <v>0</v>
      </c>
      <c r="AL33" s="773">
        <f t="shared" si="11"/>
        <v>0</v>
      </c>
      <c r="AM33" s="774">
        <f t="shared" si="12"/>
        <v>120</v>
      </c>
      <c r="AN33" s="773">
        <f t="shared" si="13"/>
        <v>120</v>
      </c>
    </row>
    <row r="34" spans="1:40" s="745" customFormat="1" ht="13.5" thickBot="1" x14ac:dyDescent="0.25">
      <c r="A34" s="758">
        <v>8312430</v>
      </c>
      <c r="B34" s="775">
        <v>4608</v>
      </c>
      <c r="C34" s="776" t="s">
        <v>192</v>
      </c>
      <c r="D34" s="777" t="s">
        <v>638</v>
      </c>
      <c r="E34" s="778" t="s">
        <v>883</v>
      </c>
      <c r="F34" s="779">
        <v>0</v>
      </c>
      <c r="G34" s="780"/>
      <c r="H34" s="781">
        <v>0</v>
      </c>
      <c r="I34" s="781">
        <v>0</v>
      </c>
      <c r="J34" s="781"/>
      <c r="K34" s="781">
        <v>0</v>
      </c>
      <c r="L34" s="781">
        <v>0</v>
      </c>
      <c r="M34" s="781">
        <v>0</v>
      </c>
      <c r="N34" s="781">
        <v>0</v>
      </c>
      <c r="O34" s="781"/>
      <c r="P34" s="781">
        <v>116</v>
      </c>
      <c r="Q34" s="781">
        <v>96</v>
      </c>
      <c r="R34" s="781">
        <v>108</v>
      </c>
      <c r="S34" s="781">
        <v>-1</v>
      </c>
      <c r="T34" s="781">
        <v>117</v>
      </c>
      <c r="U34" s="781">
        <v>119</v>
      </c>
      <c r="V34" s="781">
        <v>-1</v>
      </c>
      <c r="W34" s="781">
        <v>0</v>
      </c>
      <c r="X34" s="781">
        <v>0</v>
      </c>
      <c r="Y34" s="782">
        <v>0</v>
      </c>
      <c r="Z34" s="783">
        <f t="shared" si="0"/>
        <v>0</v>
      </c>
      <c r="AA34" s="769">
        <f t="shared" si="5"/>
        <v>319</v>
      </c>
      <c r="AB34" s="769">
        <f t="shared" si="6"/>
        <v>235</v>
      </c>
      <c r="AC34" s="770">
        <f t="shared" si="1"/>
        <v>554</v>
      </c>
      <c r="AD34" s="784">
        <f t="shared" si="2"/>
        <v>0</v>
      </c>
      <c r="AE34" s="785">
        <f t="shared" si="3"/>
        <v>554</v>
      </c>
      <c r="AG34" s="773">
        <f t="shared" si="7"/>
        <v>0</v>
      </c>
      <c r="AH34" s="773">
        <f t="shared" si="4"/>
        <v>0</v>
      </c>
      <c r="AI34" s="773">
        <f t="shared" si="8"/>
        <v>0</v>
      </c>
      <c r="AJ34" s="773">
        <f t="shared" si="9"/>
        <v>319</v>
      </c>
      <c r="AK34" s="773">
        <f t="shared" si="10"/>
        <v>235</v>
      </c>
      <c r="AL34" s="773">
        <f t="shared" si="11"/>
        <v>0</v>
      </c>
      <c r="AM34" s="774">
        <f t="shared" si="12"/>
        <v>554</v>
      </c>
      <c r="AN34" s="773">
        <f t="shared" si="13"/>
        <v>554</v>
      </c>
    </row>
    <row r="35" spans="1:40" s="745" customFormat="1" ht="13.5" thickBot="1" x14ac:dyDescent="0.25">
      <c r="A35" s="758">
        <v>8314608</v>
      </c>
      <c r="B35" s="775">
        <v>2409</v>
      </c>
      <c r="C35" s="776" t="s">
        <v>255</v>
      </c>
      <c r="D35" s="777" t="s">
        <v>617</v>
      </c>
      <c r="E35" s="778" t="s">
        <v>31</v>
      </c>
      <c r="F35" s="779">
        <v>75</v>
      </c>
      <c r="G35" s="780"/>
      <c r="H35" s="781">
        <v>76</v>
      </c>
      <c r="I35" s="781">
        <v>74</v>
      </c>
      <c r="J35" s="781"/>
      <c r="K35" s="781">
        <v>84</v>
      </c>
      <c r="L35" s="781">
        <v>81</v>
      </c>
      <c r="M35" s="781">
        <v>80</v>
      </c>
      <c r="N35" s="781">
        <v>82</v>
      </c>
      <c r="O35" s="781"/>
      <c r="P35" s="781">
        <v>0</v>
      </c>
      <c r="Q35" s="781">
        <v>0</v>
      </c>
      <c r="R35" s="781">
        <v>0</v>
      </c>
      <c r="S35" s="781"/>
      <c r="T35" s="781">
        <v>0</v>
      </c>
      <c r="U35" s="781">
        <v>0</v>
      </c>
      <c r="V35" s="781"/>
      <c r="W35" s="781">
        <v>0</v>
      </c>
      <c r="X35" s="781">
        <v>0</v>
      </c>
      <c r="Y35" s="782">
        <v>0</v>
      </c>
      <c r="Z35" s="783">
        <f t="shared" ref="Z35:Z59" si="14">SUM(F35:O35)</f>
        <v>552</v>
      </c>
      <c r="AA35" s="769">
        <f t="shared" si="5"/>
        <v>0</v>
      </c>
      <c r="AB35" s="769">
        <f t="shared" si="6"/>
        <v>0</v>
      </c>
      <c r="AC35" s="770">
        <f t="shared" si="1"/>
        <v>552</v>
      </c>
      <c r="AD35" s="784">
        <f t="shared" si="2"/>
        <v>0</v>
      </c>
      <c r="AE35" s="785">
        <f t="shared" si="3"/>
        <v>552</v>
      </c>
      <c r="AG35" s="773">
        <f t="shared" si="7"/>
        <v>75</v>
      </c>
      <c r="AH35" s="773">
        <f t="shared" si="4"/>
        <v>150</v>
      </c>
      <c r="AI35" s="773">
        <f t="shared" si="8"/>
        <v>327</v>
      </c>
      <c r="AJ35" s="773">
        <f t="shared" si="9"/>
        <v>0</v>
      </c>
      <c r="AK35" s="773">
        <f t="shared" si="10"/>
        <v>0</v>
      </c>
      <c r="AL35" s="773">
        <f t="shared" si="11"/>
        <v>0</v>
      </c>
      <c r="AM35" s="774">
        <f t="shared" si="12"/>
        <v>552</v>
      </c>
      <c r="AN35" s="773">
        <f t="shared" si="13"/>
        <v>552</v>
      </c>
    </row>
    <row r="36" spans="1:40" s="745" customFormat="1" ht="13.5" thickBot="1" x14ac:dyDescent="0.25">
      <c r="A36" s="758">
        <v>8312409</v>
      </c>
      <c r="B36" s="775">
        <v>4178</v>
      </c>
      <c r="C36" s="776" t="s">
        <v>192</v>
      </c>
      <c r="D36" s="777" t="s">
        <v>640</v>
      </c>
      <c r="E36" s="778" t="s">
        <v>111</v>
      </c>
      <c r="F36" s="779">
        <v>0</v>
      </c>
      <c r="G36" s="780"/>
      <c r="H36" s="781">
        <v>0</v>
      </c>
      <c r="I36" s="781">
        <v>0</v>
      </c>
      <c r="J36" s="781"/>
      <c r="K36" s="781">
        <v>0</v>
      </c>
      <c r="L36" s="781">
        <v>0</v>
      </c>
      <c r="M36" s="781">
        <v>0</v>
      </c>
      <c r="N36" s="781">
        <v>0</v>
      </c>
      <c r="O36" s="781"/>
      <c r="P36" s="781">
        <v>261</v>
      </c>
      <c r="Q36" s="781">
        <v>266</v>
      </c>
      <c r="R36" s="781">
        <v>260</v>
      </c>
      <c r="S36" s="781"/>
      <c r="T36" s="781">
        <v>260</v>
      </c>
      <c r="U36" s="781">
        <v>261</v>
      </c>
      <c r="V36" s="781"/>
      <c r="W36" s="781">
        <v>125</v>
      </c>
      <c r="X36" s="781">
        <v>100</v>
      </c>
      <c r="Y36" s="782">
        <v>0</v>
      </c>
      <c r="Z36" s="783">
        <f t="shared" si="14"/>
        <v>0</v>
      </c>
      <c r="AA36" s="769">
        <f t="shared" si="5"/>
        <v>787</v>
      </c>
      <c r="AB36" s="769">
        <f t="shared" si="6"/>
        <v>521</v>
      </c>
      <c r="AC36" s="770">
        <f t="shared" si="1"/>
        <v>1308</v>
      </c>
      <c r="AD36" s="784">
        <f t="shared" si="2"/>
        <v>225</v>
      </c>
      <c r="AE36" s="785">
        <f t="shared" si="3"/>
        <v>1533</v>
      </c>
      <c r="AG36" s="773">
        <f t="shared" si="7"/>
        <v>0</v>
      </c>
      <c r="AH36" s="773">
        <f t="shared" si="4"/>
        <v>0</v>
      </c>
      <c r="AI36" s="773">
        <f t="shared" si="8"/>
        <v>0</v>
      </c>
      <c r="AJ36" s="773">
        <f t="shared" si="9"/>
        <v>787</v>
      </c>
      <c r="AK36" s="773">
        <f t="shared" si="10"/>
        <v>521</v>
      </c>
      <c r="AL36" s="773">
        <f t="shared" si="11"/>
        <v>225</v>
      </c>
      <c r="AM36" s="774">
        <f t="shared" si="12"/>
        <v>1308</v>
      </c>
      <c r="AN36" s="773">
        <f t="shared" si="13"/>
        <v>1533</v>
      </c>
    </row>
    <row r="37" spans="1:40" s="745" customFormat="1" ht="13.5" thickBot="1" x14ac:dyDescent="0.25">
      <c r="A37" s="758">
        <v>8314178</v>
      </c>
      <c r="B37" s="775">
        <v>1105</v>
      </c>
      <c r="C37" s="776" t="s">
        <v>884</v>
      </c>
      <c r="D37" s="777"/>
      <c r="E37" s="778" t="s">
        <v>885</v>
      </c>
      <c r="F37" s="779">
        <v>0</v>
      </c>
      <c r="G37" s="780"/>
      <c r="H37" s="781">
        <v>0</v>
      </c>
      <c r="I37" s="781">
        <v>0</v>
      </c>
      <c r="J37" s="781"/>
      <c r="K37" s="781">
        <v>0</v>
      </c>
      <c r="L37" s="781">
        <v>0</v>
      </c>
      <c r="M37" s="781">
        <v>0</v>
      </c>
      <c r="N37" s="781">
        <v>0</v>
      </c>
      <c r="O37" s="781"/>
      <c r="P37" s="781">
        <v>0</v>
      </c>
      <c r="Q37" s="781">
        <v>0</v>
      </c>
      <c r="R37" s="781">
        <v>0</v>
      </c>
      <c r="S37" s="781"/>
      <c r="T37" s="781">
        <v>4</v>
      </c>
      <c r="U37" s="781">
        <v>0</v>
      </c>
      <c r="V37" s="791"/>
      <c r="W37" s="781">
        <v>0</v>
      </c>
      <c r="X37" s="781">
        <v>0</v>
      </c>
      <c r="Y37" s="782">
        <v>0</v>
      </c>
      <c r="Z37" s="783">
        <f t="shared" si="14"/>
        <v>0</v>
      </c>
      <c r="AA37" s="769">
        <f t="shared" si="5"/>
        <v>0</v>
      </c>
      <c r="AB37" s="769">
        <f t="shared" si="6"/>
        <v>4</v>
      </c>
      <c r="AC37" s="770">
        <f t="shared" si="1"/>
        <v>4</v>
      </c>
      <c r="AD37" s="784">
        <f t="shared" si="2"/>
        <v>0</v>
      </c>
      <c r="AE37" s="785">
        <f t="shared" si="3"/>
        <v>4</v>
      </c>
      <c r="AG37" s="773">
        <f t="shared" si="7"/>
        <v>0</v>
      </c>
      <c r="AH37" s="773">
        <f t="shared" si="4"/>
        <v>0</v>
      </c>
      <c r="AI37" s="773">
        <f t="shared" si="8"/>
        <v>0</v>
      </c>
      <c r="AJ37" s="773">
        <f t="shared" si="9"/>
        <v>0</v>
      </c>
      <c r="AK37" s="773">
        <f t="shared" si="10"/>
        <v>4</v>
      </c>
      <c r="AL37" s="773">
        <f t="shared" si="11"/>
        <v>0</v>
      </c>
      <c r="AM37" s="774">
        <f t="shared" si="12"/>
        <v>4</v>
      </c>
      <c r="AN37" s="773">
        <f t="shared" si="13"/>
        <v>4</v>
      </c>
    </row>
    <row r="38" spans="1:40" s="745" customFormat="1" ht="13.5" thickBot="1" x14ac:dyDescent="0.25">
      <c r="A38" s="758">
        <v>8312619</v>
      </c>
      <c r="B38" s="775">
        <v>2619</v>
      </c>
      <c r="C38" s="776" t="s">
        <v>255</v>
      </c>
      <c r="D38" s="777" t="s">
        <v>210</v>
      </c>
      <c r="E38" s="778" t="s">
        <v>32</v>
      </c>
      <c r="F38" s="779">
        <v>32</v>
      </c>
      <c r="G38" s="780"/>
      <c r="H38" s="781">
        <v>27</v>
      </c>
      <c r="I38" s="781">
        <v>39</v>
      </c>
      <c r="J38" s="781"/>
      <c r="K38" s="781">
        <v>29</v>
      </c>
      <c r="L38" s="781">
        <v>25</v>
      </c>
      <c r="M38" s="781">
        <v>25</v>
      </c>
      <c r="N38" s="781">
        <v>27</v>
      </c>
      <c r="O38" s="781"/>
      <c r="P38" s="781">
        <v>0</v>
      </c>
      <c r="Q38" s="781">
        <v>0</v>
      </c>
      <c r="R38" s="781">
        <v>0</v>
      </c>
      <c r="S38" s="781"/>
      <c r="T38" s="781">
        <v>0</v>
      </c>
      <c r="U38" s="781">
        <v>0</v>
      </c>
      <c r="V38" s="781"/>
      <c r="W38" s="781">
        <v>0</v>
      </c>
      <c r="X38" s="781">
        <v>0</v>
      </c>
      <c r="Y38" s="782">
        <v>0</v>
      </c>
      <c r="Z38" s="783">
        <f t="shared" si="14"/>
        <v>204</v>
      </c>
      <c r="AA38" s="769">
        <f t="shared" si="5"/>
        <v>0</v>
      </c>
      <c r="AB38" s="769">
        <f t="shared" si="6"/>
        <v>0</v>
      </c>
      <c r="AC38" s="770">
        <f t="shared" si="1"/>
        <v>204</v>
      </c>
      <c r="AD38" s="784">
        <f t="shared" si="2"/>
        <v>0</v>
      </c>
      <c r="AE38" s="785">
        <f t="shared" si="3"/>
        <v>204</v>
      </c>
      <c r="AG38" s="773">
        <f t="shared" si="7"/>
        <v>32</v>
      </c>
      <c r="AH38" s="773">
        <f t="shared" si="4"/>
        <v>66</v>
      </c>
      <c r="AI38" s="773">
        <f t="shared" si="8"/>
        <v>106</v>
      </c>
      <c r="AJ38" s="773">
        <f t="shared" si="9"/>
        <v>0</v>
      </c>
      <c r="AK38" s="773">
        <f t="shared" si="10"/>
        <v>0</v>
      </c>
      <c r="AL38" s="773">
        <f t="shared" si="11"/>
        <v>0</v>
      </c>
      <c r="AM38" s="774">
        <f t="shared" si="12"/>
        <v>204</v>
      </c>
      <c r="AN38" s="773">
        <f t="shared" si="13"/>
        <v>204</v>
      </c>
    </row>
    <row r="39" spans="1:40" s="745" customFormat="1" ht="13.5" thickBot="1" x14ac:dyDescent="0.25">
      <c r="A39" s="758">
        <v>8312518</v>
      </c>
      <c r="B39" s="775">
        <v>2518</v>
      </c>
      <c r="C39" s="776" t="s">
        <v>255</v>
      </c>
      <c r="D39" s="777" t="s">
        <v>211</v>
      </c>
      <c r="E39" s="778" t="s">
        <v>33</v>
      </c>
      <c r="F39" s="779">
        <v>48</v>
      </c>
      <c r="G39" s="780"/>
      <c r="H39" s="781">
        <v>55</v>
      </c>
      <c r="I39" s="781">
        <v>58</v>
      </c>
      <c r="J39" s="781"/>
      <c r="K39" s="781">
        <v>50</v>
      </c>
      <c r="L39" s="781">
        <v>45</v>
      </c>
      <c r="M39" s="781">
        <v>43</v>
      </c>
      <c r="N39" s="781">
        <v>41</v>
      </c>
      <c r="O39" s="781"/>
      <c r="P39" s="781">
        <v>0</v>
      </c>
      <c r="Q39" s="781">
        <v>0</v>
      </c>
      <c r="R39" s="781">
        <v>0</v>
      </c>
      <c r="S39" s="781"/>
      <c r="T39" s="781">
        <v>0</v>
      </c>
      <c r="U39" s="781">
        <v>0</v>
      </c>
      <c r="V39" s="781"/>
      <c r="W39" s="781">
        <v>0</v>
      </c>
      <c r="X39" s="781">
        <v>0</v>
      </c>
      <c r="Y39" s="782">
        <v>0</v>
      </c>
      <c r="Z39" s="783">
        <f t="shared" si="14"/>
        <v>340</v>
      </c>
      <c r="AA39" s="769">
        <f t="shared" si="5"/>
        <v>0</v>
      </c>
      <c r="AB39" s="769">
        <f t="shared" si="6"/>
        <v>0</v>
      </c>
      <c r="AC39" s="770">
        <f t="shared" si="1"/>
        <v>340</v>
      </c>
      <c r="AD39" s="784">
        <f t="shared" si="2"/>
        <v>0</v>
      </c>
      <c r="AE39" s="785">
        <f t="shared" si="3"/>
        <v>340</v>
      </c>
      <c r="AG39" s="773">
        <f t="shared" si="7"/>
        <v>48</v>
      </c>
      <c r="AH39" s="773">
        <f t="shared" si="4"/>
        <v>113</v>
      </c>
      <c r="AI39" s="773">
        <f t="shared" si="8"/>
        <v>179</v>
      </c>
      <c r="AJ39" s="773">
        <f t="shared" si="9"/>
        <v>0</v>
      </c>
      <c r="AK39" s="773">
        <f t="shared" si="10"/>
        <v>0</v>
      </c>
      <c r="AL39" s="773">
        <f t="shared" si="11"/>
        <v>0</v>
      </c>
      <c r="AM39" s="774">
        <f t="shared" si="12"/>
        <v>340</v>
      </c>
      <c r="AN39" s="773">
        <f t="shared" si="13"/>
        <v>340</v>
      </c>
    </row>
    <row r="40" spans="1:40" s="745" customFormat="1" ht="13.5" thickBot="1" x14ac:dyDescent="0.25">
      <c r="A40" s="758">
        <v>8312457</v>
      </c>
      <c r="B40" s="775">
        <v>2457</v>
      </c>
      <c r="C40" s="776" t="s">
        <v>255</v>
      </c>
      <c r="D40" s="777" t="s">
        <v>618</v>
      </c>
      <c r="E40" s="778" t="s">
        <v>34</v>
      </c>
      <c r="F40" s="779">
        <v>0</v>
      </c>
      <c r="G40" s="780"/>
      <c r="H40" s="781">
        <v>0</v>
      </c>
      <c r="I40" s="781">
        <v>0</v>
      </c>
      <c r="J40" s="781"/>
      <c r="K40" s="781">
        <v>89</v>
      </c>
      <c r="L40" s="781">
        <v>90</v>
      </c>
      <c r="M40" s="781">
        <v>95</v>
      </c>
      <c r="N40" s="781">
        <v>88</v>
      </c>
      <c r="O40" s="781"/>
      <c r="P40" s="781">
        <v>0</v>
      </c>
      <c r="Q40" s="781">
        <v>0</v>
      </c>
      <c r="R40" s="781">
        <v>0</v>
      </c>
      <c r="S40" s="781"/>
      <c r="T40" s="781">
        <v>0</v>
      </c>
      <c r="U40" s="781">
        <v>0</v>
      </c>
      <c r="V40" s="781"/>
      <c r="W40" s="781">
        <v>0</v>
      </c>
      <c r="X40" s="781">
        <v>0</v>
      </c>
      <c r="Y40" s="782">
        <v>0</v>
      </c>
      <c r="Z40" s="792">
        <f t="shared" si="14"/>
        <v>362</v>
      </c>
      <c r="AA40" s="769">
        <f t="shared" si="5"/>
        <v>0</v>
      </c>
      <c r="AB40" s="769">
        <f t="shared" si="6"/>
        <v>0</v>
      </c>
      <c r="AC40" s="770">
        <f t="shared" si="1"/>
        <v>362</v>
      </c>
      <c r="AD40" s="793">
        <f t="shared" si="2"/>
        <v>0</v>
      </c>
      <c r="AE40" s="794">
        <f t="shared" si="3"/>
        <v>362</v>
      </c>
      <c r="AG40" s="773">
        <f t="shared" si="7"/>
        <v>0</v>
      </c>
      <c r="AH40" s="773">
        <f t="shared" si="4"/>
        <v>0</v>
      </c>
      <c r="AI40" s="773">
        <f t="shared" si="8"/>
        <v>362</v>
      </c>
      <c r="AJ40" s="773">
        <f t="shared" si="9"/>
        <v>0</v>
      </c>
      <c r="AK40" s="773">
        <f t="shared" si="10"/>
        <v>0</v>
      </c>
      <c r="AL40" s="773">
        <f t="shared" si="11"/>
        <v>0</v>
      </c>
      <c r="AM40" s="774">
        <f t="shared" si="12"/>
        <v>362</v>
      </c>
      <c r="AN40" s="773">
        <f t="shared" si="13"/>
        <v>362</v>
      </c>
    </row>
    <row r="41" spans="1:40" s="745" customFormat="1" ht="13.5" thickBot="1" x14ac:dyDescent="0.25">
      <c r="A41" s="758">
        <v>8312010</v>
      </c>
      <c r="B41" s="775">
        <v>2010</v>
      </c>
      <c r="C41" s="776" t="s">
        <v>255</v>
      </c>
      <c r="D41" s="777"/>
      <c r="E41" s="778" t="s">
        <v>99</v>
      </c>
      <c r="F41" s="779">
        <v>32</v>
      </c>
      <c r="G41" s="786"/>
      <c r="H41" s="781">
        <v>30</v>
      </c>
      <c r="I41" s="781">
        <v>30</v>
      </c>
      <c r="J41" s="787"/>
      <c r="K41" s="781">
        <v>30</v>
      </c>
      <c r="L41" s="781">
        <v>30</v>
      </c>
      <c r="M41" s="781">
        <v>30</v>
      </c>
      <c r="N41" s="781">
        <v>22</v>
      </c>
      <c r="O41" s="787"/>
      <c r="P41" s="787">
        <v>0</v>
      </c>
      <c r="Q41" s="787">
        <v>0</v>
      </c>
      <c r="R41" s="787">
        <v>0</v>
      </c>
      <c r="S41" s="787"/>
      <c r="T41" s="787">
        <v>0</v>
      </c>
      <c r="U41" s="787">
        <v>0</v>
      </c>
      <c r="V41" s="787"/>
      <c r="W41" s="787">
        <v>0</v>
      </c>
      <c r="X41" s="787">
        <v>0</v>
      </c>
      <c r="Y41" s="788">
        <v>0</v>
      </c>
      <c r="Z41" s="783">
        <f t="shared" si="14"/>
        <v>204</v>
      </c>
      <c r="AA41" s="769">
        <f t="shared" si="5"/>
        <v>0</v>
      </c>
      <c r="AB41" s="769">
        <f t="shared" si="6"/>
        <v>0</v>
      </c>
      <c r="AC41" s="770">
        <f t="shared" si="1"/>
        <v>204</v>
      </c>
      <c r="AD41" s="789">
        <f t="shared" si="2"/>
        <v>0</v>
      </c>
      <c r="AE41" s="785">
        <f t="shared" si="3"/>
        <v>204</v>
      </c>
      <c r="AG41" s="773">
        <f t="shared" si="7"/>
        <v>32</v>
      </c>
      <c r="AH41" s="773">
        <f t="shared" si="4"/>
        <v>60</v>
      </c>
      <c r="AI41" s="773">
        <f t="shared" si="8"/>
        <v>112</v>
      </c>
      <c r="AJ41" s="773">
        <f t="shared" si="9"/>
        <v>0</v>
      </c>
      <c r="AK41" s="773">
        <f t="shared" si="10"/>
        <v>0</v>
      </c>
      <c r="AL41" s="773">
        <f t="shared" si="11"/>
        <v>0</v>
      </c>
      <c r="AM41" s="774">
        <f t="shared" si="12"/>
        <v>204</v>
      </c>
      <c r="AN41" s="773">
        <f t="shared" si="13"/>
        <v>204</v>
      </c>
    </row>
    <row r="42" spans="1:40" s="745" customFormat="1" ht="13.5" thickBot="1" x14ac:dyDescent="0.25">
      <c r="A42" s="758">
        <v>8312002</v>
      </c>
      <c r="B42" s="775">
        <v>2002</v>
      </c>
      <c r="C42" s="776" t="s">
        <v>255</v>
      </c>
      <c r="D42" s="777" t="s">
        <v>212</v>
      </c>
      <c r="E42" s="778" t="s">
        <v>35</v>
      </c>
      <c r="F42" s="779">
        <v>61</v>
      </c>
      <c r="G42" s="780"/>
      <c r="H42" s="781">
        <v>60</v>
      </c>
      <c r="I42" s="781">
        <v>59</v>
      </c>
      <c r="J42" s="781"/>
      <c r="K42" s="781">
        <v>64</v>
      </c>
      <c r="L42" s="781">
        <v>60</v>
      </c>
      <c r="M42" s="781">
        <v>64</v>
      </c>
      <c r="N42" s="781">
        <v>62</v>
      </c>
      <c r="O42" s="781"/>
      <c r="P42" s="781">
        <v>0</v>
      </c>
      <c r="Q42" s="781">
        <v>0</v>
      </c>
      <c r="R42" s="781">
        <v>0</v>
      </c>
      <c r="S42" s="781"/>
      <c r="T42" s="781">
        <v>0</v>
      </c>
      <c r="U42" s="781">
        <v>0</v>
      </c>
      <c r="V42" s="781"/>
      <c r="W42" s="781">
        <v>0</v>
      </c>
      <c r="X42" s="781">
        <v>0</v>
      </c>
      <c r="Y42" s="782">
        <v>0</v>
      </c>
      <c r="Z42" s="783">
        <f t="shared" si="14"/>
        <v>430</v>
      </c>
      <c r="AA42" s="769">
        <f t="shared" si="5"/>
        <v>0</v>
      </c>
      <c r="AB42" s="769">
        <f t="shared" si="6"/>
        <v>0</v>
      </c>
      <c r="AC42" s="770">
        <f t="shared" si="1"/>
        <v>430</v>
      </c>
      <c r="AD42" s="784">
        <f t="shared" si="2"/>
        <v>0</v>
      </c>
      <c r="AE42" s="785">
        <f t="shared" si="3"/>
        <v>430</v>
      </c>
      <c r="AG42" s="773">
        <f t="shared" si="7"/>
        <v>61</v>
      </c>
      <c r="AH42" s="773">
        <f t="shared" si="4"/>
        <v>119</v>
      </c>
      <c r="AI42" s="773">
        <f t="shared" si="8"/>
        <v>250</v>
      </c>
      <c r="AJ42" s="773">
        <f t="shared" si="9"/>
        <v>0</v>
      </c>
      <c r="AK42" s="773">
        <f t="shared" si="10"/>
        <v>0</v>
      </c>
      <c r="AL42" s="773">
        <f t="shared" si="11"/>
        <v>0</v>
      </c>
      <c r="AM42" s="774">
        <f t="shared" si="12"/>
        <v>430</v>
      </c>
      <c r="AN42" s="773">
        <f t="shared" si="13"/>
        <v>430</v>
      </c>
    </row>
    <row r="43" spans="1:40" s="745" customFormat="1" ht="13.5" thickBot="1" x14ac:dyDescent="0.25">
      <c r="A43" s="758">
        <v>8313544</v>
      </c>
      <c r="B43" s="775">
        <v>3544</v>
      </c>
      <c r="C43" s="776" t="s">
        <v>255</v>
      </c>
      <c r="D43" s="777" t="s">
        <v>213</v>
      </c>
      <c r="E43" s="778" t="s">
        <v>36</v>
      </c>
      <c r="F43" s="779">
        <v>60</v>
      </c>
      <c r="G43" s="780"/>
      <c r="H43" s="781">
        <v>60</v>
      </c>
      <c r="I43" s="781">
        <v>60</v>
      </c>
      <c r="J43" s="781"/>
      <c r="K43" s="781">
        <v>89</v>
      </c>
      <c r="L43" s="781">
        <v>90</v>
      </c>
      <c r="M43" s="781">
        <v>89</v>
      </c>
      <c r="N43" s="781">
        <v>89</v>
      </c>
      <c r="O43" s="781"/>
      <c r="P43" s="781">
        <v>0</v>
      </c>
      <c r="Q43" s="781">
        <v>0</v>
      </c>
      <c r="R43" s="781">
        <v>0</v>
      </c>
      <c r="S43" s="781"/>
      <c r="T43" s="781">
        <v>0</v>
      </c>
      <c r="U43" s="781">
        <v>0</v>
      </c>
      <c r="V43" s="781"/>
      <c r="W43" s="781">
        <v>0</v>
      </c>
      <c r="X43" s="781">
        <v>0</v>
      </c>
      <c r="Y43" s="782">
        <v>0</v>
      </c>
      <c r="Z43" s="792">
        <f t="shared" si="14"/>
        <v>537</v>
      </c>
      <c r="AA43" s="769">
        <f t="shared" si="5"/>
        <v>0</v>
      </c>
      <c r="AB43" s="769">
        <f t="shared" si="6"/>
        <v>0</v>
      </c>
      <c r="AC43" s="770">
        <f t="shared" si="1"/>
        <v>537</v>
      </c>
      <c r="AD43" s="793">
        <f t="shared" si="2"/>
        <v>0</v>
      </c>
      <c r="AE43" s="794">
        <f t="shared" si="3"/>
        <v>537</v>
      </c>
      <c r="AG43" s="773">
        <f t="shared" si="7"/>
        <v>60</v>
      </c>
      <c r="AH43" s="773">
        <f t="shared" si="4"/>
        <v>120</v>
      </c>
      <c r="AI43" s="773">
        <f t="shared" si="8"/>
        <v>357</v>
      </c>
      <c r="AJ43" s="773">
        <f t="shared" si="9"/>
        <v>0</v>
      </c>
      <c r="AK43" s="773">
        <f t="shared" si="10"/>
        <v>0</v>
      </c>
      <c r="AL43" s="773">
        <f t="shared" si="11"/>
        <v>0</v>
      </c>
      <c r="AM43" s="774">
        <f t="shared" si="12"/>
        <v>537</v>
      </c>
      <c r="AN43" s="773">
        <f t="shared" si="13"/>
        <v>537</v>
      </c>
    </row>
    <row r="44" spans="1:40" s="745" customFormat="1" ht="13.5" thickBot="1" x14ac:dyDescent="0.25">
      <c r="A44" s="758">
        <v>8311008</v>
      </c>
      <c r="B44" s="775">
        <v>1008</v>
      </c>
      <c r="C44" s="776" t="s">
        <v>880</v>
      </c>
      <c r="D44" s="777" t="s">
        <v>214</v>
      </c>
      <c r="E44" s="778" t="s">
        <v>5</v>
      </c>
      <c r="F44" s="779">
        <v>0</v>
      </c>
      <c r="G44" s="780"/>
      <c r="H44" s="781">
        <v>0</v>
      </c>
      <c r="I44" s="781">
        <v>0</v>
      </c>
      <c r="J44" s="781"/>
      <c r="K44" s="781">
        <v>0</v>
      </c>
      <c r="L44" s="781">
        <v>0</v>
      </c>
      <c r="M44" s="781">
        <v>0</v>
      </c>
      <c r="N44" s="781">
        <v>0</v>
      </c>
      <c r="O44" s="781"/>
      <c r="P44" s="781">
        <v>0</v>
      </c>
      <c r="Q44" s="781">
        <v>0</v>
      </c>
      <c r="R44" s="781">
        <v>0</v>
      </c>
      <c r="S44" s="781"/>
      <c r="T44" s="781">
        <v>0</v>
      </c>
      <c r="U44" s="781">
        <v>0</v>
      </c>
      <c r="V44" s="781"/>
      <c r="W44" s="781">
        <v>0</v>
      </c>
      <c r="X44" s="781">
        <v>0</v>
      </c>
      <c r="Y44" s="782">
        <v>0</v>
      </c>
      <c r="Z44" s="783">
        <f t="shared" si="14"/>
        <v>0</v>
      </c>
      <c r="AA44" s="769">
        <f t="shared" si="5"/>
        <v>0</v>
      </c>
      <c r="AB44" s="769">
        <f t="shared" si="6"/>
        <v>0</v>
      </c>
      <c r="AC44" s="770">
        <f t="shared" si="1"/>
        <v>0</v>
      </c>
      <c r="AD44" s="784">
        <f t="shared" si="2"/>
        <v>0</v>
      </c>
      <c r="AE44" s="785">
        <f t="shared" si="3"/>
        <v>0</v>
      </c>
      <c r="AG44" s="773">
        <f t="shared" si="7"/>
        <v>0</v>
      </c>
      <c r="AH44" s="773">
        <f t="shared" si="4"/>
        <v>0</v>
      </c>
      <c r="AI44" s="773">
        <f t="shared" si="8"/>
        <v>0</v>
      </c>
      <c r="AJ44" s="773">
        <f t="shared" si="9"/>
        <v>0</v>
      </c>
      <c r="AK44" s="773">
        <f t="shared" si="10"/>
        <v>0</v>
      </c>
      <c r="AL44" s="773">
        <f t="shared" si="11"/>
        <v>0</v>
      </c>
      <c r="AM44" s="774">
        <f t="shared" si="12"/>
        <v>0</v>
      </c>
      <c r="AN44" s="773">
        <f t="shared" si="13"/>
        <v>0</v>
      </c>
    </row>
    <row r="45" spans="1:40" s="745" customFormat="1" ht="13.5" thickBot="1" x14ac:dyDescent="0.25">
      <c r="A45" s="758">
        <v>8312006</v>
      </c>
      <c r="B45" s="775">
        <v>2006</v>
      </c>
      <c r="C45" s="776" t="s">
        <v>255</v>
      </c>
      <c r="D45" s="777" t="s">
        <v>215</v>
      </c>
      <c r="E45" s="778" t="s">
        <v>697</v>
      </c>
      <c r="F45" s="779">
        <v>44</v>
      </c>
      <c r="G45" s="780"/>
      <c r="H45" s="781">
        <v>45</v>
      </c>
      <c r="I45" s="781">
        <v>46</v>
      </c>
      <c r="J45" s="781"/>
      <c r="K45" s="781">
        <v>33</v>
      </c>
      <c r="L45" s="781">
        <v>29</v>
      </c>
      <c r="M45" s="781">
        <v>33</v>
      </c>
      <c r="N45" s="781">
        <v>33</v>
      </c>
      <c r="O45" s="781"/>
      <c r="P45" s="781">
        <v>0</v>
      </c>
      <c r="Q45" s="781">
        <v>0</v>
      </c>
      <c r="R45" s="781">
        <v>0</v>
      </c>
      <c r="S45" s="781"/>
      <c r="T45" s="781">
        <v>0</v>
      </c>
      <c r="U45" s="781">
        <v>0</v>
      </c>
      <c r="V45" s="781"/>
      <c r="W45" s="781">
        <v>0</v>
      </c>
      <c r="X45" s="781">
        <v>0</v>
      </c>
      <c r="Y45" s="782">
        <v>0</v>
      </c>
      <c r="Z45" s="783">
        <f t="shared" si="14"/>
        <v>263</v>
      </c>
      <c r="AA45" s="769">
        <f t="shared" si="5"/>
        <v>0</v>
      </c>
      <c r="AB45" s="769">
        <f t="shared" si="6"/>
        <v>0</v>
      </c>
      <c r="AC45" s="770">
        <f t="shared" si="1"/>
        <v>263</v>
      </c>
      <c r="AD45" s="784">
        <f t="shared" si="2"/>
        <v>0</v>
      </c>
      <c r="AE45" s="785">
        <f t="shared" si="3"/>
        <v>263</v>
      </c>
      <c r="AG45" s="773">
        <f t="shared" si="7"/>
        <v>44</v>
      </c>
      <c r="AH45" s="773">
        <f t="shared" si="4"/>
        <v>91</v>
      </c>
      <c r="AI45" s="773">
        <f t="shared" si="8"/>
        <v>128</v>
      </c>
      <c r="AJ45" s="773">
        <f t="shared" si="9"/>
        <v>0</v>
      </c>
      <c r="AK45" s="773">
        <f t="shared" si="10"/>
        <v>0</v>
      </c>
      <c r="AL45" s="773">
        <f t="shared" si="11"/>
        <v>0</v>
      </c>
      <c r="AM45" s="774">
        <f t="shared" si="12"/>
        <v>263</v>
      </c>
      <c r="AN45" s="773">
        <f t="shared" si="13"/>
        <v>263</v>
      </c>
    </row>
    <row r="46" spans="1:40" s="745" customFormat="1" ht="13.5" thickBot="1" x14ac:dyDescent="0.25">
      <c r="A46" s="758">
        <v>8317026</v>
      </c>
      <c r="B46" s="775">
        <v>7026</v>
      </c>
      <c r="C46" s="795" t="s">
        <v>615</v>
      </c>
      <c r="D46" s="777" t="s">
        <v>507</v>
      </c>
      <c r="E46" s="778" t="s">
        <v>506</v>
      </c>
      <c r="F46" s="779">
        <v>7</v>
      </c>
      <c r="G46" s="780"/>
      <c r="H46" s="781">
        <v>8</v>
      </c>
      <c r="I46" s="781">
        <v>7</v>
      </c>
      <c r="J46" s="781"/>
      <c r="K46" s="781">
        <v>5</v>
      </c>
      <c r="L46" s="781">
        <v>5</v>
      </c>
      <c r="M46" s="781">
        <v>5</v>
      </c>
      <c r="N46" s="781">
        <v>5</v>
      </c>
      <c r="O46" s="781"/>
      <c r="P46" s="781">
        <v>6</v>
      </c>
      <c r="Q46" s="781">
        <v>4</v>
      </c>
      <c r="R46" s="781">
        <v>4</v>
      </c>
      <c r="S46" s="781"/>
      <c r="T46" s="781">
        <v>5</v>
      </c>
      <c r="U46" s="781">
        <v>6</v>
      </c>
      <c r="V46" s="781"/>
      <c r="W46" s="781">
        <v>5</v>
      </c>
      <c r="X46" s="781">
        <v>6</v>
      </c>
      <c r="Y46" s="782">
        <v>6</v>
      </c>
      <c r="Z46" s="783">
        <f t="shared" si="14"/>
        <v>42</v>
      </c>
      <c r="AA46" s="769">
        <f t="shared" si="5"/>
        <v>14</v>
      </c>
      <c r="AB46" s="769">
        <f t="shared" si="6"/>
        <v>11</v>
      </c>
      <c r="AC46" s="770">
        <f t="shared" si="1"/>
        <v>67</v>
      </c>
      <c r="AD46" s="784">
        <f t="shared" si="2"/>
        <v>17</v>
      </c>
      <c r="AE46" s="785">
        <f t="shared" si="3"/>
        <v>84</v>
      </c>
      <c r="AG46" s="773">
        <f t="shared" si="7"/>
        <v>7</v>
      </c>
      <c r="AH46" s="773">
        <f t="shared" si="4"/>
        <v>15</v>
      </c>
      <c r="AI46" s="773">
        <f t="shared" si="8"/>
        <v>20</v>
      </c>
      <c r="AJ46" s="773">
        <f t="shared" si="9"/>
        <v>14</v>
      </c>
      <c r="AK46" s="773">
        <f t="shared" si="10"/>
        <v>11</v>
      </c>
      <c r="AL46" s="773">
        <f t="shared" si="11"/>
        <v>17</v>
      </c>
      <c r="AM46" s="774">
        <f t="shared" si="12"/>
        <v>67</v>
      </c>
      <c r="AN46" s="773">
        <f t="shared" si="13"/>
        <v>84</v>
      </c>
    </row>
    <row r="47" spans="1:40" s="745" customFormat="1" ht="13.5" thickBot="1" x14ac:dyDescent="0.25">
      <c r="A47" s="758">
        <v>8317029</v>
      </c>
      <c r="B47" s="775">
        <v>7029</v>
      </c>
      <c r="C47" s="795" t="s">
        <v>615</v>
      </c>
      <c r="D47" s="777">
        <v>3014104</v>
      </c>
      <c r="E47" s="778" t="s">
        <v>886</v>
      </c>
      <c r="F47" s="779">
        <v>0</v>
      </c>
      <c r="G47" s="780"/>
      <c r="H47" s="781">
        <v>0</v>
      </c>
      <c r="I47" s="781">
        <v>0</v>
      </c>
      <c r="J47" s="781"/>
      <c r="K47" s="781">
        <v>0</v>
      </c>
      <c r="L47" s="781">
        <v>0</v>
      </c>
      <c r="M47" s="781">
        <v>0</v>
      </c>
      <c r="N47" s="781">
        <v>0</v>
      </c>
      <c r="O47" s="781"/>
      <c r="P47" s="781">
        <v>1</v>
      </c>
      <c r="Q47" s="781">
        <v>6</v>
      </c>
      <c r="R47" s="781">
        <v>9</v>
      </c>
      <c r="S47" s="781"/>
      <c r="T47" s="781">
        <v>16</v>
      </c>
      <c r="U47" s="781">
        <v>14</v>
      </c>
      <c r="V47" s="781"/>
      <c r="W47" s="781">
        <v>0</v>
      </c>
      <c r="X47" s="781">
        <v>0</v>
      </c>
      <c r="Y47" s="782">
        <v>0</v>
      </c>
      <c r="Z47" s="783">
        <f t="shared" si="14"/>
        <v>0</v>
      </c>
      <c r="AA47" s="769">
        <f t="shared" si="5"/>
        <v>16</v>
      </c>
      <c r="AB47" s="769">
        <f t="shared" si="6"/>
        <v>30</v>
      </c>
      <c r="AC47" s="770">
        <f t="shared" si="1"/>
        <v>46</v>
      </c>
      <c r="AD47" s="784">
        <f t="shared" si="2"/>
        <v>0</v>
      </c>
      <c r="AE47" s="785">
        <f t="shared" si="3"/>
        <v>46</v>
      </c>
      <c r="AG47" s="773">
        <f t="shared" si="7"/>
        <v>0</v>
      </c>
      <c r="AH47" s="773">
        <f t="shared" si="4"/>
        <v>0</v>
      </c>
      <c r="AI47" s="773">
        <f t="shared" si="8"/>
        <v>0</v>
      </c>
      <c r="AJ47" s="773">
        <f t="shared" si="9"/>
        <v>16</v>
      </c>
      <c r="AK47" s="773">
        <f t="shared" si="10"/>
        <v>30</v>
      </c>
      <c r="AL47" s="773">
        <f t="shared" si="11"/>
        <v>0</v>
      </c>
      <c r="AM47" s="774">
        <f t="shared" si="12"/>
        <v>46</v>
      </c>
      <c r="AN47" s="773">
        <f t="shared" si="13"/>
        <v>46</v>
      </c>
    </row>
    <row r="48" spans="1:40" s="745" customFormat="1" ht="13.5" thickBot="1" x14ac:dyDescent="0.25">
      <c r="A48" s="758">
        <v>8312434</v>
      </c>
      <c r="B48" s="775">
        <v>2434</v>
      </c>
      <c r="C48" s="776" t="s">
        <v>255</v>
      </c>
      <c r="D48" s="777" t="s">
        <v>216</v>
      </c>
      <c r="E48" s="778" t="s">
        <v>37</v>
      </c>
      <c r="F48" s="779">
        <v>90</v>
      </c>
      <c r="G48" s="780"/>
      <c r="H48" s="781">
        <v>89</v>
      </c>
      <c r="I48" s="781">
        <v>60</v>
      </c>
      <c r="J48" s="781"/>
      <c r="K48" s="781">
        <v>75</v>
      </c>
      <c r="L48" s="781">
        <v>59</v>
      </c>
      <c r="M48" s="781">
        <v>47</v>
      </c>
      <c r="N48" s="781">
        <v>53</v>
      </c>
      <c r="O48" s="781"/>
      <c r="P48" s="781">
        <v>0</v>
      </c>
      <c r="Q48" s="781">
        <v>0</v>
      </c>
      <c r="R48" s="781">
        <v>0</v>
      </c>
      <c r="S48" s="781"/>
      <c r="T48" s="781">
        <v>0</v>
      </c>
      <c r="U48" s="781">
        <v>0</v>
      </c>
      <c r="V48" s="781"/>
      <c r="W48" s="781">
        <v>0</v>
      </c>
      <c r="X48" s="781">
        <v>0</v>
      </c>
      <c r="Y48" s="782">
        <v>0</v>
      </c>
      <c r="Z48" s="783">
        <f t="shared" si="14"/>
        <v>473</v>
      </c>
      <c r="AA48" s="769">
        <f t="shared" si="5"/>
        <v>0</v>
      </c>
      <c r="AB48" s="769">
        <f t="shared" si="6"/>
        <v>0</v>
      </c>
      <c r="AC48" s="770">
        <f t="shared" si="1"/>
        <v>473</v>
      </c>
      <c r="AD48" s="784">
        <f t="shared" si="2"/>
        <v>0</v>
      </c>
      <c r="AE48" s="785">
        <f t="shared" si="3"/>
        <v>473</v>
      </c>
      <c r="AG48" s="773">
        <f t="shared" si="7"/>
        <v>90</v>
      </c>
      <c r="AH48" s="773">
        <f t="shared" si="4"/>
        <v>149</v>
      </c>
      <c r="AI48" s="773">
        <f t="shared" si="8"/>
        <v>234</v>
      </c>
      <c r="AJ48" s="773">
        <f t="shared" si="9"/>
        <v>0</v>
      </c>
      <c r="AK48" s="773">
        <f t="shared" si="10"/>
        <v>0</v>
      </c>
      <c r="AL48" s="773">
        <f t="shared" si="11"/>
        <v>0</v>
      </c>
      <c r="AM48" s="774">
        <f t="shared" si="12"/>
        <v>473</v>
      </c>
      <c r="AN48" s="773">
        <f t="shared" si="13"/>
        <v>473</v>
      </c>
    </row>
    <row r="49" spans="1:40" s="745" customFormat="1" ht="13.5" thickBot="1" x14ac:dyDescent="0.25">
      <c r="A49" s="758">
        <v>8316905</v>
      </c>
      <c r="B49" s="775">
        <v>6905</v>
      </c>
      <c r="C49" s="776" t="s">
        <v>192</v>
      </c>
      <c r="D49" s="777"/>
      <c r="E49" s="778" t="s">
        <v>439</v>
      </c>
      <c r="F49" s="779">
        <v>0</v>
      </c>
      <c r="G49" s="780"/>
      <c r="H49" s="781">
        <v>0</v>
      </c>
      <c r="I49" s="781">
        <v>0</v>
      </c>
      <c r="J49" s="781"/>
      <c r="K49" s="781">
        <v>0</v>
      </c>
      <c r="L49" s="781">
        <v>0</v>
      </c>
      <c r="M49" s="781">
        <v>0</v>
      </c>
      <c r="N49" s="781">
        <v>0</v>
      </c>
      <c r="O49" s="781"/>
      <c r="P49" s="781">
        <v>170</v>
      </c>
      <c r="Q49" s="781">
        <v>167</v>
      </c>
      <c r="R49" s="781">
        <v>170</v>
      </c>
      <c r="S49" s="781"/>
      <c r="T49" s="781">
        <v>170</v>
      </c>
      <c r="U49" s="781">
        <v>167</v>
      </c>
      <c r="V49" s="781"/>
      <c r="W49" s="781">
        <v>149</v>
      </c>
      <c r="X49" s="781">
        <v>132</v>
      </c>
      <c r="Y49" s="782">
        <v>0</v>
      </c>
      <c r="Z49" s="783">
        <f t="shared" si="14"/>
        <v>0</v>
      </c>
      <c r="AA49" s="769">
        <f t="shared" si="5"/>
        <v>507</v>
      </c>
      <c r="AB49" s="769">
        <f t="shared" si="6"/>
        <v>337</v>
      </c>
      <c r="AC49" s="770">
        <f t="shared" si="1"/>
        <v>844</v>
      </c>
      <c r="AD49" s="784">
        <f t="shared" si="2"/>
        <v>281</v>
      </c>
      <c r="AE49" s="785">
        <f t="shared" si="3"/>
        <v>1125</v>
      </c>
      <c r="AG49" s="773">
        <f t="shared" si="7"/>
        <v>0</v>
      </c>
      <c r="AH49" s="773">
        <f t="shared" si="4"/>
        <v>0</v>
      </c>
      <c r="AI49" s="773">
        <f t="shared" si="8"/>
        <v>0</v>
      </c>
      <c r="AJ49" s="773">
        <f t="shared" si="9"/>
        <v>507</v>
      </c>
      <c r="AK49" s="773">
        <f t="shared" si="10"/>
        <v>337</v>
      </c>
      <c r="AL49" s="773">
        <f t="shared" si="11"/>
        <v>281</v>
      </c>
      <c r="AM49" s="774">
        <f t="shared" si="12"/>
        <v>844</v>
      </c>
      <c r="AN49" s="773">
        <f t="shared" si="13"/>
        <v>1125</v>
      </c>
    </row>
    <row r="50" spans="1:40" s="745" customFormat="1" ht="13.5" thickBot="1" x14ac:dyDescent="0.25">
      <c r="A50" s="758">
        <v>8312009</v>
      </c>
      <c r="B50" s="775">
        <v>2009</v>
      </c>
      <c r="C50" s="776" t="s">
        <v>255</v>
      </c>
      <c r="D50" s="777"/>
      <c r="E50" s="778" t="s">
        <v>887</v>
      </c>
      <c r="F50" s="779">
        <v>41</v>
      </c>
      <c r="G50" s="780"/>
      <c r="H50" s="781">
        <v>39</v>
      </c>
      <c r="I50" s="781">
        <v>40</v>
      </c>
      <c r="J50" s="781"/>
      <c r="K50" s="781">
        <v>39</v>
      </c>
      <c r="L50" s="781">
        <v>42</v>
      </c>
      <c r="M50" s="781">
        <v>41</v>
      </c>
      <c r="N50" s="781">
        <v>42</v>
      </c>
      <c r="O50" s="781"/>
      <c r="P50" s="781">
        <v>0</v>
      </c>
      <c r="Q50" s="781">
        <v>0</v>
      </c>
      <c r="R50" s="781">
        <v>0</v>
      </c>
      <c r="S50" s="781"/>
      <c r="T50" s="781">
        <v>0</v>
      </c>
      <c r="U50" s="781">
        <v>0</v>
      </c>
      <c r="V50" s="781"/>
      <c r="W50" s="781">
        <v>0</v>
      </c>
      <c r="X50" s="781">
        <v>0</v>
      </c>
      <c r="Y50" s="782">
        <v>0</v>
      </c>
      <c r="Z50" s="792">
        <f t="shared" si="14"/>
        <v>284</v>
      </c>
      <c r="AA50" s="769">
        <f t="shared" si="5"/>
        <v>0</v>
      </c>
      <c r="AB50" s="769">
        <f t="shared" si="6"/>
        <v>0</v>
      </c>
      <c r="AC50" s="770">
        <f t="shared" si="1"/>
        <v>284</v>
      </c>
      <c r="AD50" s="793">
        <f t="shared" si="2"/>
        <v>0</v>
      </c>
      <c r="AE50" s="794">
        <f t="shared" si="3"/>
        <v>284</v>
      </c>
      <c r="AG50" s="773">
        <f t="shared" si="7"/>
        <v>41</v>
      </c>
      <c r="AH50" s="773">
        <f t="shared" si="4"/>
        <v>79</v>
      </c>
      <c r="AI50" s="773">
        <f t="shared" si="8"/>
        <v>164</v>
      </c>
      <c r="AJ50" s="773">
        <f t="shared" si="9"/>
        <v>0</v>
      </c>
      <c r="AK50" s="773">
        <f t="shared" si="10"/>
        <v>0</v>
      </c>
      <c r="AL50" s="773">
        <f t="shared" si="11"/>
        <v>0</v>
      </c>
      <c r="AM50" s="774">
        <f t="shared" si="12"/>
        <v>284</v>
      </c>
      <c r="AN50" s="773">
        <f t="shared" si="13"/>
        <v>284</v>
      </c>
    </row>
    <row r="51" spans="1:40" s="745" customFormat="1" ht="13.5" thickBot="1" x14ac:dyDescent="0.25">
      <c r="A51" s="758">
        <v>8312522</v>
      </c>
      <c r="B51" s="775">
        <v>2522</v>
      </c>
      <c r="C51" s="776" t="s">
        <v>255</v>
      </c>
      <c r="D51" s="777" t="s">
        <v>619</v>
      </c>
      <c r="E51" s="778" t="s">
        <v>38</v>
      </c>
      <c r="F51" s="779">
        <v>38</v>
      </c>
      <c r="G51" s="780"/>
      <c r="H51" s="781">
        <v>54</v>
      </c>
      <c r="I51" s="781">
        <v>60</v>
      </c>
      <c r="J51" s="781"/>
      <c r="K51" s="781">
        <v>60</v>
      </c>
      <c r="L51" s="781">
        <v>59</v>
      </c>
      <c r="M51" s="781">
        <v>57</v>
      </c>
      <c r="N51" s="781">
        <v>60</v>
      </c>
      <c r="O51" s="781"/>
      <c r="P51" s="781">
        <v>0</v>
      </c>
      <c r="Q51" s="781">
        <v>0</v>
      </c>
      <c r="R51" s="781">
        <v>0</v>
      </c>
      <c r="S51" s="781"/>
      <c r="T51" s="781">
        <v>0</v>
      </c>
      <c r="U51" s="781">
        <v>0</v>
      </c>
      <c r="V51" s="781"/>
      <c r="W51" s="781">
        <v>0</v>
      </c>
      <c r="X51" s="781">
        <v>0</v>
      </c>
      <c r="Y51" s="782">
        <v>0</v>
      </c>
      <c r="Z51" s="783">
        <f t="shared" si="14"/>
        <v>388</v>
      </c>
      <c r="AA51" s="769">
        <f t="shared" si="5"/>
        <v>0</v>
      </c>
      <c r="AB51" s="769">
        <f t="shared" si="6"/>
        <v>0</v>
      </c>
      <c r="AC51" s="770">
        <f t="shared" si="1"/>
        <v>388</v>
      </c>
      <c r="AD51" s="784">
        <f t="shared" si="2"/>
        <v>0</v>
      </c>
      <c r="AE51" s="785">
        <f t="shared" si="3"/>
        <v>388</v>
      </c>
      <c r="AG51" s="773">
        <f t="shared" si="7"/>
        <v>38</v>
      </c>
      <c r="AH51" s="773">
        <f t="shared" si="4"/>
        <v>114</v>
      </c>
      <c r="AI51" s="773">
        <f t="shared" si="8"/>
        <v>236</v>
      </c>
      <c r="AJ51" s="773">
        <f t="shared" si="9"/>
        <v>0</v>
      </c>
      <c r="AK51" s="773">
        <f t="shared" si="10"/>
        <v>0</v>
      </c>
      <c r="AL51" s="773">
        <f t="shared" si="11"/>
        <v>0</v>
      </c>
      <c r="AM51" s="774">
        <f t="shared" si="12"/>
        <v>388</v>
      </c>
      <c r="AN51" s="773">
        <f t="shared" si="13"/>
        <v>388</v>
      </c>
    </row>
    <row r="52" spans="1:40" s="745" customFormat="1" ht="13.5" thickBot="1" x14ac:dyDescent="0.25">
      <c r="A52" s="758">
        <v>8314181</v>
      </c>
      <c r="B52" s="775">
        <v>4181</v>
      </c>
      <c r="C52" s="776" t="s">
        <v>192</v>
      </c>
      <c r="D52" s="777"/>
      <c r="E52" s="778" t="s">
        <v>888</v>
      </c>
      <c r="F52" s="779">
        <v>0</v>
      </c>
      <c r="G52" s="780"/>
      <c r="H52" s="781">
        <v>0</v>
      </c>
      <c r="I52" s="781">
        <v>0</v>
      </c>
      <c r="J52" s="781"/>
      <c r="K52" s="781">
        <v>0</v>
      </c>
      <c r="L52" s="781">
        <v>0</v>
      </c>
      <c r="M52" s="781">
        <v>0</v>
      </c>
      <c r="N52" s="781">
        <v>0</v>
      </c>
      <c r="O52" s="781"/>
      <c r="P52" s="781">
        <v>219</v>
      </c>
      <c r="Q52" s="781">
        <v>203</v>
      </c>
      <c r="R52" s="781">
        <v>230</v>
      </c>
      <c r="S52" s="781"/>
      <c r="T52" s="781">
        <v>215</v>
      </c>
      <c r="U52" s="781">
        <v>212</v>
      </c>
      <c r="V52" s="781"/>
      <c r="W52" s="781">
        <v>47</v>
      </c>
      <c r="X52" s="781">
        <v>19</v>
      </c>
      <c r="Y52" s="782">
        <v>9</v>
      </c>
      <c r="Z52" s="783">
        <f t="shared" si="14"/>
        <v>0</v>
      </c>
      <c r="AA52" s="769">
        <f t="shared" si="5"/>
        <v>652</v>
      </c>
      <c r="AB52" s="769">
        <f t="shared" si="6"/>
        <v>427</v>
      </c>
      <c r="AC52" s="770">
        <f t="shared" si="1"/>
        <v>1079</v>
      </c>
      <c r="AD52" s="784">
        <f t="shared" si="2"/>
        <v>75</v>
      </c>
      <c r="AE52" s="785">
        <f t="shared" si="3"/>
        <v>1154</v>
      </c>
      <c r="AG52" s="773">
        <f t="shared" si="7"/>
        <v>0</v>
      </c>
      <c r="AH52" s="773">
        <f t="shared" si="4"/>
        <v>0</v>
      </c>
      <c r="AI52" s="773">
        <f t="shared" si="8"/>
        <v>0</v>
      </c>
      <c r="AJ52" s="773">
        <f t="shared" si="9"/>
        <v>652</v>
      </c>
      <c r="AK52" s="773">
        <f t="shared" si="10"/>
        <v>427</v>
      </c>
      <c r="AL52" s="773">
        <f t="shared" si="11"/>
        <v>75</v>
      </c>
      <c r="AM52" s="774">
        <f t="shared" si="12"/>
        <v>1079</v>
      </c>
      <c r="AN52" s="773">
        <f t="shared" si="13"/>
        <v>1154</v>
      </c>
    </row>
    <row r="53" spans="1:40" s="745" customFormat="1" ht="13.5" thickBot="1" x14ac:dyDescent="0.25">
      <c r="A53" s="758">
        <v>8314182</v>
      </c>
      <c r="B53" s="775">
        <v>4182</v>
      </c>
      <c r="C53" s="776" t="s">
        <v>192</v>
      </c>
      <c r="D53" s="777" t="s">
        <v>641</v>
      </c>
      <c r="E53" s="778" t="s">
        <v>70</v>
      </c>
      <c r="F53" s="779">
        <v>0</v>
      </c>
      <c r="G53" s="780"/>
      <c r="H53" s="781">
        <v>0</v>
      </c>
      <c r="I53" s="781">
        <v>0</v>
      </c>
      <c r="J53" s="781"/>
      <c r="K53" s="781">
        <v>0</v>
      </c>
      <c r="L53" s="781">
        <v>0</v>
      </c>
      <c r="M53" s="781">
        <v>0</v>
      </c>
      <c r="N53" s="781">
        <v>0</v>
      </c>
      <c r="O53" s="781"/>
      <c r="P53" s="781">
        <v>295</v>
      </c>
      <c r="Q53" s="781">
        <v>295</v>
      </c>
      <c r="R53" s="781">
        <v>286</v>
      </c>
      <c r="S53" s="781">
        <v>-1</v>
      </c>
      <c r="T53" s="781">
        <v>265</v>
      </c>
      <c r="U53" s="781">
        <v>259</v>
      </c>
      <c r="V53" s="781">
        <v>-1</v>
      </c>
      <c r="W53" s="781">
        <v>158</v>
      </c>
      <c r="X53" s="781">
        <v>135</v>
      </c>
      <c r="Y53" s="782">
        <v>0</v>
      </c>
      <c r="Z53" s="783">
        <f t="shared" si="14"/>
        <v>0</v>
      </c>
      <c r="AA53" s="769">
        <f t="shared" si="5"/>
        <v>875</v>
      </c>
      <c r="AB53" s="769">
        <f t="shared" si="6"/>
        <v>523</v>
      </c>
      <c r="AC53" s="770">
        <f t="shared" si="1"/>
        <v>1398</v>
      </c>
      <c r="AD53" s="784">
        <f t="shared" si="2"/>
        <v>293</v>
      </c>
      <c r="AE53" s="785">
        <f t="shared" si="3"/>
        <v>1691</v>
      </c>
      <c r="AG53" s="773">
        <f t="shared" si="7"/>
        <v>0</v>
      </c>
      <c r="AH53" s="773">
        <f t="shared" si="4"/>
        <v>0</v>
      </c>
      <c r="AI53" s="773">
        <f t="shared" si="8"/>
        <v>0</v>
      </c>
      <c r="AJ53" s="773">
        <f t="shared" si="9"/>
        <v>875</v>
      </c>
      <c r="AK53" s="773">
        <f t="shared" si="10"/>
        <v>523</v>
      </c>
      <c r="AL53" s="773">
        <f t="shared" si="11"/>
        <v>293</v>
      </c>
      <c r="AM53" s="774">
        <f t="shared" si="12"/>
        <v>1398</v>
      </c>
      <c r="AN53" s="773">
        <f t="shared" si="13"/>
        <v>1691</v>
      </c>
    </row>
    <row r="54" spans="1:40" s="745" customFormat="1" ht="13.5" thickBot="1" x14ac:dyDescent="0.25">
      <c r="A54" s="758">
        <v>8311005</v>
      </c>
      <c r="B54" s="775">
        <v>1005</v>
      </c>
      <c r="C54" s="776" t="s">
        <v>880</v>
      </c>
      <c r="D54" s="777" t="s">
        <v>217</v>
      </c>
      <c r="E54" s="778" t="s">
        <v>889</v>
      </c>
      <c r="F54" s="779">
        <v>0</v>
      </c>
      <c r="G54" s="780"/>
      <c r="H54" s="781">
        <v>0</v>
      </c>
      <c r="I54" s="781">
        <v>0</v>
      </c>
      <c r="J54" s="781"/>
      <c r="K54" s="781">
        <v>0</v>
      </c>
      <c r="L54" s="781">
        <v>0</v>
      </c>
      <c r="M54" s="781">
        <v>0</v>
      </c>
      <c r="N54" s="781">
        <v>0</v>
      </c>
      <c r="O54" s="781"/>
      <c r="P54" s="781">
        <v>0</v>
      </c>
      <c r="Q54" s="781">
        <v>0</v>
      </c>
      <c r="R54" s="781">
        <v>0</v>
      </c>
      <c r="S54" s="781"/>
      <c r="T54" s="781">
        <v>0</v>
      </c>
      <c r="U54" s="781">
        <v>0</v>
      </c>
      <c r="V54" s="781"/>
      <c r="W54" s="781">
        <v>0</v>
      </c>
      <c r="X54" s="781">
        <v>0</v>
      </c>
      <c r="Y54" s="782">
        <v>0</v>
      </c>
      <c r="Z54" s="783">
        <f t="shared" si="14"/>
        <v>0</v>
      </c>
      <c r="AA54" s="769">
        <f t="shared" si="5"/>
        <v>0</v>
      </c>
      <c r="AB54" s="769">
        <f t="shared" si="6"/>
        <v>0</v>
      </c>
      <c r="AC54" s="770">
        <f t="shared" si="1"/>
        <v>0</v>
      </c>
      <c r="AD54" s="784">
        <f t="shared" si="2"/>
        <v>0</v>
      </c>
      <c r="AE54" s="785">
        <f t="shared" si="3"/>
        <v>0</v>
      </c>
      <c r="AG54" s="773">
        <f t="shared" si="7"/>
        <v>0</v>
      </c>
      <c r="AH54" s="773">
        <f t="shared" si="4"/>
        <v>0</v>
      </c>
      <c r="AI54" s="773">
        <f t="shared" si="8"/>
        <v>0</v>
      </c>
      <c r="AJ54" s="773">
        <f t="shared" si="9"/>
        <v>0</v>
      </c>
      <c r="AK54" s="773">
        <f t="shared" si="10"/>
        <v>0</v>
      </c>
      <c r="AL54" s="773">
        <f t="shared" si="11"/>
        <v>0</v>
      </c>
      <c r="AM54" s="774">
        <f t="shared" si="12"/>
        <v>0</v>
      </c>
      <c r="AN54" s="773">
        <f t="shared" si="13"/>
        <v>0</v>
      </c>
    </row>
    <row r="55" spans="1:40" s="745" customFormat="1" ht="13.5" thickBot="1" x14ac:dyDescent="0.25">
      <c r="A55" s="758">
        <v>8312436</v>
      </c>
      <c r="B55" s="775">
        <v>2436</v>
      </c>
      <c r="C55" s="776" t="s">
        <v>255</v>
      </c>
      <c r="D55" s="777" t="s">
        <v>620</v>
      </c>
      <c r="E55" s="778" t="s">
        <v>39</v>
      </c>
      <c r="F55" s="779">
        <v>60</v>
      </c>
      <c r="G55" s="780"/>
      <c r="H55" s="781">
        <v>60</v>
      </c>
      <c r="I55" s="781">
        <v>44</v>
      </c>
      <c r="J55" s="781"/>
      <c r="K55" s="781">
        <v>45</v>
      </c>
      <c r="L55" s="781">
        <v>42</v>
      </c>
      <c r="M55" s="781">
        <v>44</v>
      </c>
      <c r="N55" s="781">
        <v>47</v>
      </c>
      <c r="O55" s="781"/>
      <c r="P55" s="781">
        <v>0</v>
      </c>
      <c r="Q55" s="781">
        <v>0</v>
      </c>
      <c r="R55" s="781">
        <v>0</v>
      </c>
      <c r="S55" s="781"/>
      <c r="T55" s="781">
        <v>0</v>
      </c>
      <c r="U55" s="781">
        <v>0</v>
      </c>
      <c r="V55" s="781"/>
      <c r="W55" s="781">
        <v>0</v>
      </c>
      <c r="X55" s="781">
        <v>0</v>
      </c>
      <c r="Y55" s="782">
        <v>0</v>
      </c>
      <c r="Z55" s="783">
        <f t="shared" si="14"/>
        <v>342</v>
      </c>
      <c r="AA55" s="769">
        <f t="shared" si="5"/>
        <v>0</v>
      </c>
      <c r="AB55" s="769">
        <f t="shared" si="6"/>
        <v>0</v>
      </c>
      <c r="AC55" s="770">
        <f t="shared" si="1"/>
        <v>342</v>
      </c>
      <c r="AD55" s="784">
        <f t="shared" si="2"/>
        <v>0</v>
      </c>
      <c r="AE55" s="785">
        <f t="shared" si="3"/>
        <v>342</v>
      </c>
      <c r="AG55" s="773">
        <f t="shared" si="7"/>
        <v>60</v>
      </c>
      <c r="AH55" s="773">
        <f t="shared" si="4"/>
        <v>104</v>
      </c>
      <c r="AI55" s="773">
        <f t="shared" si="8"/>
        <v>178</v>
      </c>
      <c r="AJ55" s="773">
        <f t="shared" si="9"/>
        <v>0</v>
      </c>
      <c r="AK55" s="773">
        <f t="shared" si="10"/>
        <v>0</v>
      </c>
      <c r="AL55" s="773">
        <f t="shared" si="11"/>
        <v>0</v>
      </c>
      <c r="AM55" s="774">
        <f t="shared" si="12"/>
        <v>342</v>
      </c>
      <c r="AN55" s="773">
        <f t="shared" si="13"/>
        <v>342</v>
      </c>
    </row>
    <row r="56" spans="1:40" s="745" customFormat="1" ht="13.5" thickBot="1" x14ac:dyDescent="0.25">
      <c r="A56" s="758">
        <v>8312452</v>
      </c>
      <c r="B56" s="775">
        <v>2452</v>
      </c>
      <c r="C56" s="776" t="s">
        <v>255</v>
      </c>
      <c r="D56" s="777" t="s">
        <v>218</v>
      </c>
      <c r="E56" s="778" t="s">
        <v>40</v>
      </c>
      <c r="F56" s="779">
        <v>25</v>
      </c>
      <c r="G56" s="780"/>
      <c r="H56" s="781">
        <v>29</v>
      </c>
      <c r="I56" s="781">
        <v>28</v>
      </c>
      <c r="J56" s="781"/>
      <c r="K56" s="781">
        <v>32</v>
      </c>
      <c r="L56" s="781">
        <v>28</v>
      </c>
      <c r="M56" s="781">
        <v>25</v>
      </c>
      <c r="N56" s="781">
        <v>35</v>
      </c>
      <c r="O56" s="781"/>
      <c r="P56" s="781">
        <v>0</v>
      </c>
      <c r="Q56" s="781">
        <v>0</v>
      </c>
      <c r="R56" s="781">
        <v>0</v>
      </c>
      <c r="S56" s="781"/>
      <c r="T56" s="781">
        <v>0</v>
      </c>
      <c r="U56" s="781">
        <v>0</v>
      </c>
      <c r="V56" s="781"/>
      <c r="W56" s="781">
        <v>0</v>
      </c>
      <c r="X56" s="781">
        <v>0</v>
      </c>
      <c r="Y56" s="782">
        <v>0</v>
      </c>
      <c r="Z56" s="783">
        <f t="shared" si="14"/>
        <v>202</v>
      </c>
      <c r="AA56" s="769">
        <f t="shared" si="5"/>
        <v>0</v>
      </c>
      <c r="AB56" s="769">
        <f t="shared" si="6"/>
        <v>0</v>
      </c>
      <c r="AC56" s="770">
        <f t="shared" si="1"/>
        <v>202</v>
      </c>
      <c r="AD56" s="784">
        <f t="shared" si="2"/>
        <v>0</v>
      </c>
      <c r="AE56" s="785">
        <f t="shared" si="3"/>
        <v>202</v>
      </c>
      <c r="AG56" s="773">
        <f t="shared" si="7"/>
        <v>25</v>
      </c>
      <c r="AH56" s="773">
        <f t="shared" si="4"/>
        <v>57</v>
      </c>
      <c r="AI56" s="773">
        <f t="shared" si="8"/>
        <v>120</v>
      </c>
      <c r="AJ56" s="773">
        <f t="shared" si="9"/>
        <v>0</v>
      </c>
      <c r="AK56" s="773">
        <f t="shared" si="10"/>
        <v>0</v>
      </c>
      <c r="AL56" s="773">
        <f t="shared" si="11"/>
        <v>0</v>
      </c>
      <c r="AM56" s="774">
        <f t="shared" si="12"/>
        <v>202</v>
      </c>
      <c r="AN56" s="773">
        <f t="shared" si="13"/>
        <v>202</v>
      </c>
    </row>
    <row r="57" spans="1:40" s="745" customFormat="1" ht="13.5" thickBot="1" x14ac:dyDescent="0.25">
      <c r="A57" s="758">
        <v>8314001</v>
      </c>
      <c r="B57" s="775">
        <v>4001</v>
      </c>
      <c r="C57" s="776" t="s">
        <v>192</v>
      </c>
      <c r="D57" s="777"/>
      <c r="E57" s="778" t="s">
        <v>890</v>
      </c>
      <c r="F57" s="779">
        <v>0</v>
      </c>
      <c r="G57" s="786"/>
      <c r="H57" s="781">
        <v>0</v>
      </c>
      <c r="I57" s="781">
        <v>0</v>
      </c>
      <c r="J57" s="787"/>
      <c r="K57" s="781">
        <v>0</v>
      </c>
      <c r="L57" s="781">
        <v>0</v>
      </c>
      <c r="M57" s="781">
        <v>0</v>
      </c>
      <c r="N57" s="781">
        <v>0</v>
      </c>
      <c r="O57" s="787"/>
      <c r="P57" s="787">
        <v>123</v>
      </c>
      <c r="Q57" s="787">
        <v>155</v>
      </c>
      <c r="R57" s="787">
        <v>128</v>
      </c>
      <c r="S57" s="791"/>
      <c r="T57" s="787">
        <v>148</v>
      </c>
      <c r="U57" s="787">
        <v>177</v>
      </c>
      <c r="V57" s="787"/>
      <c r="W57" s="787">
        <v>58</v>
      </c>
      <c r="X57" s="787">
        <v>48</v>
      </c>
      <c r="Y57" s="788">
        <v>6</v>
      </c>
      <c r="Z57" s="783">
        <f t="shared" si="14"/>
        <v>0</v>
      </c>
      <c r="AA57" s="769">
        <f t="shared" si="5"/>
        <v>406</v>
      </c>
      <c r="AB57" s="769">
        <f t="shared" si="6"/>
        <v>325</v>
      </c>
      <c r="AC57" s="770">
        <f t="shared" si="1"/>
        <v>731</v>
      </c>
      <c r="AD57" s="789">
        <f t="shared" si="2"/>
        <v>112</v>
      </c>
      <c r="AE57" s="785">
        <f t="shared" si="3"/>
        <v>843</v>
      </c>
      <c r="AG57" s="773">
        <f t="shared" si="7"/>
        <v>0</v>
      </c>
      <c r="AH57" s="773">
        <f t="shared" si="4"/>
        <v>0</v>
      </c>
      <c r="AI57" s="773">
        <f t="shared" si="8"/>
        <v>0</v>
      </c>
      <c r="AJ57" s="773">
        <f t="shared" si="9"/>
        <v>406</v>
      </c>
      <c r="AK57" s="773">
        <f t="shared" si="10"/>
        <v>325</v>
      </c>
      <c r="AL57" s="773">
        <f t="shared" si="11"/>
        <v>112</v>
      </c>
      <c r="AM57" s="774">
        <f t="shared" si="12"/>
        <v>731</v>
      </c>
      <c r="AN57" s="773">
        <f t="shared" si="13"/>
        <v>843</v>
      </c>
    </row>
    <row r="58" spans="1:40" s="745" customFormat="1" ht="13.5" thickBot="1" x14ac:dyDescent="0.25">
      <c r="A58" s="758">
        <v>8312627</v>
      </c>
      <c r="B58" s="775">
        <v>2627</v>
      </c>
      <c r="C58" s="776" t="s">
        <v>255</v>
      </c>
      <c r="D58" s="777" t="s">
        <v>622</v>
      </c>
      <c r="E58" s="778" t="s">
        <v>41</v>
      </c>
      <c r="F58" s="779">
        <v>60</v>
      </c>
      <c r="G58" s="780"/>
      <c r="H58" s="781">
        <v>58</v>
      </c>
      <c r="I58" s="781">
        <v>56</v>
      </c>
      <c r="J58" s="781"/>
      <c r="K58" s="781">
        <v>60</v>
      </c>
      <c r="L58" s="781">
        <v>52</v>
      </c>
      <c r="M58" s="781">
        <v>51</v>
      </c>
      <c r="N58" s="781">
        <v>55</v>
      </c>
      <c r="O58" s="781"/>
      <c r="P58" s="781">
        <v>0</v>
      </c>
      <c r="Q58" s="781">
        <v>0</v>
      </c>
      <c r="R58" s="781">
        <v>0</v>
      </c>
      <c r="S58" s="781"/>
      <c r="T58" s="781">
        <v>0</v>
      </c>
      <c r="U58" s="781">
        <v>0</v>
      </c>
      <c r="V58" s="781"/>
      <c r="W58" s="781">
        <v>0</v>
      </c>
      <c r="X58" s="781">
        <v>0</v>
      </c>
      <c r="Y58" s="782">
        <v>0</v>
      </c>
      <c r="Z58" s="783">
        <f t="shared" si="14"/>
        <v>392</v>
      </c>
      <c r="AA58" s="769">
        <f t="shared" si="5"/>
        <v>0</v>
      </c>
      <c r="AB58" s="769">
        <f t="shared" si="6"/>
        <v>0</v>
      </c>
      <c r="AC58" s="770">
        <f t="shared" si="1"/>
        <v>392</v>
      </c>
      <c r="AD58" s="784">
        <f t="shared" si="2"/>
        <v>0</v>
      </c>
      <c r="AE58" s="785">
        <f t="shared" si="3"/>
        <v>392</v>
      </c>
      <c r="AG58" s="773">
        <f t="shared" si="7"/>
        <v>60</v>
      </c>
      <c r="AH58" s="773">
        <f t="shared" si="4"/>
        <v>114</v>
      </c>
      <c r="AI58" s="773">
        <f t="shared" si="8"/>
        <v>218</v>
      </c>
      <c r="AJ58" s="773">
        <f t="shared" si="9"/>
        <v>0</v>
      </c>
      <c r="AK58" s="773">
        <f t="shared" si="10"/>
        <v>0</v>
      </c>
      <c r="AL58" s="773">
        <f t="shared" si="11"/>
        <v>0</v>
      </c>
      <c r="AM58" s="774">
        <f t="shared" si="12"/>
        <v>392</v>
      </c>
      <c r="AN58" s="773">
        <f t="shared" si="13"/>
        <v>392</v>
      </c>
    </row>
    <row r="59" spans="1:40" s="745" customFormat="1" ht="13.5" thickBot="1" x14ac:dyDescent="0.25">
      <c r="A59" s="758">
        <v>8315406</v>
      </c>
      <c r="B59" s="775">
        <v>5406</v>
      </c>
      <c r="C59" s="776" t="s">
        <v>192</v>
      </c>
      <c r="D59" s="777" t="s">
        <v>642</v>
      </c>
      <c r="E59" s="778" t="s">
        <v>643</v>
      </c>
      <c r="F59" s="779">
        <v>0</v>
      </c>
      <c r="G59" s="780"/>
      <c r="H59" s="781">
        <v>0</v>
      </c>
      <c r="I59" s="781">
        <v>0</v>
      </c>
      <c r="J59" s="781"/>
      <c r="K59" s="781">
        <v>0</v>
      </c>
      <c r="L59" s="781">
        <v>0</v>
      </c>
      <c r="M59" s="781">
        <v>0</v>
      </c>
      <c r="N59" s="781">
        <v>0</v>
      </c>
      <c r="O59" s="781"/>
      <c r="P59" s="781">
        <v>156</v>
      </c>
      <c r="Q59" s="781">
        <v>163</v>
      </c>
      <c r="R59" s="781">
        <v>160</v>
      </c>
      <c r="S59" s="781"/>
      <c r="T59" s="781">
        <v>176</v>
      </c>
      <c r="U59" s="781">
        <v>200</v>
      </c>
      <c r="V59" s="791"/>
      <c r="W59" s="781">
        <v>0</v>
      </c>
      <c r="X59" s="781">
        <v>0</v>
      </c>
      <c r="Y59" s="782">
        <v>0</v>
      </c>
      <c r="Z59" s="783">
        <f t="shared" si="14"/>
        <v>0</v>
      </c>
      <c r="AA59" s="769">
        <f t="shared" si="5"/>
        <v>479</v>
      </c>
      <c r="AB59" s="769">
        <f t="shared" si="6"/>
        <v>376</v>
      </c>
      <c r="AC59" s="770">
        <f t="shared" si="1"/>
        <v>855</v>
      </c>
      <c r="AD59" s="784">
        <f t="shared" si="2"/>
        <v>0</v>
      </c>
      <c r="AE59" s="785">
        <f t="shared" si="3"/>
        <v>855</v>
      </c>
      <c r="AG59" s="773">
        <f t="shared" si="7"/>
        <v>0</v>
      </c>
      <c r="AH59" s="773">
        <f t="shared" si="4"/>
        <v>0</v>
      </c>
      <c r="AI59" s="773">
        <f t="shared" si="8"/>
        <v>0</v>
      </c>
      <c r="AJ59" s="773">
        <f t="shared" si="9"/>
        <v>479</v>
      </c>
      <c r="AK59" s="773">
        <f t="shared" si="10"/>
        <v>376</v>
      </c>
      <c r="AL59" s="773">
        <f t="shared" si="11"/>
        <v>0</v>
      </c>
      <c r="AM59" s="774">
        <f t="shared" si="12"/>
        <v>855</v>
      </c>
      <c r="AN59" s="773">
        <f t="shared" si="13"/>
        <v>855</v>
      </c>
    </row>
    <row r="60" spans="1:40" s="745" customFormat="1" ht="13.5" thickBot="1" x14ac:dyDescent="0.25">
      <c r="A60" s="758">
        <v>8311104</v>
      </c>
      <c r="B60" s="775">
        <v>1104</v>
      </c>
      <c r="C60" s="776" t="s">
        <v>884</v>
      </c>
      <c r="D60" s="777">
        <v>3014103</v>
      </c>
      <c r="E60" s="778" t="s">
        <v>891</v>
      </c>
      <c r="F60" s="779">
        <v>0</v>
      </c>
      <c r="G60" s="780"/>
      <c r="H60" s="781">
        <v>0</v>
      </c>
      <c r="I60" s="781">
        <v>3</v>
      </c>
      <c r="J60" s="781"/>
      <c r="K60" s="781">
        <v>0</v>
      </c>
      <c r="L60" s="781">
        <v>5</v>
      </c>
      <c r="M60" s="781">
        <v>7</v>
      </c>
      <c r="N60" s="781">
        <v>4</v>
      </c>
      <c r="O60" s="781"/>
      <c r="P60" s="781">
        <v>0</v>
      </c>
      <c r="Q60" s="781">
        <v>0</v>
      </c>
      <c r="R60" s="781">
        <v>0</v>
      </c>
      <c r="S60" s="781"/>
      <c r="T60" s="781">
        <v>0</v>
      </c>
      <c r="U60" s="781">
        <v>0</v>
      </c>
      <c r="V60" s="781"/>
      <c r="W60" s="781">
        <v>0</v>
      </c>
      <c r="X60" s="781">
        <v>0</v>
      </c>
      <c r="Y60" s="782">
        <v>0</v>
      </c>
      <c r="Z60" s="783">
        <f>SUM(F60:Y60)</f>
        <v>19</v>
      </c>
      <c r="AA60" s="769">
        <f t="shared" si="5"/>
        <v>0</v>
      </c>
      <c r="AB60" s="769">
        <f t="shared" si="6"/>
        <v>0</v>
      </c>
      <c r="AC60" s="770">
        <f t="shared" si="1"/>
        <v>19</v>
      </c>
      <c r="AD60" s="784">
        <f t="shared" si="2"/>
        <v>0</v>
      </c>
      <c r="AE60" s="785">
        <f t="shared" si="3"/>
        <v>19</v>
      </c>
      <c r="AG60" s="773">
        <f t="shared" si="7"/>
        <v>0</v>
      </c>
      <c r="AH60" s="773">
        <f t="shared" si="4"/>
        <v>3</v>
      </c>
      <c r="AI60" s="773">
        <f t="shared" si="8"/>
        <v>16</v>
      </c>
      <c r="AJ60" s="773">
        <f t="shared" si="9"/>
        <v>0</v>
      </c>
      <c r="AK60" s="773">
        <f t="shared" si="10"/>
        <v>0</v>
      </c>
      <c r="AL60" s="773">
        <f t="shared" si="11"/>
        <v>0</v>
      </c>
      <c r="AM60" s="774">
        <f t="shared" si="12"/>
        <v>19</v>
      </c>
      <c r="AN60" s="773">
        <f t="shared" si="13"/>
        <v>19</v>
      </c>
    </row>
    <row r="61" spans="1:40" s="745" customFormat="1" ht="13.5" thickBot="1" x14ac:dyDescent="0.25">
      <c r="A61" s="758">
        <v>8315407</v>
      </c>
      <c r="B61" s="775">
        <v>5407</v>
      </c>
      <c r="C61" s="776" t="s">
        <v>192</v>
      </c>
      <c r="D61" s="777" t="s">
        <v>644</v>
      </c>
      <c r="E61" s="778" t="s">
        <v>892</v>
      </c>
      <c r="F61" s="779">
        <v>0</v>
      </c>
      <c r="G61" s="780"/>
      <c r="H61" s="781">
        <v>0</v>
      </c>
      <c r="I61" s="781">
        <v>0</v>
      </c>
      <c r="J61" s="781"/>
      <c r="K61" s="781">
        <v>0</v>
      </c>
      <c r="L61" s="781">
        <v>0</v>
      </c>
      <c r="M61" s="781">
        <v>0</v>
      </c>
      <c r="N61" s="781">
        <v>0</v>
      </c>
      <c r="O61" s="781"/>
      <c r="P61" s="781">
        <v>235</v>
      </c>
      <c r="Q61" s="781">
        <v>202</v>
      </c>
      <c r="R61" s="781">
        <v>223</v>
      </c>
      <c r="S61" s="781">
        <v>-2</v>
      </c>
      <c r="T61" s="781">
        <v>199</v>
      </c>
      <c r="U61" s="781">
        <v>179</v>
      </c>
      <c r="V61" s="791">
        <v>-1</v>
      </c>
      <c r="W61" s="781">
        <v>50</v>
      </c>
      <c r="X61" s="781">
        <v>53</v>
      </c>
      <c r="Y61" s="782">
        <v>13</v>
      </c>
      <c r="Z61" s="783">
        <f t="shared" ref="Z61:Z96" si="15">SUM(F61:O61)</f>
        <v>0</v>
      </c>
      <c r="AA61" s="769">
        <f t="shared" si="5"/>
        <v>658</v>
      </c>
      <c r="AB61" s="769">
        <f t="shared" si="6"/>
        <v>377</v>
      </c>
      <c r="AC61" s="770">
        <f t="shared" si="1"/>
        <v>1035</v>
      </c>
      <c r="AD61" s="784">
        <f t="shared" si="2"/>
        <v>116</v>
      </c>
      <c r="AE61" s="785">
        <f t="shared" si="3"/>
        <v>1151</v>
      </c>
      <c r="AG61" s="773">
        <f t="shared" si="7"/>
        <v>0</v>
      </c>
      <c r="AH61" s="773">
        <f t="shared" si="4"/>
        <v>0</v>
      </c>
      <c r="AI61" s="773">
        <f t="shared" si="8"/>
        <v>0</v>
      </c>
      <c r="AJ61" s="773">
        <f t="shared" si="9"/>
        <v>658</v>
      </c>
      <c r="AK61" s="773">
        <f t="shared" si="10"/>
        <v>377</v>
      </c>
      <c r="AL61" s="773">
        <f t="shared" si="11"/>
        <v>116</v>
      </c>
      <c r="AM61" s="774">
        <f t="shared" si="12"/>
        <v>1035</v>
      </c>
      <c r="AN61" s="773">
        <f t="shared" si="13"/>
        <v>1151</v>
      </c>
    </row>
    <row r="62" spans="1:40" s="745" customFormat="1" ht="13.5" thickBot="1" x14ac:dyDescent="0.25">
      <c r="A62" s="758">
        <v>8312473</v>
      </c>
      <c r="B62" s="775">
        <v>2473</v>
      </c>
      <c r="C62" s="776" t="s">
        <v>255</v>
      </c>
      <c r="D62" s="777" t="s">
        <v>220</v>
      </c>
      <c r="E62" s="778" t="s">
        <v>623</v>
      </c>
      <c r="F62" s="779">
        <v>89</v>
      </c>
      <c r="G62" s="780"/>
      <c r="H62" s="781">
        <v>90</v>
      </c>
      <c r="I62" s="781">
        <v>90</v>
      </c>
      <c r="J62" s="791"/>
      <c r="K62" s="781">
        <v>0</v>
      </c>
      <c r="L62" s="781">
        <v>0</v>
      </c>
      <c r="M62" s="781">
        <v>0</v>
      </c>
      <c r="N62" s="781">
        <v>0</v>
      </c>
      <c r="O62" s="791"/>
      <c r="P62" s="781">
        <v>0</v>
      </c>
      <c r="Q62" s="781">
        <v>0</v>
      </c>
      <c r="R62" s="781">
        <v>0</v>
      </c>
      <c r="S62" s="781"/>
      <c r="T62" s="781">
        <v>0</v>
      </c>
      <c r="U62" s="781">
        <v>0</v>
      </c>
      <c r="V62" s="781"/>
      <c r="W62" s="781">
        <v>0</v>
      </c>
      <c r="X62" s="781">
        <v>0</v>
      </c>
      <c r="Y62" s="782">
        <v>0</v>
      </c>
      <c r="Z62" s="783">
        <f t="shared" si="15"/>
        <v>269</v>
      </c>
      <c r="AA62" s="769">
        <f t="shared" si="5"/>
        <v>0</v>
      </c>
      <c r="AB62" s="769">
        <f t="shared" si="6"/>
        <v>0</v>
      </c>
      <c r="AC62" s="770">
        <f t="shared" si="1"/>
        <v>269</v>
      </c>
      <c r="AD62" s="784">
        <f t="shared" si="2"/>
        <v>0</v>
      </c>
      <c r="AE62" s="785">
        <f t="shared" si="3"/>
        <v>269</v>
      </c>
      <c r="AG62" s="773">
        <f t="shared" si="7"/>
        <v>89</v>
      </c>
      <c r="AH62" s="773">
        <f t="shared" si="4"/>
        <v>180</v>
      </c>
      <c r="AI62" s="773">
        <f t="shared" si="8"/>
        <v>0</v>
      </c>
      <c r="AJ62" s="773">
        <f t="shared" si="9"/>
        <v>0</v>
      </c>
      <c r="AK62" s="773">
        <f t="shared" si="10"/>
        <v>0</v>
      </c>
      <c r="AL62" s="773">
        <f t="shared" si="11"/>
        <v>0</v>
      </c>
      <c r="AM62" s="774">
        <f t="shared" si="12"/>
        <v>269</v>
      </c>
      <c r="AN62" s="773">
        <f t="shared" si="13"/>
        <v>269</v>
      </c>
    </row>
    <row r="63" spans="1:40" s="745" customFormat="1" ht="13.5" thickBot="1" x14ac:dyDescent="0.25">
      <c r="A63" s="758">
        <v>8312471</v>
      </c>
      <c r="B63" s="775">
        <v>2471</v>
      </c>
      <c r="C63" s="776" t="s">
        <v>255</v>
      </c>
      <c r="D63" s="777" t="s">
        <v>624</v>
      </c>
      <c r="E63" s="778" t="s">
        <v>44</v>
      </c>
      <c r="F63" s="779">
        <v>0</v>
      </c>
      <c r="G63" s="780"/>
      <c r="H63" s="781">
        <v>0</v>
      </c>
      <c r="I63" s="781">
        <v>0</v>
      </c>
      <c r="J63" s="781"/>
      <c r="K63" s="781">
        <v>89</v>
      </c>
      <c r="L63" s="781">
        <v>87</v>
      </c>
      <c r="M63" s="781">
        <v>84</v>
      </c>
      <c r="N63" s="781">
        <v>90</v>
      </c>
      <c r="O63" s="781"/>
      <c r="P63" s="781">
        <v>0</v>
      </c>
      <c r="Q63" s="781">
        <v>0</v>
      </c>
      <c r="R63" s="781">
        <v>0</v>
      </c>
      <c r="S63" s="781"/>
      <c r="T63" s="781">
        <v>0</v>
      </c>
      <c r="U63" s="781">
        <v>0</v>
      </c>
      <c r="V63" s="781"/>
      <c r="W63" s="781">
        <v>0</v>
      </c>
      <c r="X63" s="781">
        <v>0</v>
      </c>
      <c r="Y63" s="782">
        <v>0</v>
      </c>
      <c r="Z63" s="783">
        <f t="shared" si="15"/>
        <v>350</v>
      </c>
      <c r="AA63" s="769">
        <f t="shared" si="5"/>
        <v>0</v>
      </c>
      <c r="AB63" s="769">
        <f t="shared" si="6"/>
        <v>0</v>
      </c>
      <c r="AC63" s="770">
        <f t="shared" si="1"/>
        <v>350</v>
      </c>
      <c r="AD63" s="784">
        <f t="shared" si="2"/>
        <v>0</v>
      </c>
      <c r="AE63" s="785">
        <f t="shared" si="3"/>
        <v>350</v>
      </c>
      <c r="AG63" s="773">
        <f t="shared" si="7"/>
        <v>0</v>
      </c>
      <c r="AH63" s="773">
        <f t="shared" si="4"/>
        <v>0</v>
      </c>
      <c r="AI63" s="773">
        <f t="shared" si="8"/>
        <v>350</v>
      </c>
      <c r="AJ63" s="773">
        <f t="shared" si="9"/>
        <v>0</v>
      </c>
      <c r="AK63" s="773">
        <f t="shared" si="10"/>
        <v>0</v>
      </c>
      <c r="AL63" s="773">
        <f t="shared" si="11"/>
        <v>0</v>
      </c>
      <c r="AM63" s="774">
        <f t="shared" si="12"/>
        <v>350</v>
      </c>
      <c r="AN63" s="773">
        <f t="shared" si="13"/>
        <v>350</v>
      </c>
    </row>
    <row r="64" spans="1:40" s="745" customFormat="1" ht="13.5" thickBot="1" x14ac:dyDescent="0.25">
      <c r="A64" s="758">
        <v>8312420</v>
      </c>
      <c r="B64" s="775">
        <v>2420</v>
      </c>
      <c r="C64" s="776" t="s">
        <v>255</v>
      </c>
      <c r="D64" s="777" t="s">
        <v>219</v>
      </c>
      <c r="E64" s="778" t="s">
        <v>43</v>
      </c>
      <c r="F64" s="779">
        <v>87</v>
      </c>
      <c r="G64" s="780">
        <v>-1</v>
      </c>
      <c r="H64" s="781">
        <v>90</v>
      </c>
      <c r="I64" s="781">
        <v>88</v>
      </c>
      <c r="J64" s="781">
        <v>-4</v>
      </c>
      <c r="K64" s="781">
        <v>53</v>
      </c>
      <c r="L64" s="781">
        <v>75</v>
      </c>
      <c r="M64" s="781">
        <v>60</v>
      </c>
      <c r="N64" s="781">
        <v>59</v>
      </c>
      <c r="O64" s="781">
        <v>-4</v>
      </c>
      <c r="P64" s="781">
        <v>0</v>
      </c>
      <c r="Q64" s="781">
        <v>0</v>
      </c>
      <c r="R64" s="781">
        <v>0</v>
      </c>
      <c r="S64" s="781"/>
      <c r="T64" s="781">
        <v>0</v>
      </c>
      <c r="U64" s="781">
        <v>0</v>
      </c>
      <c r="V64" s="781"/>
      <c r="W64" s="781">
        <v>0</v>
      </c>
      <c r="X64" s="781">
        <v>0</v>
      </c>
      <c r="Y64" s="782">
        <v>0</v>
      </c>
      <c r="Z64" s="783">
        <f t="shared" si="15"/>
        <v>503</v>
      </c>
      <c r="AA64" s="769">
        <f t="shared" si="5"/>
        <v>0</v>
      </c>
      <c r="AB64" s="769">
        <f t="shared" si="6"/>
        <v>0</v>
      </c>
      <c r="AC64" s="770">
        <f t="shared" si="1"/>
        <v>503</v>
      </c>
      <c r="AD64" s="784">
        <f t="shared" si="2"/>
        <v>0</v>
      </c>
      <c r="AE64" s="785">
        <f t="shared" si="3"/>
        <v>503</v>
      </c>
      <c r="AG64" s="773">
        <f t="shared" si="7"/>
        <v>86</v>
      </c>
      <c r="AH64" s="773">
        <f t="shared" si="4"/>
        <v>174</v>
      </c>
      <c r="AI64" s="773">
        <f t="shared" si="8"/>
        <v>243</v>
      </c>
      <c r="AJ64" s="773">
        <f t="shared" si="9"/>
        <v>0</v>
      </c>
      <c r="AK64" s="773">
        <f t="shared" si="10"/>
        <v>0</v>
      </c>
      <c r="AL64" s="773">
        <f t="shared" si="11"/>
        <v>0</v>
      </c>
      <c r="AM64" s="774">
        <f t="shared" si="12"/>
        <v>503</v>
      </c>
      <c r="AN64" s="773">
        <f t="shared" si="13"/>
        <v>503</v>
      </c>
    </row>
    <row r="65" spans="1:40" s="745" customFormat="1" ht="13.5" thickBot="1" x14ac:dyDescent="0.25">
      <c r="A65" s="758">
        <v>8312003</v>
      </c>
      <c r="B65" s="775">
        <v>2003</v>
      </c>
      <c r="C65" s="776" t="s">
        <v>255</v>
      </c>
      <c r="D65" s="777" t="s">
        <v>221</v>
      </c>
      <c r="E65" s="778" t="s">
        <v>45</v>
      </c>
      <c r="F65" s="779">
        <v>30</v>
      </c>
      <c r="G65" s="780"/>
      <c r="H65" s="781">
        <v>32</v>
      </c>
      <c r="I65" s="781">
        <v>30</v>
      </c>
      <c r="J65" s="781"/>
      <c r="K65" s="781">
        <v>31</v>
      </c>
      <c r="L65" s="781">
        <v>30</v>
      </c>
      <c r="M65" s="781">
        <v>30</v>
      </c>
      <c r="N65" s="781">
        <v>30</v>
      </c>
      <c r="O65" s="781"/>
      <c r="P65" s="781">
        <v>0</v>
      </c>
      <c r="Q65" s="781">
        <v>0</v>
      </c>
      <c r="R65" s="781">
        <v>0</v>
      </c>
      <c r="S65" s="781"/>
      <c r="T65" s="781">
        <v>0</v>
      </c>
      <c r="U65" s="781">
        <v>0</v>
      </c>
      <c r="V65" s="781"/>
      <c r="W65" s="781">
        <v>0</v>
      </c>
      <c r="X65" s="781">
        <v>0</v>
      </c>
      <c r="Y65" s="782">
        <v>0</v>
      </c>
      <c r="Z65" s="783">
        <f t="shared" si="15"/>
        <v>213</v>
      </c>
      <c r="AA65" s="769">
        <f t="shared" si="5"/>
        <v>0</v>
      </c>
      <c r="AB65" s="769">
        <f t="shared" si="6"/>
        <v>0</v>
      </c>
      <c r="AC65" s="770">
        <f t="shared" si="1"/>
        <v>213</v>
      </c>
      <c r="AD65" s="784">
        <f t="shared" si="2"/>
        <v>0</v>
      </c>
      <c r="AE65" s="785">
        <f t="shared" si="3"/>
        <v>213</v>
      </c>
      <c r="AG65" s="773">
        <f t="shared" si="7"/>
        <v>30</v>
      </c>
      <c r="AH65" s="773">
        <f t="shared" si="4"/>
        <v>62</v>
      </c>
      <c r="AI65" s="773">
        <f t="shared" si="8"/>
        <v>121</v>
      </c>
      <c r="AJ65" s="773">
        <f t="shared" si="9"/>
        <v>0</v>
      </c>
      <c r="AK65" s="773">
        <f t="shared" si="10"/>
        <v>0</v>
      </c>
      <c r="AL65" s="773">
        <f t="shared" si="11"/>
        <v>0</v>
      </c>
      <c r="AM65" s="774">
        <f t="shared" si="12"/>
        <v>213</v>
      </c>
      <c r="AN65" s="773">
        <f t="shared" si="13"/>
        <v>213</v>
      </c>
    </row>
    <row r="66" spans="1:40" s="745" customFormat="1" ht="13.5" thickBot="1" x14ac:dyDescent="0.25">
      <c r="A66" s="758">
        <v>8312423</v>
      </c>
      <c r="B66" s="775">
        <v>2423</v>
      </c>
      <c r="C66" s="776" t="s">
        <v>255</v>
      </c>
      <c r="D66" s="777" t="s">
        <v>893</v>
      </c>
      <c r="E66" s="778" t="s">
        <v>46</v>
      </c>
      <c r="F66" s="779">
        <v>0</v>
      </c>
      <c r="G66" s="780"/>
      <c r="H66" s="781">
        <v>0</v>
      </c>
      <c r="I66" s="781">
        <v>0</v>
      </c>
      <c r="J66" s="781"/>
      <c r="K66" s="781">
        <v>81</v>
      </c>
      <c r="L66" s="781">
        <v>82</v>
      </c>
      <c r="M66" s="781">
        <v>87</v>
      </c>
      <c r="N66" s="781">
        <v>83</v>
      </c>
      <c r="O66" s="781"/>
      <c r="P66" s="781">
        <v>0</v>
      </c>
      <c r="Q66" s="781">
        <v>0</v>
      </c>
      <c r="R66" s="781">
        <v>0</v>
      </c>
      <c r="S66" s="781"/>
      <c r="T66" s="781">
        <v>0</v>
      </c>
      <c r="U66" s="781">
        <v>0</v>
      </c>
      <c r="V66" s="781"/>
      <c r="W66" s="781">
        <v>0</v>
      </c>
      <c r="X66" s="781">
        <v>0</v>
      </c>
      <c r="Y66" s="782">
        <v>0</v>
      </c>
      <c r="Z66" s="783">
        <f t="shared" si="15"/>
        <v>333</v>
      </c>
      <c r="AA66" s="769">
        <f t="shared" si="5"/>
        <v>0</v>
      </c>
      <c r="AB66" s="769">
        <f t="shared" si="6"/>
        <v>0</v>
      </c>
      <c r="AC66" s="770">
        <f t="shared" si="1"/>
        <v>333</v>
      </c>
      <c r="AD66" s="784">
        <f t="shared" si="2"/>
        <v>0</v>
      </c>
      <c r="AE66" s="785">
        <f t="shared" si="3"/>
        <v>333</v>
      </c>
      <c r="AG66" s="773">
        <f t="shared" si="7"/>
        <v>0</v>
      </c>
      <c r="AH66" s="773">
        <f t="shared" si="4"/>
        <v>0</v>
      </c>
      <c r="AI66" s="773">
        <f t="shared" si="8"/>
        <v>333</v>
      </c>
      <c r="AJ66" s="773">
        <f t="shared" si="9"/>
        <v>0</v>
      </c>
      <c r="AK66" s="773">
        <f t="shared" si="10"/>
        <v>0</v>
      </c>
      <c r="AL66" s="773">
        <f t="shared" si="11"/>
        <v>0</v>
      </c>
      <c r="AM66" s="774">
        <f t="shared" si="12"/>
        <v>333</v>
      </c>
      <c r="AN66" s="773">
        <f t="shared" si="13"/>
        <v>333</v>
      </c>
    </row>
    <row r="67" spans="1:40" s="745" customFormat="1" ht="13.5" thickBot="1" x14ac:dyDescent="0.25">
      <c r="A67" s="758">
        <v>8312424</v>
      </c>
      <c r="B67" s="775">
        <v>2424</v>
      </c>
      <c r="C67" s="776" t="s">
        <v>255</v>
      </c>
      <c r="D67" s="777" t="s">
        <v>894</v>
      </c>
      <c r="E67" s="778" t="s">
        <v>47</v>
      </c>
      <c r="F67" s="779">
        <v>90</v>
      </c>
      <c r="G67" s="780"/>
      <c r="H67" s="781">
        <v>90</v>
      </c>
      <c r="I67" s="781">
        <v>90</v>
      </c>
      <c r="J67" s="781"/>
      <c r="K67" s="781">
        <v>0</v>
      </c>
      <c r="L67" s="781">
        <v>0</v>
      </c>
      <c r="M67" s="781">
        <v>0</v>
      </c>
      <c r="N67" s="781">
        <v>0</v>
      </c>
      <c r="O67" s="781"/>
      <c r="P67" s="781">
        <v>0</v>
      </c>
      <c r="Q67" s="781">
        <v>0</v>
      </c>
      <c r="R67" s="781">
        <v>0</v>
      </c>
      <c r="S67" s="781"/>
      <c r="T67" s="781">
        <v>0</v>
      </c>
      <c r="U67" s="781">
        <v>0</v>
      </c>
      <c r="V67" s="781"/>
      <c r="W67" s="781">
        <v>0</v>
      </c>
      <c r="X67" s="781">
        <v>0</v>
      </c>
      <c r="Y67" s="782">
        <v>0</v>
      </c>
      <c r="Z67" s="783">
        <f t="shared" si="15"/>
        <v>270</v>
      </c>
      <c r="AA67" s="769">
        <f t="shared" si="5"/>
        <v>0</v>
      </c>
      <c r="AB67" s="769">
        <f t="shared" si="6"/>
        <v>0</v>
      </c>
      <c r="AC67" s="770">
        <f t="shared" ref="AC67:AC104" si="16">SUM(F67:V67)</f>
        <v>270</v>
      </c>
      <c r="AD67" s="784">
        <f t="shared" ref="AD67:AD104" si="17">SUM(W67:Y67)</f>
        <v>0</v>
      </c>
      <c r="AE67" s="785">
        <f t="shared" ref="AE67:AE104" si="18">SUM(AC67:AD67)</f>
        <v>270</v>
      </c>
      <c r="AG67" s="773">
        <f t="shared" si="7"/>
        <v>90</v>
      </c>
      <c r="AH67" s="773">
        <f t="shared" ref="AH67:AH104" si="19">H67+I67+J67</f>
        <v>180</v>
      </c>
      <c r="AI67" s="773">
        <f t="shared" si="8"/>
        <v>0</v>
      </c>
      <c r="AJ67" s="773">
        <f t="shared" si="9"/>
        <v>0</v>
      </c>
      <c r="AK67" s="773">
        <f t="shared" si="10"/>
        <v>0</v>
      </c>
      <c r="AL67" s="773">
        <f t="shared" si="11"/>
        <v>0</v>
      </c>
      <c r="AM67" s="774">
        <f t="shared" si="12"/>
        <v>270</v>
      </c>
      <c r="AN67" s="773">
        <f t="shared" si="13"/>
        <v>270</v>
      </c>
    </row>
    <row r="68" spans="1:40" s="745" customFormat="1" ht="13.5" thickBot="1" x14ac:dyDescent="0.25">
      <c r="A68" s="758">
        <v>8312439</v>
      </c>
      <c r="B68" s="775">
        <v>2439</v>
      </c>
      <c r="C68" s="776" t="s">
        <v>255</v>
      </c>
      <c r="D68" s="777" t="s">
        <v>895</v>
      </c>
      <c r="E68" s="778" t="s">
        <v>48</v>
      </c>
      <c r="F68" s="779">
        <v>90</v>
      </c>
      <c r="G68" s="780"/>
      <c r="H68" s="781">
        <v>87</v>
      </c>
      <c r="I68" s="781">
        <v>79</v>
      </c>
      <c r="J68" s="781"/>
      <c r="K68" s="781">
        <v>0</v>
      </c>
      <c r="L68" s="781">
        <v>0</v>
      </c>
      <c r="M68" s="781">
        <v>0</v>
      </c>
      <c r="N68" s="781">
        <v>0</v>
      </c>
      <c r="O68" s="781"/>
      <c r="P68" s="781">
        <v>0</v>
      </c>
      <c r="Q68" s="781">
        <v>0</v>
      </c>
      <c r="R68" s="781">
        <v>0</v>
      </c>
      <c r="S68" s="781"/>
      <c r="T68" s="781">
        <v>0</v>
      </c>
      <c r="U68" s="781">
        <v>0</v>
      </c>
      <c r="V68" s="781"/>
      <c r="W68" s="781">
        <v>0</v>
      </c>
      <c r="X68" s="781">
        <v>0</v>
      </c>
      <c r="Y68" s="782">
        <v>0</v>
      </c>
      <c r="Z68" s="783">
        <f t="shared" si="15"/>
        <v>256</v>
      </c>
      <c r="AA68" s="769">
        <f t="shared" ref="AA68:AA104" si="20">SUM(P68:S68)</f>
        <v>0</v>
      </c>
      <c r="AB68" s="769">
        <f t="shared" ref="AB68:AB104" si="21">SUM(T68:V68)</f>
        <v>0</v>
      </c>
      <c r="AC68" s="770">
        <f t="shared" si="16"/>
        <v>256</v>
      </c>
      <c r="AD68" s="784">
        <f t="shared" si="17"/>
        <v>0</v>
      </c>
      <c r="AE68" s="785">
        <f t="shared" si="18"/>
        <v>256</v>
      </c>
      <c r="AG68" s="773">
        <f t="shared" ref="AG68:AG104" si="22">F68+G68</f>
        <v>90</v>
      </c>
      <c r="AH68" s="773">
        <f t="shared" si="19"/>
        <v>166</v>
      </c>
      <c r="AI68" s="773">
        <f t="shared" ref="AI68:AI104" si="23">K68+L68+M68+N68+O68</f>
        <v>0</v>
      </c>
      <c r="AJ68" s="773">
        <f t="shared" ref="AJ68:AJ104" si="24">SUM(P68:S68)</f>
        <v>0</v>
      </c>
      <c r="AK68" s="773">
        <f t="shared" ref="AK68:AK104" si="25">SUM(T68:V68)</f>
        <v>0</v>
      </c>
      <c r="AL68" s="773">
        <f t="shared" ref="AL68:AL104" si="26">SUM(W68:Y68)</f>
        <v>0</v>
      </c>
      <c r="AM68" s="774">
        <f t="shared" ref="AM68:AM104" si="27">SUM(AG68:AK68)</f>
        <v>256</v>
      </c>
      <c r="AN68" s="773">
        <f t="shared" ref="AN68:AN104" si="28">AM68+AL68</f>
        <v>256</v>
      </c>
    </row>
    <row r="69" spans="1:40" s="745" customFormat="1" ht="13.5" thickBot="1" x14ac:dyDescent="0.25">
      <c r="A69" s="758">
        <v>8312440</v>
      </c>
      <c r="B69" s="775">
        <v>2440</v>
      </c>
      <c r="C69" s="776" t="s">
        <v>255</v>
      </c>
      <c r="D69" s="777" t="s">
        <v>625</v>
      </c>
      <c r="E69" s="778" t="s">
        <v>49</v>
      </c>
      <c r="F69" s="779">
        <v>0</v>
      </c>
      <c r="G69" s="780"/>
      <c r="H69" s="781">
        <v>0</v>
      </c>
      <c r="I69" s="781">
        <v>0</v>
      </c>
      <c r="J69" s="781"/>
      <c r="K69" s="781">
        <v>80</v>
      </c>
      <c r="L69" s="781">
        <v>84</v>
      </c>
      <c r="M69" s="781">
        <v>80</v>
      </c>
      <c r="N69" s="781">
        <v>82</v>
      </c>
      <c r="O69" s="781"/>
      <c r="P69" s="781">
        <v>0</v>
      </c>
      <c r="Q69" s="781">
        <v>0</v>
      </c>
      <c r="R69" s="781">
        <v>0</v>
      </c>
      <c r="S69" s="781"/>
      <c r="T69" s="781">
        <v>0</v>
      </c>
      <c r="U69" s="781">
        <v>0</v>
      </c>
      <c r="V69" s="781"/>
      <c r="W69" s="781">
        <v>0</v>
      </c>
      <c r="X69" s="781">
        <v>0</v>
      </c>
      <c r="Y69" s="782">
        <v>0</v>
      </c>
      <c r="Z69" s="783">
        <f t="shared" si="15"/>
        <v>326</v>
      </c>
      <c r="AA69" s="769">
        <f t="shared" si="20"/>
        <v>0</v>
      </c>
      <c r="AB69" s="769">
        <f t="shared" si="21"/>
        <v>0</v>
      </c>
      <c r="AC69" s="770">
        <f t="shared" si="16"/>
        <v>326</v>
      </c>
      <c r="AD69" s="784">
        <f t="shared" si="17"/>
        <v>0</v>
      </c>
      <c r="AE69" s="785">
        <f t="shared" si="18"/>
        <v>326</v>
      </c>
      <c r="AG69" s="773">
        <f t="shared" si="22"/>
        <v>0</v>
      </c>
      <c r="AH69" s="773">
        <f t="shared" si="19"/>
        <v>0</v>
      </c>
      <c r="AI69" s="773">
        <f t="shared" si="23"/>
        <v>326</v>
      </c>
      <c r="AJ69" s="773">
        <f t="shared" si="24"/>
        <v>0</v>
      </c>
      <c r="AK69" s="773">
        <f t="shared" si="25"/>
        <v>0</v>
      </c>
      <c r="AL69" s="773">
        <f t="shared" si="26"/>
        <v>0</v>
      </c>
      <c r="AM69" s="774">
        <f t="shared" si="27"/>
        <v>326</v>
      </c>
      <c r="AN69" s="773">
        <f t="shared" si="28"/>
        <v>326</v>
      </c>
    </row>
    <row r="70" spans="1:40" s="745" customFormat="1" ht="13.5" thickBot="1" x14ac:dyDescent="0.25">
      <c r="A70" s="758">
        <v>8312462</v>
      </c>
      <c r="B70" s="775">
        <v>2462</v>
      </c>
      <c r="C70" s="776" t="s">
        <v>255</v>
      </c>
      <c r="D70" s="777" t="s">
        <v>222</v>
      </c>
      <c r="E70" s="778" t="s">
        <v>896</v>
      </c>
      <c r="F70" s="779">
        <v>87</v>
      </c>
      <c r="G70" s="780"/>
      <c r="H70" s="781">
        <v>63</v>
      </c>
      <c r="I70" s="781">
        <v>88</v>
      </c>
      <c r="J70" s="781"/>
      <c r="K70" s="781">
        <v>0</v>
      </c>
      <c r="L70" s="781">
        <v>0</v>
      </c>
      <c r="M70" s="781">
        <v>0</v>
      </c>
      <c r="N70" s="781">
        <v>0</v>
      </c>
      <c r="O70" s="781"/>
      <c r="P70" s="781">
        <v>0</v>
      </c>
      <c r="Q70" s="781">
        <v>0</v>
      </c>
      <c r="R70" s="781">
        <v>0</v>
      </c>
      <c r="S70" s="781"/>
      <c r="T70" s="781">
        <v>0</v>
      </c>
      <c r="U70" s="781">
        <v>0</v>
      </c>
      <c r="V70" s="781"/>
      <c r="W70" s="781">
        <v>0</v>
      </c>
      <c r="X70" s="781">
        <v>0</v>
      </c>
      <c r="Y70" s="782">
        <v>0</v>
      </c>
      <c r="Z70" s="783">
        <f t="shared" si="15"/>
        <v>238</v>
      </c>
      <c r="AA70" s="769">
        <f t="shared" si="20"/>
        <v>0</v>
      </c>
      <c r="AB70" s="769">
        <f t="shared" si="21"/>
        <v>0</v>
      </c>
      <c r="AC70" s="770">
        <f t="shared" si="16"/>
        <v>238</v>
      </c>
      <c r="AD70" s="784">
        <f t="shared" si="17"/>
        <v>0</v>
      </c>
      <c r="AE70" s="785">
        <f t="shared" si="18"/>
        <v>238</v>
      </c>
      <c r="AG70" s="773">
        <f t="shared" si="22"/>
        <v>87</v>
      </c>
      <c r="AH70" s="773">
        <f t="shared" si="19"/>
        <v>151</v>
      </c>
      <c r="AI70" s="773">
        <f t="shared" si="23"/>
        <v>0</v>
      </c>
      <c r="AJ70" s="773">
        <f t="shared" si="24"/>
        <v>0</v>
      </c>
      <c r="AK70" s="773">
        <f t="shared" si="25"/>
        <v>0</v>
      </c>
      <c r="AL70" s="773">
        <f t="shared" si="26"/>
        <v>0</v>
      </c>
      <c r="AM70" s="774">
        <f t="shared" si="27"/>
        <v>238</v>
      </c>
      <c r="AN70" s="773">
        <f t="shared" si="28"/>
        <v>238</v>
      </c>
    </row>
    <row r="71" spans="1:40" s="745" customFormat="1" ht="13.5" thickBot="1" x14ac:dyDescent="0.25">
      <c r="A71" s="758">
        <v>8312463</v>
      </c>
      <c r="B71" s="775">
        <v>2463</v>
      </c>
      <c r="C71" s="776" t="s">
        <v>255</v>
      </c>
      <c r="D71" s="777" t="s">
        <v>626</v>
      </c>
      <c r="E71" s="778" t="s">
        <v>50</v>
      </c>
      <c r="F71" s="779">
        <v>0</v>
      </c>
      <c r="G71" s="780"/>
      <c r="H71" s="781">
        <v>0</v>
      </c>
      <c r="I71" s="781">
        <v>0</v>
      </c>
      <c r="J71" s="781"/>
      <c r="K71" s="781">
        <v>90</v>
      </c>
      <c r="L71" s="781">
        <v>81</v>
      </c>
      <c r="M71" s="781">
        <v>84</v>
      </c>
      <c r="N71" s="781">
        <v>81</v>
      </c>
      <c r="O71" s="781"/>
      <c r="P71" s="781">
        <v>0</v>
      </c>
      <c r="Q71" s="781">
        <v>0</v>
      </c>
      <c r="R71" s="781">
        <v>0</v>
      </c>
      <c r="S71" s="781"/>
      <c r="T71" s="781">
        <v>0</v>
      </c>
      <c r="U71" s="781">
        <v>0</v>
      </c>
      <c r="V71" s="781"/>
      <c r="W71" s="781">
        <v>0</v>
      </c>
      <c r="X71" s="781">
        <v>0</v>
      </c>
      <c r="Y71" s="782">
        <v>0</v>
      </c>
      <c r="Z71" s="783">
        <f t="shared" si="15"/>
        <v>336</v>
      </c>
      <c r="AA71" s="769">
        <f t="shared" si="20"/>
        <v>0</v>
      </c>
      <c r="AB71" s="769">
        <f t="shared" si="21"/>
        <v>0</v>
      </c>
      <c r="AC71" s="770">
        <f t="shared" si="16"/>
        <v>336</v>
      </c>
      <c r="AD71" s="784">
        <f t="shared" si="17"/>
        <v>0</v>
      </c>
      <c r="AE71" s="785">
        <f t="shared" si="18"/>
        <v>336</v>
      </c>
      <c r="AG71" s="773">
        <f t="shared" si="22"/>
        <v>0</v>
      </c>
      <c r="AH71" s="773">
        <f t="shared" si="19"/>
        <v>0</v>
      </c>
      <c r="AI71" s="773">
        <f t="shared" si="23"/>
        <v>336</v>
      </c>
      <c r="AJ71" s="773">
        <f t="shared" si="24"/>
        <v>0</v>
      </c>
      <c r="AK71" s="773">
        <f t="shared" si="25"/>
        <v>0</v>
      </c>
      <c r="AL71" s="773">
        <f t="shared" si="26"/>
        <v>0</v>
      </c>
      <c r="AM71" s="774">
        <f t="shared" si="27"/>
        <v>336</v>
      </c>
      <c r="AN71" s="773">
        <f t="shared" si="28"/>
        <v>336</v>
      </c>
    </row>
    <row r="72" spans="1:40" s="745" customFormat="1" ht="13.5" thickBot="1" x14ac:dyDescent="0.25">
      <c r="A72" s="758">
        <v>8312505</v>
      </c>
      <c r="B72" s="775">
        <v>2505</v>
      </c>
      <c r="C72" s="776" t="s">
        <v>255</v>
      </c>
      <c r="D72" s="777" t="s">
        <v>223</v>
      </c>
      <c r="E72" s="778" t="s">
        <v>51</v>
      </c>
      <c r="F72" s="779">
        <v>90</v>
      </c>
      <c r="G72" s="790"/>
      <c r="H72" s="781">
        <v>89</v>
      </c>
      <c r="I72" s="781">
        <v>77</v>
      </c>
      <c r="J72" s="781"/>
      <c r="K72" s="781">
        <v>71</v>
      </c>
      <c r="L72" s="781">
        <v>72</v>
      </c>
      <c r="M72" s="781">
        <v>68</v>
      </c>
      <c r="N72" s="781">
        <v>56</v>
      </c>
      <c r="O72" s="781"/>
      <c r="P72" s="781">
        <v>0</v>
      </c>
      <c r="Q72" s="781">
        <v>0</v>
      </c>
      <c r="R72" s="781">
        <v>0</v>
      </c>
      <c r="S72" s="781"/>
      <c r="T72" s="781">
        <v>0</v>
      </c>
      <c r="U72" s="781">
        <v>0</v>
      </c>
      <c r="V72" s="781"/>
      <c r="W72" s="781">
        <v>0</v>
      </c>
      <c r="X72" s="781">
        <v>0</v>
      </c>
      <c r="Y72" s="782">
        <v>0</v>
      </c>
      <c r="Z72" s="783">
        <f t="shared" si="15"/>
        <v>523</v>
      </c>
      <c r="AA72" s="769">
        <f t="shared" si="20"/>
        <v>0</v>
      </c>
      <c r="AB72" s="769">
        <f t="shared" si="21"/>
        <v>0</v>
      </c>
      <c r="AC72" s="770">
        <f t="shared" si="16"/>
        <v>523</v>
      </c>
      <c r="AD72" s="784">
        <f t="shared" si="17"/>
        <v>0</v>
      </c>
      <c r="AE72" s="785">
        <f t="shared" si="18"/>
        <v>523</v>
      </c>
      <c r="AG72" s="773">
        <f t="shared" si="22"/>
        <v>90</v>
      </c>
      <c r="AH72" s="773">
        <f t="shared" si="19"/>
        <v>166</v>
      </c>
      <c r="AI72" s="773">
        <f t="shared" si="23"/>
        <v>267</v>
      </c>
      <c r="AJ72" s="773">
        <f t="shared" si="24"/>
        <v>0</v>
      </c>
      <c r="AK72" s="773">
        <f t="shared" si="25"/>
        <v>0</v>
      </c>
      <c r="AL72" s="773">
        <f t="shared" si="26"/>
        <v>0</v>
      </c>
      <c r="AM72" s="774">
        <f t="shared" si="27"/>
        <v>523</v>
      </c>
      <c r="AN72" s="773">
        <f t="shared" si="28"/>
        <v>523</v>
      </c>
    </row>
    <row r="73" spans="1:40" s="745" customFormat="1" ht="13.5" thickBot="1" x14ac:dyDescent="0.25">
      <c r="A73" s="758">
        <v>8312000</v>
      </c>
      <c r="B73" s="775">
        <v>2000</v>
      </c>
      <c r="C73" s="776" t="s">
        <v>255</v>
      </c>
      <c r="D73" s="777" t="s">
        <v>224</v>
      </c>
      <c r="E73" s="778" t="s">
        <v>52</v>
      </c>
      <c r="F73" s="779">
        <v>54</v>
      </c>
      <c r="G73" s="780"/>
      <c r="H73" s="781">
        <v>42</v>
      </c>
      <c r="I73" s="781">
        <v>46</v>
      </c>
      <c r="J73" s="781"/>
      <c r="K73" s="781">
        <v>53</v>
      </c>
      <c r="L73" s="781">
        <v>34</v>
      </c>
      <c r="M73" s="781">
        <v>49</v>
      </c>
      <c r="N73" s="781">
        <v>49</v>
      </c>
      <c r="O73" s="781">
        <v>-1</v>
      </c>
      <c r="P73" s="781">
        <v>0</v>
      </c>
      <c r="Q73" s="781">
        <v>0</v>
      </c>
      <c r="R73" s="781">
        <v>0</v>
      </c>
      <c r="S73" s="781"/>
      <c r="T73" s="781">
        <v>0</v>
      </c>
      <c r="U73" s="781">
        <v>0</v>
      </c>
      <c r="V73" s="781"/>
      <c r="W73" s="781">
        <v>0</v>
      </c>
      <c r="X73" s="781">
        <v>0</v>
      </c>
      <c r="Y73" s="782">
        <v>0</v>
      </c>
      <c r="Z73" s="783">
        <f t="shared" si="15"/>
        <v>326</v>
      </c>
      <c r="AA73" s="769">
        <f t="shared" si="20"/>
        <v>0</v>
      </c>
      <c r="AB73" s="769">
        <f t="shared" si="21"/>
        <v>0</v>
      </c>
      <c r="AC73" s="770">
        <f t="shared" si="16"/>
        <v>326</v>
      </c>
      <c r="AD73" s="784">
        <f t="shared" si="17"/>
        <v>0</v>
      </c>
      <c r="AE73" s="785">
        <f t="shared" si="18"/>
        <v>326</v>
      </c>
      <c r="AG73" s="773">
        <f t="shared" si="22"/>
        <v>54</v>
      </c>
      <c r="AH73" s="773">
        <f t="shared" si="19"/>
        <v>88</v>
      </c>
      <c r="AI73" s="773">
        <f t="shared" si="23"/>
        <v>184</v>
      </c>
      <c r="AJ73" s="773">
        <f t="shared" si="24"/>
        <v>0</v>
      </c>
      <c r="AK73" s="773">
        <f t="shared" si="25"/>
        <v>0</v>
      </c>
      <c r="AL73" s="773">
        <f t="shared" si="26"/>
        <v>0</v>
      </c>
      <c r="AM73" s="774">
        <f t="shared" si="27"/>
        <v>326</v>
      </c>
      <c r="AN73" s="773">
        <f t="shared" si="28"/>
        <v>326</v>
      </c>
    </row>
    <row r="74" spans="1:40" s="745" customFormat="1" ht="13.5" thickBot="1" x14ac:dyDescent="0.25">
      <c r="A74" s="758">
        <v>8312458</v>
      </c>
      <c r="B74" s="775">
        <v>2458</v>
      </c>
      <c r="C74" s="776" t="s">
        <v>255</v>
      </c>
      <c r="D74" s="777" t="s">
        <v>627</v>
      </c>
      <c r="E74" s="778" t="s">
        <v>53</v>
      </c>
      <c r="F74" s="779">
        <v>90</v>
      </c>
      <c r="G74" s="780"/>
      <c r="H74" s="781">
        <v>90</v>
      </c>
      <c r="I74" s="781">
        <v>90</v>
      </c>
      <c r="J74" s="781"/>
      <c r="K74" s="781">
        <v>0</v>
      </c>
      <c r="L74" s="781">
        <v>0</v>
      </c>
      <c r="M74" s="781">
        <v>0</v>
      </c>
      <c r="N74" s="781">
        <v>0</v>
      </c>
      <c r="O74" s="781"/>
      <c r="P74" s="781">
        <v>0</v>
      </c>
      <c r="Q74" s="781">
        <v>0</v>
      </c>
      <c r="R74" s="781">
        <v>0</v>
      </c>
      <c r="S74" s="781"/>
      <c r="T74" s="781">
        <v>0</v>
      </c>
      <c r="U74" s="781">
        <v>0</v>
      </c>
      <c r="V74" s="781"/>
      <c r="W74" s="781">
        <v>0</v>
      </c>
      <c r="X74" s="781">
        <v>0</v>
      </c>
      <c r="Y74" s="782">
        <v>0</v>
      </c>
      <c r="Z74" s="783">
        <f t="shared" si="15"/>
        <v>270</v>
      </c>
      <c r="AA74" s="769">
        <f t="shared" si="20"/>
        <v>0</v>
      </c>
      <c r="AB74" s="769">
        <f t="shared" si="21"/>
        <v>0</v>
      </c>
      <c r="AC74" s="770">
        <f t="shared" si="16"/>
        <v>270</v>
      </c>
      <c r="AD74" s="784">
        <f t="shared" si="17"/>
        <v>0</v>
      </c>
      <c r="AE74" s="785">
        <f t="shared" si="18"/>
        <v>270</v>
      </c>
      <c r="AG74" s="773">
        <f t="shared" si="22"/>
        <v>90</v>
      </c>
      <c r="AH74" s="773">
        <f t="shared" si="19"/>
        <v>180</v>
      </c>
      <c r="AI74" s="773">
        <f t="shared" si="23"/>
        <v>0</v>
      </c>
      <c r="AJ74" s="773">
        <f t="shared" si="24"/>
        <v>0</v>
      </c>
      <c r="AK74" s="773">
        <f t="shared" si="25"/>
        <v>0</v>
      </c>
      <c r="AL74" s="773">
        <f t="shared" si="26"/>
        <v>0</v>
      </c>
      <c r="AM74" s="774">
        <f t="shared" si="27"/>
        <v>270</v>
      </c>
      <c r="AN74" s="773">
        <f t="shared" si="28"/>
        <v>270</v>
      </c>
    </row>
    <row r="75" spans="1:40" s="745" customFormat="1" ht="13.5" thickBot="1" x14ac:dyDescent="0.25">
      <c r="A75" s="758">
        <v>8312001</v>
      </c>
      <c r="B75" s="775">
        <v>2001</v>
      </c>
      <c r="C75" s="776" t="s">
        <v>255</v>
      </c>
      <c r="D75" s="777" t="s">
        <v>225</v>
      </c>
      <c r="E75" s="778" t="s">
        <v>54</v>
      </c>
      <c r="F75" s="779">
        <v>54</v>
      </c>
      <c r="G75" s="780"/>
      <c r="H75" s="781">
        <v>57</v>
      </c>
      <c r="I75" s="781">
        <v>64</v>
      </c>
      <c r="J75" s="781"/>
      <c r="K75" s="781">
        <v>45</v>
      </c>
      <c r="L75" s="781">
        <v>41</v>
      </c>
      <c r="M75" s="781">
        <v>48</v>
      </c>
      <c r="N75" s="781">
        <v>44</v>
      </c>
      <c r="O75" s="781"/>
      <c r="P75" s="781">
        <v>0</v>
      </c>
      <c r="Q75" s="781">
        <v>0</v>
      </c>
      <c r="R75" s="781">
        <v>0</v>
      </c>
      <c r="S75" s="781"/>
      <c r="T75" s="781">
        <v>0</v>
      </c>
      <c r="U75" s="781">
        <v>0</v>
      </c>
      <c r="V75" s="781"/>
      <c r="W75" s="781">
        <v>0</v>
      </c>
      <c r="X75" s="781">
        <v>0</v>
      </c>
      <c r="Y75" s="782">
        <v>0</v>
      </c>
      <c r="Z75" s="783">
        <f t="shared" si="15"/>
        <v>353</v>
      </c>
      <c r="AA75" s="769">
        <f t="shared" si="20"/>
        <v>0</v>
      </c>
      <c r="AB75" s="769">
        <f t="shared" si="21"/>
        <v>0</v>
      </c>
      <c r="AC75" s="770">
        <f t="shared" si="16"/>
        <v>353</v>
      </c>
      <c r="AD75" s="784">
        <f t="shared" si="17"/>
        <v>0</v>
      </c>
      <c r="AE75" s="785">
        <f t="shared" si="18"/>
        <v>353</v>
      </c>
      <c r="AG75" s="773">
        <f t="shared" si="22"/>
        <v>54</v>
      </c>
      <c r="AH75" s="773">
        <f t="shared" si="19"/>
        <v>121</v>
      </c>
      <c r="AI75" s="773">
        <f t="shared" si="23"/>
        <v>178</v>
      </c>
      <c r="AJ75" s="773">
        <f t="shared" si="24"/>
        <v>0</v>
      </c>
      <c r="AK75" s="773">
        <f t="shared" si="25"/>
        <v>0</v>
      </c>
      <c r="AL75" s="773">
        <f t="shared" si="26"/>
        <v>0</v>
      </c>
      <c r="AM75" s="774">
        <f t="shared" si="27"/>
        <v>353</v>
      </c>
      <c r="AN75" s="773">
        <f t="shared" si="28"/>
        <v>353</v>
      </c>
    </row>
    <row r="76" spans="1:40" s="745" customFormat="1" ht="13.5" thickBot="1" x14ac:dyDescent="0.25">
      <c r="A76" s="758">
        <v>8312429</v>
      </c>
      <c r="B76" s="775">
        <v>2429</v>
      </c>
      <c r="C76" s="776" t="s">
        <v>255</v>
      </c>
      <c r="D76" s="777" t="s">
        <v>226</v>
      </c>
      <c r="E76" s="778" t="s">
        <v>55</v>
      </c>
      <c r="F76" s="779">
        <v>51</v>
      </c>
      <c r="G76" s="780"/>
      <c r="H76" s="781">
        <v>52</v>
      </c>
      <c r="I76" s="781">
        <v>47</v>
      </c>
      <c r="J76" s="781"/>
      <c r="K76" s="781">
        <v>0</v>
      </c>
      <c r="L76" s="781">
        <v>0</v>
      </c>
      <c r="M76" s="781">
        <v>0</v>
      </c>
      <c r="N76" s="781">
        <v>0</v>
      </c>
      <c r="O76" s="781"/>
      <c r="P76" s="781">
        <v>0</v>
      </c>
      <c r="Q76" s="781">
        <v>0</v>
      </c>
      <c r="R76" s="781">
        <v>0</v>
      </c>
      <c r="S76" s="781"/>
      <c r="T76" s="781">
        <v>0</v>
      </c>
      <c r="U76" s="781">
        <v>0</v>
      </c>
      <c r="V76" s="781"/>
      <c r="W76" s="781">
        <v>0</v>
      </c>
      <c r="X76" s="781">
        <v>0</v>
      </c>
      <c r="Y76" s="782">
        <v>0</v>
      </c>
      <c r="Z76" s="783">
        <f t="shared" si="15"/>
        <v>150</v>
      </c>
      <c r="AA76" s="769">
        <f t="shared" si="20"/>
        <v>0</v>
      </c>
      <c r="AB76" s="769">
        <f t="shared" si="21"/>
        <v>0</v>
      </c>
      <c r="AC76" s="770">
        <f t="shared" si="16"/>
        <v>150</v>
      </c>
      <c r="AD76" s="784">
        <f t="shared" si="17"/>
        <v>0</v>
      </c>
      <c r="AE76" s="785">
        <f t="shared" si="18"/>
        <v>150</v>
      </c>
      <c r="AG76" s="773">
        <f t="shared" si="22"/>
        <v>51</v>
      </c>
      <c r="AH76" s="773">
        <f t="shared" si="19"/>
        <v>99</v>
      </c>
      <c r="AI76" s="773">
        <f t="shared" si="23"/>
        <v>0</v>
      </c>
      <c r="AJ76" s="773">
        <f t="shared" si="24"/>
        <v>0</v>
      </c>
      <c r="AK76" s="773">
        <f t="shared" si="25"/>
        <v>0</v>
      </c>
      <c r="AL76" s="773">
        <f t="shared" si="26"/>
        <v>0</v>
      </c>
      <c r="AM76" s="774">
        <f t="shared" si="27"/>
        <v>150</v>
      </c>
      <c r="AN76" s="773">
        <f t="shared" si="28"/>
        <v>150</v>
      </c>
    </row>
    <row r="77" spans="1:40" s="745" customFormat="1" ht="13.5" thickBot="1" x14ac:dyDescent="0.25">
      <c r="A77" s="758">
        <v>8314607</v>
      </c>
      <c r="B77" s="775">
        <v>4607</v>
      </c>
      <c r="C77" s="776" t="s">
        <v>192</v>
      </c>
      <c r="D77" s="777"/>
      <c r="E77" s="778" t="s">
        <v>897</v>
      </c>
      <c r="F77" s="779">
        <v>0</v>
      </c>
      <c r="G77" s="780"/>
      <c r="H77" s="781">
        <v>0</v>
      </c>
      <c r="I77" s="781">
        <v>0</v>
      </c>
      <c r="J77" s="781"/>
      <c r="K77" s="781">
        <v>0</v>
      </c>
      <c r="L77" s="781">
        <v>0</v>
      </c>
      <c r="M77" s="781">
        <v>0</v>
      </c>
      <c r="N77" s="781">
        <v>0</v>
      </c>
      <c r="O77" s="781"/>
      <c r="P77" s="781">
        <v>224</v>
      </c>
      <c r="Q77" s="781">
        <v>229</v>
      </c>
      <c r="R77" s="781">
        <v>234</v>
      </c>
      <c r="S77" s="781"/>
      <c r="T77" s="781">
        <v>240</v>
      </c>
      <c r="U77" s="781">
        <v>238</v>
      </c>
      <c r="V77" s="781"/>
      <c r="W77" s="781">
        <v>166</v>
      </c>
      <c r="X77" s="781">
        <v>105</v>
      </c>
      <c r="Y77" s="782">
        <v>0</v>
      </c>
      <c r="Z77" s="783">
        <f t="shared" si="15"/>
        <v>0</v>
      </c>
      <c r="AA77" s="769">
        <f t="shared" si="20"/>
        <v>687</v>
      </c>
      <c r="AB77" s="769">
        <f t="shared" si="21"/>
        <v>478</v>
      </c>
      <c r="AC77" s="770">
        <f t="shared" si="16"/>
        <v>1165</v>
      </c>
      <c r="AD77" s="784">
        <f t="shared" si="17"/>
        <v>271</v>
      </c>
      <c r="AE77" s="785">
        <f t="shared" si="18"/>
        <v>1436</v>
      </c>
      <c r="AG77" s="773">
        <f t="shared" si="22"/>
        <v>0</v>
      </c>
      <c r="AH77" s="773">
        <f t="shared" si="19"/>
        <v>0</v>
      </c>
      <c r="AI77" s="773">
        <f t="shared" si="23"/>
        <v>0</v>
      </c>
      <c r="AJ77" s="773">
        <f t="shared" si="24"/>
        <v>687</v>
      </c>
      <c r="AK77" s="773">
        <f t="shared" si="25"/>
        <v>478</v>
      </c>
      <c r="AL77" s="773">
        <f t="shared" si="26"/>
        <v>271</v>
      </c>
      <c r="AM77" s="774">
        <f t="shared" si="27"/>
        <v>1165</v>
      </c>
      <c r="AN77" s="773">
        <f t="shared" si="28"/>
        <v>1436</v>
      </c>
    </row>
    <row r="78" spans="1:40" s="745" customFormat="1" ht="13.5" thickBot="1" x14ac:dyDescent="0.25">
      <c r="A78" s="758">
        <v>8312444</v>
      </c>
      <c r="B78" s="775">
        <v>2444</v>
      </c>
      <c r="C78" s="776" t="s">
        <v>255</v>
      </c>
      <c r="D78" s="777" t="s">
        <v>227</v>
      </c>
      <c r="E78" s="778" t="s">
        <v>56</v>
      </c>
      <c r="F78" s="779">
        <v>70</v>
      </c>
      <c r="G78" s="780"/>
      <c r="H78" s="781">
        <v>68</v>
      </c>
      <c r="I78" s="781">
        <v>70</v>
      </c>
      <c r="J78" s="781"/>
      <c r="K78" s="781">
        <v>0</v>
      </c>
      <c r="L78" s="781">
        <v>0</v>
      </c>
      <c r="M78" s="781">
        <v>0</v>
      </c>
      <c r="N78" s="781">
        <v>0</v>
      </c>
      <c r="O78" s="781"/>
      <c r="P78" s="781">
        <v>0</v>
      </c>
      <c r="Q78" s="781">
        <v>0</v>
      </c>
      <c r="R78" s="781">
        <v>0</v>
      </c>
      <c r="S78" s="781"/>
      <c r="T78" s="781">
        <v>0</v>
      </c>
      <c r="U78" s="781">
        <v>0</v>
      </c>
      <c r="V78" s="781"/>
      <c r="W78" s="781">
        <v>0</v>
      </c>
      <c r="X78" s="781">
        <v>0</v>
      </c>
      <c r="Y78" s="782">
        <v>0</v>
      </c>
      <c r="Z78" s="783">
        <f t="shared" si="15"/>
        <v>208</v>
      </c>
      <c r="AA78" s="769">
        <f t="shared" si="20"/>
        <v>0</v>
      </c>
      <c r="AB78" s="769">
        <f t="shared" si="21"/>
        <v>0</v>
      </c>
      <c r="AC78" s="770">
        <f t="shared" si="16"/>
        <v>208</v>
      </c>
      <c r="AD78" s="784">
        <f t="shared" si="17"/>
        <v>0</v>
      </c>
      <c r="AE78" s="785">
        <f t="shared" si="18"/>
        <v>208</v>
      </c>
      <c r="AG78" s="773">
        <f t="shared" si="22"/>
        <v>70</v>
      </c>
      <c r="AH78" s="773">
        <f t="shared" si="19"/>
        <v>138</v>
      </c>
      <c r="AI78" s="773">
        <f t="shared" si="23"/>
        <v>0</v>
      </c>
      <c r="AJ78" s="773">
        <f t="shared" si="24"/>
        <v>0</v>
      </c>
      <c r="AK78" s="773">
        <f t="shared" si="25"/>
        <v>0</v>
      </c>
      <c r="AL78" s="773">
        <f t="shared" si="26"/>
        <v>0</v>
      </c>
      <c r="AM78" s="774">
        <f t="shared" si="27"/>
        <v>208</v>
      </c>
      <c r="AN78" s="773">
        <f t="shared" si="28"/>
        <v>208</v>
      </c>
    </row>
    <row r="79" spans="1:40" s="745" customFormat="1" ht="13.5" thickBot="1" x14ac:dyDescent="0.25">
      <c r="A79" s="758">
        <v>8315209</v>
      </c>
      <c r="B79" s="775">
        <v>5209</v>
      </c>
      <c r="C79" s="776" t="s">
        <v>255</v>
      </c>
      <c r="D79" s="777" t="s">
        <v>898</v>
      </c>
      <c r="E79" s="778" t="s">
        <v>57</v>
      </c>
      <c r="F79" s="779">
        <v>0</v>
      </c>
      <c r="G79" s="780"/>
      <c r="H79" s="781">
        <v>0</v>
      </c>
      <c r="I79" s="781">
        <v>0</v>
      </c>
      <c r="J79" s="781"/>
      <c r="K79" s="781">
        <v>72</v>
      </c>
      <c r="L79" s="781">
        <v>65</v>
      </c>
      <c r="M79" s="781">
        <v>65</v>
      </c>
      <c r="N79" s="781">
        <v>72</v>
      </c>
      <c r="O79" s="781"/>
      <c r="P79" s="781">
        <v>0</v>
      </c>
      <c r="Q79" s="781">
        <v>0</v>
      </c>
      <c r="R79" s="781">
        <v>0</v>
      </c>
      <c r="S79" s="781"/>
      <c r="T79" s="781">
        <v>0</v>
      </c>
      <c r="U79" s="781">
        <v>0</v>
      </c>
      <c r="V79" s="781"/>
      <c r="W79" s="781">
        <v>0</v>
      </c>
      <c r="X79" s="781">
        <v>0</v>
      </c>
      <c r="Y79" s="782">
        <v>0</v>
      </c>
      <c r="Z79" s="783">
        <f t="shared" si="15"/>
        <v>274</v>
      </c>
      <c r="AA79" s="769">
        <f t="shared" si="20"/>
        <v>0</v>
      </c>
      <c r="AB79" s="769">
        <f t="shared" si="21"/>
        <v>0</v>
      </c>
      <c r="AC79" s="770">
        <f t="shared" si="16"/>
        <v>274</v>
      </c>
      <c r="AD79" s="784">
        <f t="shared" si="17"/>
        <v>0</v>
      </c>
      <c r="AE79" s="785">
        <f t="shared" si="18"/>
        <v>274</v>
      </c>
      <c r="AG79" s="773">
        <f t="shared" si="22"/>
        <v>0</v>
      </c>
      <c r="AH79" s="773">
        <f t="shared" si="19"/>
        <v>0</v>
      </c>
      <c r="AI79" s="773">
        <f t="shared" si="23"/>
        <v>274</v>
      </c>
      <c r="AJ79" s="773">
        <f t="shared" si="24"/>
        <v>0</v>
      </c>
      <c r="AK79" s="773">
        <f t="shared" si="25"/>
        <v>0</v>
      </c>
      <c r="AL79" s="773">
        <f t="shared" si="26"/>
        <v>0</v>
      </c>
      <c r="AM79" s="774">
        <f t="shared" si="27"/>
        <v>274</v>
      </c>
      <c r="AN79" s="773">
        <f t="shared" si="28"/>
        <v>274</v>
      </c>
    </row>
    <row r="80" spans="1:40" s="745" customFormat="1" ht="13.5" thickBot="1" x14ac:dyDescent="0.25">
      <c r="A80" s="758">
        <v>8312469</v>
      </c>
      <c r="B80" s="775">
        <v>2469</v>
      </c>
      <c r="C80" s="776" t="s">
        <v>255</v>
      </c>
      <c r="D80" s="777" t="s">
        <v>628</v>
      </c>
      <c r="E80" s="778" t="s">
        <v>58</v>
      </c>
      <c r="F80" s="779">
        <v>60</v>
      </c>
      <c r="G80" s="780"/>
      <c r="H80" s="781">
        <v>58</v>
      </c>
      <c r="I80" s="781">
        <v>59</v>
      </c>
      <c r="J80" s="781"/>
      <c r="K80" s="781">
        <v>60</v>
      </c>
      <c r="L80" s="781">
        <v>56</v>
      </c>
      <c r="M80" s="781">
        <v>59</v>
      </c>
      <c r="N80" s="781">
        <v>59</v>
      </c>
      <c r="O80" s="781"/>
      <c r="P80" s="781">
        <v>0</v>
      </c>
      <c r="Q80" s="781">
        <v>0</v>
      </c>
      <c r="R80" s="781">
        <v>0</v>
      </c>
      <c r="S80" s="781"/>
      <c r="T80" s="781">
        <v>0</v>
      </c>
      <c r="U80" s="781">
        <v>0</v>
      </c>
      <c r="V80" s="781"/>
      <c r="W80" s="781">
        <v>0</v>
      </c>
      <c r="X80" s="781">
        <v>0</v>
      </c>
      <c r="Y80" s="782">
        <v>0</v>
      </c>
      <c r="Z80" s="783">
        <f t="shared" si="15"/>
        <v>411</v>
      </c>
      <c r="AA80" s="769">
        <f t="shared" si="20"/>
        <v>0</v>
      </c>
      <c r="AB80" s="769">
        <f t="shared" si="21"/>
        <v>0</v>
      </c>
      <c r="AC80" s="770">
        <f t="shared" si="16"/>
        <v>411</v>
      </c>
      <c r="AD80" s="784">
        <f t="shared" si="17"/>
        <v>0</v>
      </c>
      <c r="AE80" s="785">
        <f t="shared" si="18"/>
        <v>411</v>
      </c>
      <c r="AG80" s="773">
        <f t="shared" si="22"/>
        <v>60</v>
      </c>
      <c r="AH80" s="773">
        <f t="shared" si="19"/>
        <v>117</v>
      </c>
      <c r="AI80" s="773">
        <f t="shared" si="23"/>
        <v>234</v>
      </c>
      <c r="AJ80" s="773">
        <f t="shared" si="24"/>
        <v>0</v>
      </c>
      <c r="AK80" s="773">
        <f t="shared" si="25"/>
        <v>0</v>
      </c>
      <c r="AL80" s="773">
        <f t="shared" si="26"/>
        <v>0</v>
      </c>
      <c r="AM80" s="774">
        <f t="shared" si="27"/>
        <v>411</v>
      </c>
      <c r="AN80" s="773">
        <f t="shared" si="28"/>
        <v>411</v>
      </c>
    </row>
    <row r="81" spans="1:40" s="745" customFormat="1" ht="13.5" thickBot="1" x14ac:dyDescent="0.25">
      <c r="A81" s="758">
        <v>8312466</v>
      </c>
      <c r="B81" s="775">
        <v>2466</v>
      </c>
      <c r="C81" s="776" t="s">
        <v>255</v>
      </c>
      <c r="D81" s="777" t="s">
        <v>629</v>
      </c>
      <c r="E81" s="778" t="s">
        <v>59</v>
      </c>
      <c r="F81" s="779">
        <v>32</v>
      </c>
      <c r="G81" s="780"/>
      <c r="H81" s="781">
        <v>28</v>
      </c>
      <c r="I81" s="781">
        <v>31</v>
      </c>
      <c r="J81" s="781"/>
      <c r="K81" s="781">
        <v>33</v>
      </c>
      <c r="L81" s="781">
        <v>33</v>
      </c>
      <c r="M81" s="781">
        <v>18</v>
      </c>
      <c r="N81" s="781">
        <v>30</v>
      </c>
      <c r="O81" s="781"/>
      <c r="P81" s="781">
        <v>0</v>
      </c>
      <c r="Q81" s="781">
        <v>0</v>
      </c>
      <c r="R81" s="781">
        <v>0</v>
      </c>
      <c r="S81" s="781"/>
      <c r="T81" s="781">
        <v>0</v>
      </c>
      <c r="U81" s="781">
        <v>0</v>
      </c>
      <c r="V81" s="781"/>
      <c r="W81" s="781">
        <v>0</v>
      </c>
      <c r="X81" s="781">
        <v>0</v>
      </c>
      <c r="Y81" s="782">
        <v>0</v>
      </c>
      <c r="Z81" s="783">
        <f t="shared" si="15"/>
        <v>205</v>
      </c>
      <c r="AA81" s="769">
        <f t="shared" si="20"/>
        <v>0</v>
      </c>
      <c r="AB81" s="769">
        <f t="shared" si="21"/>
        <v>0</v>
      </c>
      <c r="AC81" s="770">
        <f t="shared" si="16"/>
        <v>205</v>
      </c>
      <c r="AD81" s="784">
        <f t="shared" si="17"/>
        <v>0</v>
      </c>
      <c r="AE81" s="785">
        <f t="shared" si="18"/>
        <v>205</v>
      </c>
      <c r="AG81" s="773">
        <f t="shared" si="22"/>
        <v>32</v>
      </c>
      <c r="AH81" s="773">
        <f t="shared" si="19"/>
        <v>59</v>
      </c>
      <c r="AI81" s="773">
        <f t="shared" si="23"/>
        <v>114</v>
      </c>
      <c r="AJ81" s="773">
        <f t="shared" si="24"/>
        <v>0</v>
      </c>
      <c r="AK81" s="773">
        <f t="shared" si="25"/>
        <v>0</v>
      </c>
      <c r="AL81" s="773">
        <f t="shared" si="26"/>
        <v>0</v>
      </c>
      <c r="AM81" s="774">
        <f t="shared" si="27"/>
        <v>205</v>
      </c>
      <c r="AN81" s="773">
        <f t="shared" si="28"/>
        <v>205</v>
      </c>
    </row>
    <row r="82" spans="1:40" s="745" customFormat="1" ht="13.5" thickBot="1" x14ac:dyDescent="0.25">
      <c r="A82" s="758">
        <v>8313543</v>
      </c>
      <c r="B82" s="775">
        <v>3543</v>
      </c>
      <c r="C82" s="776" t="s">
        <v>255</v>
      </c>
      <c r="D82" s="777" t="s">
        <v>229</v>
      </c>
      <c r="E82" s="778" t="s">
        <v>60</v>
      </c>
      <c r="F82" s="779">
        <v>45</v>
      </c>
      <c r="G82" s="780"/>
      <c r="H82" s="781">
        <v>45</v>
      </c>
      <c r="I82" s="781">
        <v>44</v>
      </c>
      <c r="J82" s="781"/>
      <c r="K82" s="781">
        <v>42</v>
      </c>
      <c r="L82" s="781">
        <v>46</v>
      </c>
      <c r="M82" s="781">
        <v>44</v>
      </c>
      <c r="N82" s="781">
        <v>35</v>
      </c>
      <c r="O82" s="781"/>
      <c r="P82" s="781">
        <v>0</v>
      </c>
      <c r="Q82" s="781">
        <v>0</v>
      </c>
      <c r="R82" s="781">
        <v>0</v>
      </c>
      <c r="S82" s="781"/>
      <c r="T82" s="781">
        <v>0</v>
      </c>
      <c r="U82" s="781">
        <v>0</v>
      </c>
      <c r="V82" s="781"/>
      <c r="W82" s="781">
        <v>0</v>
      </c>
      <c r="X82" s="781">
        <v>0</v>
      </c>
      <c r="Y82" s="782">
        <v>0</v>
      </c>
      <c r="Z82" s="783">
        <f t="shared" si="15"/>
        <v>301</v>
      </c>
      <c r="AA82" s="769">
        <f t="shared" si="20"/>
        <v>0</v>
      </c>
      <c r="AB82" s="769">
        <f t="shared" si="21"/>
        <v>0</v>
      </c>
      <c r="AC82" s="770">
        <f t="shared" si="16"/>
        <v>301</v>
      </c>
      <c r="AD82" s="784">
        <f t="shared" si="17"/>
        <v>0</v>
      </c>
      <c r="AE82" s="785">
        <f t="shared" si="18"/>
        <v>301</v>
      </c>
      <c r="AG82" s="773">
        <f t="shared" si="22"/>
        <v>45</v>
      </c>
      <c r="AH82" s="773">
        <f t="shared" si="19"/>
        <v>89</v>
      </c>
      <c r="AI82" s="773">
        <f t="shared" si="23"/>
        <v>167</v>
      </c>
      <c r="AJ82" s="773">
        <f t="shared" si="24"/>
        <v>0</v>
      </c>
      <c r="AK82" s="773">
        <f t="shared" si="25"/>
        <v>0</v>
      </c>
      <c r="AL82" s="773">
        <f t="shared" si="26"/>
        <v>0</v>
      </c>
      <c r="AM82" s="774">
        <f t="shared" si="27"/>
        <v>301</v>
      </c>
      <c r="AN82" s="773">
        <f t="shared" si="28"/>
        <v>301</v>
      </c>
    </row>
    <row r="83" spans="1:40" s="745" customFormat="1" ht="13.5" thickBot="1" x14ac:dyDescent="0.25">
      <c r="A83" s="758">
        <v>8317027</v>
      </c>
      <c r="B83" s="775">
        <v>7027</v>
      </c>
      <c r="C83" s="795" t="s">
        <v>615</v>
      </c>
      <c r="D83" s="777" t="s">
        <v>509</v>
      </c>
      <c r="E83" s="778" t="s">
        <v>508</v>
      </c>
      <c r="F83" s="779">
        <v>0</v>
      </c>
      <c r="G83" s="780"/>
      <c r="H83" s="781">
        <v>0</v>
      </c>
      <c r="I83" s="781">
        <v>0</v>
      </c>
      <c r="J83" s="781"/>
      <c r="K83" s="781">
        <v>0</v>
      </c>
      <c r="L83" s="781">
        <v>0</v>
      </c>
      <c r="M83" s="781">
        <v>0</v>
      </c>
      <c r="N83" s="781">
        <v>0</v>
      </c>
      <c r="O83" s="781"/>
      <c r="P83" s="781">
        <v>13</v>
      </c>
      <c r="Q83" s="781">
        <v>13</v>
      </c>
      <c r="R83" s="781">
        <v>14</v>
      </c>
      <c r="S83" s="781"/>
      <c r="T83" s="781">
        <v>11</v>
      </c>
      <c r="U83" s="781">
        <v>12</v>
      </c>
      <c r="V83" s="781"/>
      <c r="W83" s="781">
        <v>15</v>
      </c>
      <c r="X83" s="781">
        <v>12</v>
      </c>
      <c r="Y83" s="782">
        <v>11</v>
      </c>
      <c r="Z83" s="783">
        <f t="shared" si="15"/>
        <v>0</v>
      </c>
      <c r="AA83" s="769">
        <f t="shared" si="20"/>
        <v>40</v>
      </c>
      <c r="AB83" s="769">
        <f t="shared" si="21"/>
        <v>23</v>
      </c>
      <c r="AC83" s="770">
        <f t="shared" si="16"/>
        <v>63</v>
      </c>
      <c r="AD83" s="784">
        <f t="shared" si="17"/>
        <v>38</v>
      </c>
      <c r="AE83" s="785">
        <f t="shared" si="18"/>
        <v>101</v>
      </c>
      <c r="AG83" s="773">
        <f t="shared" si="22"/>
        <v>0</v>
      </c>
      <c r="AH83" s="773">
        <f t="shared" si="19"/>
        <v>0</v>
      </c>
      <c r="AI83" s="773">
        <f t="shared" si="23"/>
        <v>0</v>
      </c>
      <c r="AJ83" s="773">
        <f t="shared" si="24"/>
        <v>40</v>
      </c>
      <c r="AK83" s="773">
        <f t="shared" si="25"/>
        <v>23</v>
      </c>
      <c r="AL83" s="773">
        <f t="shared" si="26"/>
        <v>38</v>
      </c>
      <c r="AM83" s="774">
        <f t="shared" si="27"/>
        <v>63</v>
      </c>
      <c r="AN83" s="773">
        <f t="shared" si="28"/>
        <v>101</v>
      </c>
    </row>
    <row r="84" spans="1:40" s="745" customFormat="1" ht="13.5" thickBot="1" x14ac:dyDescent="0.25">
      <c r="A84" s="758">
        <v>8313158</v>
      </c>
      <c r="B84" s="775">
        <v>3158</v>
      </c>
      <c r="C84" s="776" t="s">
        <v>255</v>
      </c>
      <c r="D84" s="777" t="s">
        <v>230</v>
      </c>
      <c r="E84" s="778" t="s">
        <v>61</v>
      </c>
      <c r="F84" s="779">
        <v>40</v>
      </c>
      <c r="G84" s="780"/>
      <c r="H84" s="781">
        <v>40</v>
      </c>
      <c r="I84" s="781">
        <v>40</v>
      </c>
      <c r="J84" s="781"/>
      <c r="K84" s="781">
        <v>0</v>
      </c>
      <c r="L84" s="781">
        <v>0</v>
      </c>
      <c r="M84" s="781">
        <v>0</v>
      </c>
      <c r="N84" s="781">
        <v>0</v>
      </c>
      <c r="O84" s="781"/>
      <c r="P84" s="781">
        <v>0</v>
      </c>
      <c r="Q84" s="781">
        <v>0</v>
      </c>
      <c r="R84" s="781">
        <v>0</v>
      </c>
      <c r="S84" s="781"/>
      <c r="T84" s="781">
        <v>0</v>
      </c>
      <c r="U84" s="781">
        <v>0</v>
      </c>
      <c r="V84" s="781"/>
      <c r="W84" s="781">
        <v>0</v>
      </c>
      <c r="X84" s="781">
        <v>0</v>
      </c>
      <c r="Y84" s="782">
        <v>0</v>
      </c>
      <c r="Z84" s="783">
        <f t="shared" si="15"/>
        <v>120</v>
      </c>
      <c r="AA84" s="769">
        <f t="shared" si="20"/>
        <v>0</v>
      </c>
      <c r="AB84" s="769">
        <f t="shared" si="21"/>
        <v>0</v>
      </c>
      <c r="AC84" s="770">
        <f t="shared" si="16"/>
        <v>120</v>
      </c>
      <c r="AD84" s="784">
        <f t="shared" si="17"/>
        <v>0</v>
      </c>
      <c r="AE84" s="785">
        <f t="shared" si="18"/>
        <v>120</v>
      </c>
      <c r="AG84" s="773">
        <f t="shared" si="22"/>
        <v>40</v>
      </c>
      <c r="AH84" s="773">
        <f t="shared" si="19"/>
        <v>80</v>
      </c>
      <c r="AI84" s="773">
        <f t="shared" si="23"/>
        <v>0</v>
      </c>
      <c r="AJ84" s="773">
        <f t="shared" si="24"/>
        <v>0</v>
      </c>
      <c r="AK84" s="773">
        <f t="shared" si="25"/>
        <v>0</v>
      </c>
      <c r="AL84" s="773">
        <f t="shared" si="26"/>
        <v>0</v>
      </c>
      <c r="AM84" s="774">
        <f t="shared" si="27"/>
        <v>120</v>
      </c>
      <c r="AN84" s="773">
        <f t="shared" si="28"/>
        <v>120</v>
      </c>
    </row>
    <row r="85" spans="1:40" s="745" customFormat="1" ht="13.5" thickBot="1" x14ac:dyDescent="0.25">
      <c r="A85" s="758">
        <v>8317025</v>
      </c>
      <c r="B85" s="775">
        <v>7025</v>
      </c>
      <c r="C85" s="795" t="s">
        <v>615</v>
      </c>
      <c r="D85" s="777" t="s">
        <v>511</v>
      </c>
      <c r="E85" s="778" t="s">
        <v>510</v>
      </c>
      <c r="F85" s="779">
        <v>0</v>
      </c>
      <c r="G85" s="780"/>
      <c r="H85" s="781">
        <v>0</v>
      </c>
      <c r="I85" s="781">
        <v>0</v>
      </c>
      <c r="J85" s="781"/>
      <c r="K85" s="781">
        <v>0</v>
      </c>
      <c r="L85" s="781">
        <v>0</v>
      </c>
      <c r="M85" s="781">
        <v>0</v>
      </c>
      <c r="N85" s="781">
        <v>0</v>
      </c>
      <c r="O85" s="781"/>
      <c r="P85" s="781">
        <v>10</v>
      </c>
      <c r="Q85" s="781">
        <v>19</v>
      </c>
      <c r="R85" s="781">
        <v>11</v>
      </c>
      <c r="S85" s="781"/>
      <c r="T85" s="781">
        <v>25</v>
      </c>
      <c r="U85" s="781">
        <v>24</v>
      </c>
      <c r="V85" s="781"/>
      <c r="W85" s="781">
        <v>0</v>
      </c>
      <c r="X85" s="781">
        <v>0</v>
      </c>
      <c r="Y85" s="782">
        <v>0</v>
      </c>
      <c r="Z85" s="783">
        <f t="shared" si="15"/>
        <v>0</v>
      </c>
      <c r="AA85" s="769">
        <f t="shared" si="20"/>
        <v>40</v>
      </c>
      <c r="AB85" s="769">
        <f t="shared" si="21"/>
        <v>49</v>
      </c>
      <c r="AC85" s="770">
        <f t="shared" si="16"/>
        <v>89</v>
      </c>
      <c r="AD85" s="784">
        <f t="shared" si="17"/>
        <v>0</v>
      </c>
      <c r="AE85" s="785">
        <f t="shared" si="18"/>
        <v>89</v>
      </c>
      <c r="AG85" s="773">
        <f t="shared" si="22"/>
        <v>0</v>
      </c>
      <c r="AH85" s="773">
        <f t="shared" si="19"/>
        <v>0</v>
      </c>
      <c r="AI85" s="773">
        <f t="shared" si="23"/>
        <v>0</v>
      </c>
      <c r="AJ85" s="773">
        <f t="shared" si="24"/>
        <v>40</v>
      </c>
      <c r="AK85" s="773">
        <f t="shared" si="25"/>
        <v>49</v>
      </c>
      <c r="AL85" s="773">
        <f t="shared" si="26"/>
        <v>0</v>
      </c>
      <c r="AM85" s="774">
        <f t="shared" si="27"/>
        <v>89</v>
      </c>
      <c r="AN85" s="773">
        <f t="shared" si="28"/>
        <v>89</v>
      </c>
    </row>
    <row r="86" spans="1:40" s="745" customFormat="1" ht="13.5" thickBot="1" x14ac:dyDescent="0.25">
      <c r="A86" s="758">
        <v>8313531</v>
      </c>
      <c r="B86" s="775">
        <v>3531</v>
      </c>
      <c r="C86" s="776" t="s">
        <v>255</v>
      </c>
      <c r="D86" s="777" t="s">
        <v>899</v>
      </c>
      <c r="E86" s="778" t="s">
        <v>62</v>
      </c>
      <c r="F86" s="779">
        <v>50</v>
      </c>
      <c r="G86" s="786"/>
      <c r="H86" s="781">
        <v>50</v>
      </c>
      <c r="I86" s="781">
        <v>51</v>
      </c>
      <c r="J86" s="787"/>
      <c r="K86" s="781">
        <v>52</v>
      </c>
      <c r="L86" s="781">
        <v>49</v>
      </c>
      <c r="M86" s="781">
        <v>51</v>
      </c>
      <c r="N86" s="781">
        <v>49</v>
      </c>
      <c r="O86" s="787"/>
      <c r="P86" s="787">
        <v>0</v>
      </c>
      <c r="Q86" s="787">
        <v>0</v>
      </c>
      <c r="R86" s="787">
        <v>0</v>
      </c>
      <c r="S86" s="787"/>
      <c r="T86" s="787">
        <v>0</v>
      </c>
      <c r="U86" s="787">
        <v>0</v>
      </c>
      <c r="V86" s="787"/>
      <c r="W86" s="787">
        <v>0</v>
      </c>
      <c r="X86" s="787">
        <v>0</v>
      </c>
      <c r="Y86" s="788">
        <v>0</v>
      </c>
      <c r="Z86" s="783">
        <f t="shared" si="15"/>
        <v>352</v>
      </c>
      <c r="AA86" s="769">
        <f t="shared" si="20"/>
        <v>0</v>
      </c>
      <c r="AB86" s="769">
        <f t="shared" si="21"/>
        <v>0</v>
      </c>
      <c r="AC86" s="770">
        <f t="shared" si="16"/>
        <v>352</v>
      </c>
      <c r="AD86" s="789">
        <f t="shared" si="17"/>
        <v>0</v>
      </c>
      <c r="AE86" s="785">
        <f t="shared" si="18"/>
        <v>352</v>
      </c>
      <c r="AG86" s="773">
        <f t="shared" si="22"/>
        <v>50</v>
      </c>
      <c r="AH86" s="773">
        <f t="shared" si="19"/>
        <v>101</v>
      </c>
      <c r="AI86" s="773">
        <f t="shared" si="23"/>
        <v>201</v>
      </c>
      <c r="AJ86" s="773">
        <f t="shared" si="24"/>
        <v>0</v>
      </c>
      <c r="AK86" s="773">
        <f t="shared" si="25"/>
        <v>0</v>
      </c>
      <c r="AL86" s="773">
        <f t="shared" si="26"/>
        <v>0</v>
      </c>
      <c r="AM86" s="774">
        <f t="shared" si="27"/>
        <v>352</v>
      </c>
      <c r="AN86" s="773">
        <f t="shared" si="28"/>
        <v>352</v>
      </c>
    </row>
    <row r="87" spans="1:40" s="745" customFormat="1" ht="13.5" thickBot="1" x14ac:dyDescent="0.25">
      <c r="A87" s="758">
        <v>8317024</v>
      </c>
      <c r="B87" s="775">
        <v>7024</v>
      </c>
      <c r="C87" s="795" t="s">
        <v>615</v>
      </c>
      <c r="D87" s="777" t="s">
        <v>513</v>
      </c>
      <c r="E87" s="778" t="s">
        <v>512</v>
      </c>
      <c r="F87" s="779">
        <v>9</v>
      </c>
      <c r="G87" s="780"/>
      <c r="H87" s="781">
        <v>11</v>
      </c>
      <c r="I87" s="781">
        <v>8</v>
      </c>
      <c r="J87" s="781"/>
      <c r="K87" s="781">
        <v>21</v>
      </c>
      <c r="L87" s="781">
        <v>21</v>
      </c>
      <c r="M87" s="781">
        <v>21</v>
      </c>
      <c r="N87" s="781">
        <v>16</v>
      </c>
      <c r="O87" s="781"/>
      <c r="P87" s="781">
        <v>0</v>
      </c>
      <c r="Q87" s="781">
        <v>0</v>
      </c>
      <c r="R87" s="781">
        <v>0</v>
      </c>
      <c r="S87" s="781"/>
      <c r="T87" s="781">
        <v>0</v>
      </c>
      <c r="U87" s="781">
        <v>0</v>
      </c>
      <c r="V87" s="781"/>
      <c r="W87" s="781">
        <v>0</v>
      </c>
      <c r="X87" s="781">
        <v>0</v>
      </c>
      <c r="Y87" s="782">
        <v>0</v>
      </c>
      <c r="Z87" s="783">
        <f t="shared" si="15"/>
        <v>107</v>
      </c>
      <c r="AA87" s="769">
        <f t="shared" si="20"/>
        <v>0</v>
      </c>
      <c r="AB87" s="769">
        <f t="shared" si="21"/>
        <v>0</v>
      </c>
      <c r="AC87" s="770">
        <f t="shared" si="16"/>
        <v>107</v>
      </c>
      <c r="AD87" s="784">
        <f t="shared" si="17"/>
        <v>0</v>
      </c>
      <c r="AE87" s="785">
        <f t="shared" si="18"/>
        <v>107</v>
      </c>
      <c r="AG87" s="773">
        <f t="shared" si="22"/>
        <v>9</v>
      </c>
      <c r="AH87" s="773">
        <f t="shared" si="19"/>
        <v>19</v>
      </c>
      <c r="AI87" s="773">
        <f t="shared" si="23"/>
        <v>79</v>
      </c>
      <c r="AJ87" s="773">
        <f t="shared" si="24"/>
        <v>0</v>
      </c>
      <c r="AK87" s="773">
        <f t="shared" si="25"/>
        <v>0</v>
      </c>
      <c r="AL87" s="773">
        <f t="shared" si="26"/>
        <v>0</v>
      </c>
      <c r="AM87" s="774">
        <f t="shared" si="27"/>
        <v>107</v>
      </c>
      <c r="AN87" s="773">
        <f t="shared" si="28"/>
        <v>107</v>
      </c>
    </row>
    <row r="88" spans="1:40" s="745" customFormat="1" ht="13.5" thickBot="1" x14ac:dyDescent="0.25">
      <c r="A88" s="758">
        <v>8313526</v>
      </c>
      <c r="B88" s="775">
        <v>3526</v>
      </c>
      <c r="C88" s="776" t="s">
        <v>255</v>
      </c>
      <c r="D88" s="777" t="s">
        <v>231</v>
      </c>
      <c r="E88" s="778" t="s">
        <v>63</v>
      </c>
      <c r="F88" s="779">
        <v>30</v>
      </c>
      <c r="G88" s="780"/>
      <c r="H88" s="781">
        <v>26</v>
      </c>
      <c r="I88" s="781">
        <v>29</v>
      </c>
      <c r="J88" s="781"/>
      <c r="K88" s="781">
        <v>0</v>
      </c>
      <c r="L88" s="781">
        <v>0</v>
      </c>
      <c r="M88" s="781">
        <v>0</v>
      </c>
      <c r="N88" s="781">
        <v>0</v>
      </c>
      <c r="O88" s="781"/>
      <c r="P88" s="781">
        <v>0</v>
      </c>
      <c r="Q88" s="781">
        <v>0</v>
      </c>
      <c r="R88" s="781">
        <v>0</v>
      </c>
      <c r="S88" s="781"/>
      <c r="T88" s="781">
        <v>0</v>
      </c>
      <c r="U88" s="781">
        <v>0</v>
      </c>
      <c r="V88" s="781"/>
      <c r="W88" s="781">
        <v>0</v>
      </c>
      <c r="X88" s="781">
        <v>0</v>
      </c>
      <c r="Y88" s="782">
        <v>0</v>
      </c>
      <c r="Z88" s="783">
        <f t="shared" si="15"/>
        <v>85</v>
      </c>
      <c r="AA88" s="769">
        <f t="shared" si="20"/>
        <v>0</v>
      </c>
      <c r="AB88" s="769">
        <f t="shared" si="21"/>
        <v>0</v>
      </c>
      <c r="AC88" s="770">
        <f t="shared" si="16"/>
        <v>85</v>
      </c>
      <c r="AD88" s="784">
        <f t="shared" si="17"/>
        <v>0</v>
      </c>
      <c r="AE88" s="785">
        <f t="shared" si="18"/>
        <v>85</v>
      </c>
      <c r="AG88" s="773">
        <f t="shared" si="22"/>
        <v>30</v>
      </c>
      <c r="AH88" s="773">
        <f t="shared" si="19"/>
        <v>55</v>
      </c>
      <c r="AI88" s="773">
        <f t="shared" si="23"/>
        <v>0</v>
      </c>
      <c r="AJ88" s="773">
        <f t="shared" si="24"/>
        <v>0</v>
      </c>
      <c r="AK88" s="773">
        <f t="shared" si="25"/>
        <v>0</v>
      </c>
      <c r="AL88" s="773">
        <f t="shared" si="26"/>
        <v>0</v>
      </c>
      <c r="AM88" s="774">
        <f t="shared" si="27"/>
        <v>85</v>
      </c>
      <c r="AN88" s="773">
        <f t="shared" si="28"/>
        <v>85</v>
      </c>
    </row>
    <row r="89" spans="1:40" s="745" customFormat="1" ht="13.5" thickBot="1" x14ac:dyDescent="0.25">
      <c r="A89" s="758">
        <v>8313535</v>
      </c>
      <c r="B89" s="775">
        <v>3535</v>
      </c>
      <c r="C89" s="776" t="s">
        <v>255</v>
      </c>
      <c r="D89" s="777" t="s">
        <v>630</v>
      </c>
      <c r="E89" s="778" t="s">
        <v>900</v>
      </c>
      <c r="F89" s="779">
        <v>0</v>
      </c>
      <c r="G89" s="780"/>
      <c r="H89" s="781">
        <v>0</v>
      </c>
      <c r="I89" s="781">
        <v>0</v>
      </c>
      <c r="J89" s="781"/>
      <c r="K89" s="781">
        <v>75</v>
      </c>
      <c r="L89" s="781">
        <v>75</v>
      </c>
      <c r="M89" s="781">
        <v>74</v>
      </c>
      <c r="N89" s="781">
        <v>74</v>
      </c>
      <c r="O89" s="781">
        <v>-1</v>
      </c>
      <c r="P89" s="781">
        <v>0</v>
      </c>
      <c r="Q89" s="781">
        <v>0</v>
      </c>
      <c r="R89" s="781">
        <v>0</v>
      </c>
      <c r="S89" s="781"/>
      <c r="T89" s="781">
        <v>0</v>
      </c>
      <c r="U89" s="781">
        <v>0</v>
      </c>
      <c r="V89" s="781"/>
      <c r="W89" s="781">
        <v>0</v>
      </c>
      <c r="X89" s="781">
        <v>0</v>
      </c>
      <c r="Y89" s="782">
        <v>0</v>
      </c>
      <c r="Z89" s="783">
        <f t="shared" si="15"/>
        <v>297</v>
      </c>
      <c r="AA89" s="769">
        <f t="shared" si="20"/>
        <v>0</v>
      </c>
      <c r="AB89" s="769">
        <f t="shared" si="21"/>
        <v>0</v>
      </c>
      <c r="AC89" s="770">
        <f t="shared" si="16"/>
        <v>297</v>
      </c>
      <c r="AD89" s="784">
        <f t="shared" si="17"/>
        <v>0</v>
      </c>
      <c r="AE89" s="785">
        <f t="shared" si="18"/>
        <v>297</v>
      </c>
      <c r="AG89" s="773">
        <f t="shared" si="22"/>
        <v>0</v>
      </c>
      <c r="AH89" s="773">
        <f t="shared" si="19"/>
        <v>0</v>
      </c>
      <c r="AI89" s="773">
        <f t="shared" si="23"/>
        <v>297</v>
      </c>
      <c r="AJ89" s="773">
        <f t="shared" si="24"/>
        <v>0</v>
      </c>
      <c r="AK89" s="773">
        <f t="shared" si="25"/>
        <v>0</v>
      </c>
      <c r="AL89" s="773">
        <f t="shared" si="26"/>
        <v>0</v>
      </c>
      <c r="AM89" s="774">
        <f t="shared" si="27"/>
        <v>297</v>
      </c>
      <c r="AN89" s="773">
        <f t="shared" si="28"/>
        <v>297</v>
      </c>
    </row>
    <row r="90" spans="1:40" s="745" customFormat="1" ht="13.5" thickBot="1" x14ac:dyDescent="0.25">
      <c r="A90" s="758">
        <v>8312008</v>
      </c>
      <c r="B90" s="775">
        <v>2008</v>
      </c>
      <c r="C90" s="776" t="s">
        <v>255</v>
      </c>
      <c r="D90" s="777" t="s">
        <v>901</v>
      </c>
      <c r="E90" s="778" t="s">
        <v>64</v>
      </c>
      <c r="F90" s="779">
        <v>30</v>
      </c>
      <c r="G90" s="780"/>
      <c r="H90" s="781">
        <v>30</v>
      </c>
      <c r="I90" s="781">
        <v>30</v>
      </c>
      <c r="J90" s="781"/>
      <c r="K90" s="781">
        <v>35</v>
      </c>
      <c r="L90" s="781">
        <v>35</v>
      </c>
      <c r="M90" s="781">
        <v>35</v>
      </c>
      <c r="N90" s="781">
        <v>33</v>
      </c>
      <c r="O90" s="781"/>
      <c r="P90" s="781">
        <v>0</v>
      </c>
      <c r="Q90" s="781">
        <v>0</v>
      </c>
      <c r="R90" s="781">
        <v>0</v>
      </c>
      <c r="S90" s="781"/>
      <c r="T90" s="781">
        <v>0</v>
      </c>
      <c r="U90" s="781">
        <v>0</v>
      </c>
      <c r="V90" s="781"/>
      <c r="W90" s="781">
        <v>0</v>
      </c>
      <c r="X90" s="781">
        <v>0</v>
      </c>
      <c r="Y90" s="782">
        <v>0</v>
      </c>
      <c r="Z90" s="783">
        <f t="shared" si="15"/>
        <v>228</v>
      </c>
      <c r="AA90" s="769">
        <f t="shared" si="20"/>
        <v>0</v>
      </c>
      <c r="AB90" s="769">
        <f t="shared" si="21"/>
        <v>0</v>
      </c>
      <c r="AC90" s="770">
        <f t="shared" si="16"/>
        <v>228</v>
      </c>
      <c r="AD90" s="784">
        <f t="shared" si="17"/>
        <v>0</v>
      </c>
      <c r="AE90" s="785">
        <f t="shared" si="18"/>
        <v>228</v>
      </c>
      <c r="AG90" s="773">
        <f t="shared" si="22"/>
        <v>30</v>
      </c>
      <c r="AH90" s="773">
        <f t="shared" si="19"/>
        <v>60</v>
      </c>
      <c r="AI90" s="773">
        <f t="shared" si="23"/>
        <v>138</v>
      </c>
      <c r="AJ90" s="773">
        <f t="shared" si="24"/>
        <v>0</v>
      </c>
      <c r="AK90" s="773">
        <f t="shared" si="25"/>
        <v>0</v>
      </c>
      <c r="AL90" s="773">
        <f t="shared" si="26"/>
        <v>0</v>
      </c>
      <c r="AM90" s="774">
        <f t="shared" si="27"/>
        <v>228</v>
      </c>
      <c r="AN90" s="773">
        <f t="shared" si="28"/>
        <v>228</v>
      </c>
    </row>
    <row r="91" spans="1:40" s="745" customFormat="1" ht="13.5" thickBot="1" x14ac:dyDescent="0.25">
      <c r="A91" s="758">
        <v>8313542</v>
      </c>
      <c r="B91" s="775">
        <v>3542</v>
      </c>
      <c r="C91" s="776" t="s">
        <v>255</v>
      </c>
      <c r="D91" s="777" t="s">
        <v>631</v>
      </c>
      <c r="E91" s="778" t="s">
        <v>632</v>
      </c>
      <c r="F91" s="779">
        <v>50</v>
      </c>
      <c r="G91" s="780"/>
      <c r="H91" s="781">
        <v>54</v>
      </c>
      <c r="I91" s="781">
        <v>51</v>
      </c>
      <c r="J91" s="781"/>
      <c r="K91" s="781">
        <v>46</v>
      </c>
      <c r="L91" s="781">
        <v>51</v>
      </c>
      <c r="M91" s="781">
        <v>47</v>
      </c>
      <c r="N91" s="781">
        <v>52</v>
      </c>
      <c r="O91" s="781"/>
      <c r="P91" s="781">
        <v>0</v>
      </c>
      <c r="Q91" s="781">
        <v>0</v>
      </c>
      <c r="R91" s="781">
        <v>0</v>
      </c>
      <c r="S91" s="781"/>
      <c r="T91" s="781">
        <v>0</v>
      </c>
      <c r="U91" s="781">
        <v>0</v>
      </c>
      <c r="V91" s="781"/>
      <c r="W91" s="781">
        <v>0</v>
      </c>
      <c r="X91" s="781">
        <v>0</v>
      </c>
      <c r="Y91" s="782">
        <v>0</v>
      </c>
      <c r="Z91" s="783">
        <f t="shared" si="15"/>
        <v>351</v>
      </c>
      <c r="AA91" s="769">
        <f t="shared" si="20"/>
        <v>0</v>
      </c>
      <c r="AB91" s="769">
        <f t="shared" si="21"/>
        <v>0</v>
      </c>
      <c r="AC91" s="770">
        <f t="shared" si="16"/>
        <v>351</v>
      </c>
      <c r="AD91" s="784">
        <f t="shared" si="17"/>
        <v>0</v>
      </c>
      <c r="AE91" s="785">
        <f t="shared" si="18"/>
        <v>351</v>
      </c>
      <c r="AG91" s="773">
        <f t="shared" si="22"/>
        <v>50</v>
      </c>
      <c r="AH91" s="773">
        <f t="shared" si="19"/>
        <v>105</v>
      </c>
      <c r="AI91" s="773">
        <f t="shared" si="23"/>
        <v>196</v>
      </c>
      <c r="AJ91" s="773">
        <f t="shared" si="24"/>
        <v>0</v>
      </c>
      <c r="AK91" s="773">
        <f t="shared" si="25"/>
        <v>0</v>
      </c>
      <c r="AL91" s="773">
        <f t="shared" si="26"/>
        <v>0</v>
      </c>
      <c r="AM91" s="774">
        <f t="shared" si="27"/>
        <v>351</v>
      </c>
      <c r="AN91" s="773">
        <f t="shared" si="28"/>
        <v>351</v>
      </c>
    </row>
    <row r="92" spans="1:40" s="745" customFormat="1" ht="13.5" thickBot="1" x14ac:dyDescent="0.25">
      <c r="A92" s="758">
        <v>8317021</v>
      </c>
      <c r="B92" s="775">
        <v>7021</v>
      </c>
      <c r="C92" s="795" t="s">
        <v>615</v>
      </c>
      <c r="D92" s="777" t="s">
        <v>514</v>
      </c>
      <c r="E92" s="778" t="s">
        <v>902</v>
      </c>
      <c r="F92" s="779">
        <v>0</v>
      </c>
      <c r="G92" s="780"/>
      <c r="H92" s="781">
        <v>0</v>
      </c>
      <c r="I92" s="781">
        <v>0</v>
      </c>
      <c r="J92" s="781"/>
      <c r="K92" s="781">
        <v>0</v>
      </c>
      <c r="L92" s="781">
        <v>0</v>
      </c>
      <c r="M92" s="781">
        <v>0</v>
      </c>
      <c r="N92" s="781">
        <v>0</v>
      </c>
      <c r="O92" s="781"/>
      <c r="P92" s="781">
        <v>21</v>
      </c>
      <c r="Q92" s="781">
        <v>19</v>
      </c>
      <c r="R92" s="781">
        <v>19</v>
      </c>
      <c r="S92" s="781"/>
      <c r="T92" s="781">
        <v>22</v>
      </c>
      <c r="U92" s="781">
        <v>18</v>
      </c>
      <c r="V92" s="781"/>
      <c r="W92" s="781">
        <v>14</v>
      </c>
      <c r="X92" s="781">
        <v>11</v>
      </c>
      <c r="Y92" s="782">
        <v>4</v>
      </c>
      <c r="Z92" s="783">
        <f t="shared" si="15"/>
        <v>0</v>
      </c>
      <c r="AA92" s="769">
        <f t="shared" si="20"/>
        <v>59</v>
      </c>
      <c r="AB92" s="769">
        <f t="shared" si="21"/>
        <v>40</v>
      </c>
      <c r="AC92" s="770">
        <f t="shared" si="16"/>
        <v>99</v>
      </c>
      <c r="AD92" s="784">
        <f t="shared" si="17"/>
        <v>29</v>
      </c>
      <c r="AE92" s="785">
        <f t="shared" si="18"/>
        <v>128</v>
      </c>
      <c r="AG92" s="773">
        <f t="shared" si="22"/>
        <v>0</v>
      </c>
      <c r="AH92" s="773">
        <f t="shared" si="19"/>
        <v>0</v>
      </c>
      <c r="AI92" s="773">
        <f t="shared" si="23"/>
        <v>0</v>
      </c>
      <c r="AJ92" s="773">
        <f t="shared" si="24"/>
        <v>59</v>
      </c>
      <c r="AK92" s="773">
        <f t="shared" si="25"/>
        <v>40</v>
      </c>
      <c r="AL92" s="773">
        <f t="shared" si="26"/>
        <v>29</v>
      </c>
      <c r="AM92" s="774">
        <f t="shared" si="27"/>
        <v>99</v>
      </c>
      <c r="AN92" s="773">
        <f t="shared" si="28"/>
        <v>128</v>
      </c>
    </row>
    <row r="93" spans="1:40" s="745" customFormat="1" ht="13.5" thickBot="1" x14ac:dyDescent="0.25">
      <c r="A93" s="758">
        <v>8313528</v>
      </c>
      <c r="B93" s="775">
        <v>3528</v>
      </c>
      <c r="C93" s="776" t="s">
        <v>255</v>
      </c>
      <c r="D93" s="777" t="s">
        <v>232</v>
      </c>
      <c r="E93" s="778" t="s">
        <v>633</v>
      </c>
      <c r="F93" s="779">
        <v>51</v>
      </c>
      <c r="G93" s="780"/>
      <c r="H93" s="781">
        <v>50</v>
      </c>
      <c r="I93" s="781">
        <v>55</v>
      </c>
      <c r="J93" s="781"/>
      <c r="K93" s="781">
        <v>51</v>
      </c>
      <c r="L93" s="781">
        <v>51</v>
      </c>
      <c r="M93" s="781">
        <v>42</v>
      </c>
      <c r="N93" s="781">
        <v>47</v>
      </c>
      <c r="O93" s="781"/>
      <c r="P93" s="781">
        <v>0</v>
      </c>
      <c r="Q93" s="781">
        <v>0</v>
      </c>
      <c r="R93" s="781">
        <v>0</v>
      </c>
      <c r="S93" s="781"/>
      <c r="T93" s="781">
        <v>0</v>
      </c>
      <c r="U93" s="781">
        <v>0</v>
      </c>
      <c r="V93" s="781"/>
      <c r="W93" s="781">
        <v>0</v>
      </c>
      <c r="X93" s="781">
        <v>0</v>
      </c>
      <c r="Y93" s="782">
        <v>0</v>
      </c>
      <c r="Z93" s="783">
        <f t="shared" si="15"/>
        <v>347</v>
      </c>
      <c r="AA93" s="769">
        <f t="shared" si="20"/>
        <v>0</v>
      </c>
      <c r="AB93" s="769">
        <f t="shared" si="21"/>
        <v>0</v>
      </c>
      <c r="AC93" s="770">
        <f t="shared" si="16"/>
        <v>347</v>
      </c>
      <c r="AD93" s="784">
        <f t="shared" si="17"/>
        <v>0</v>
      </c>
      <c r="AE93" s="785">
        <f t="shared" si="18"/>
        <v>347</v>
      </c>
      <c r="AG93" s="773">
        <f t="shared" si="22"/>
        <v>51</v>
      </c>
      <c r="AH93" s="773">
        <f t="shared" si="19"/>
        <v>105</v>
      </c>
      <c r="AI93" s="773">
        <f t="shared" si="23"/>
        <v>191</v>
      </c>
      <c r="AJ93" s="773">
        <f t="shared" si="24"/>
        <v>0</v>
      </c>
      <c r="AK93" s="773">
        <f t="shared" si="25"/>
        <v>0</v>
      </c>
      <c r="AL93" s="773">
        <f t="shared" si="26"/>
        <v>0</v>
      </c>
      <c r="AM93" s="774">
        <f t="shared" si="27"/>
        <v>347</v>
      </c>
      <c r="AN93" s="773">
        <f t="shared" si="28"/>
        <v>347</v>
      </c>
    </row>
    <row r="94" spans="1:40" s="745" customFormat="1" ht="13.5" thickBot="1" x14ac:dyDescent="0.25">
      <c r="A94" s="758">
        <v>8313534</v>
      </c>
      <c r="B94" s="775">
        <v>3534</v>
      </c>
      <c r="C94" s="776" t="s">
        <v>255</v>
      </c>
      <c r="D94" s="777" t="s">
        <v>634</v>
      </c>
      <c r="E94" s="778" t="s">
        <v>903</v>
      </c>
      <c r="F94" s="779">
        <v>0</v>
      </c>
      <c r="G94" s="780"/>
      <c r="H94" s="781">
        <v>0</v>
      </c>
      <c r="I94" s="781">
        <v>0</v>
      </c>
      <c r="J94" s="781"/>
      <c r="K94" s="781">
        <v>59</v>
      </c>
      <c r="L94" s="781">
        <v>59</v>
      </c>
      <c r="M94" s="781">
        <v>65</v>
      </c>
      <c r="N94" s="781">
        <v>61</v>
      </c>
      <c r="O94" s="781"/>
      <c r="P94" s="781">
        <v>0</v>
      </c>
      <c r="Q94" s="781">
        <v>0</v>
      </c>
      <c r="R94" s="781">
        <v>0</v>
      </c>
      <c r="S94" s="781"/>
      <c r="T94" s="781">
        <v>0</v>
      </c>
      <c r="U94" s="781">
        <v>0</v>
      </c>
      <c r="V94" s="781"/>
      <c r="W94" s="781">
        <v>0</v>
      </c>
      <c r="X94" s="781">
        <v>0</v>
      </c>
      <c r="Y94" s="782">
        <v>0</v>
      </c>
      <c r="Z94" s="783">
        <f t="shared" si="15"/>
        <v>244</v>
      </c>
      <c r="AA94" s="769">
        <f t="shared" si="20"/>
        <v>0</v>
      </c>
      <c r="AB94" s="769">
        <f t="shared" si="21"/>
        <v>0</v>
      </c>
      <c r="AC94" s="770">
        <f t="shared" si="16"/>
        <v>244</v>
      </c>
      <c r="AD94" s="784">
        <f t="shared" si="17"/>
        <v>0</v>
      </c>
      <c r="AE94" s="785">
        <f t="shared" si="18"/>
        <v>244</v>
      </c>
      <c r="AG94" s="773">
        <f t="shared" si="22"/>
        <v>0</v>
      </c>
      <c r="AH94" s="773">
        <f t="shared" si="19"/>
        <v>0</v>
      </c>
      <c r="AI94" s="773">
        <f t="shared" si="23"/>
        <v>244</v>
      </c>
      <c r="AJ94" s="773">
        <f t="shared" si="24"/>
        <v>0</v>
      </c>
      <c r="AK94" s="773">
        <f t="shared" si="25"/>
        <v>0</v>
      </c>
      <c r="AL94" s="773">
        <f t="shared" si="26"/>
        <v>0</v>
      </c>
      <c r="AM94" s="774">
        <f t="shared" si="27"/>
        <v>244</v>
      </c>
      <c r="AN94" s="773">
        <f t="shared" si="28"/>
        <v>244</v>
      </c>
    </row>
    <row r="95" spans="1:40" s="745" customFormat="1" ht="13.5" thickBot="1" x14ac:dyDescent="0.25">
      <c r="A95" s="758">
        <v>8313532</v>
      </c>
      <c r="B95" s="775">
        <v>3532</v>
      </c>
      <c r="C95" s="776" t="s">
        <v>255</v>
      </c>
      <c r="D95" s="777" t="s">
        <v>904</v>
      </c>
      <c r="E95" s="778" t="s">
        <v>905</v>
      </c>
      <c r="F95" s="779">
        <v>46</v>
      </c>
      <c r="G95" s="780"/>
      <c r="H95" s="781">
        <v>45</v>
      </c>
      <c r="I95" s="781">
        <v>45</v>
      </c>
      <c r="J95" s="781"/>
      <c r="K95" s="781">
        <v>42</v>
      </c>
      <c r="L95" s="781">
        <v>43</v>
      </c>
      <c r="M95" s="781">
        <v>44</v>
      </c>
      <c r="N95" s="781">
        <v>45</v>
      </c>
      <c r="O95" s="781"/>
      <c r="P95" s="781">
        <v>0</v>
      </c>
      <c r="Q95" s="781">
        <v>0</v>
      </c>
      <c r="R95" s="781">
        <v>0</v>
      </c>
      <c r="S95" s="781"/>
      <c r="T95" s="781">
        <v>0</v>
      </c>
      <c r="U95" s="781">
        <v>0</v>
      </c>
      <c r="V95" s="781"/>
      <c r="W95" s="781">
        <v>0</v>
      </c>
      <c r="X95" s="781">
        <v>0</v>
      </c>
      <c r="Y95" s="782">
        <v>0</v>
      </c>
      <c r="Z95" s="783">
        <f t="shared" si="15"/>
        <v>310</v>
      </c>
      <c r="AA95" s="769">
        <f t="shared" si="20"/>
        <v>0</v>
      </c>
      <c r="AB95" s="769">
        <f t="shared" si="21"/>
        <v>0</v>
      </c>
      <c r="AC95" s="770">
        <f t="shared" si="16"/>
        <v>310</v>
      </c>
      <c r="AD95" s="784">
        <f t="shared" si="17"/>
        <v>0</v>
      </c>
      <c r="AE95" s="785">
        <f t="shared" si="18"/>
        <v>310</v>
      </c>
      <c r="AG95" s="773">
        <f t="shared" si="22"/>
        <v>46</v>
      </c>
      <c r="AH95" s="773">
        <f t="shared" si="19"/>
        <v>90</v>
      </c>
      <c r="AI95" s="773">
        <f t="shared" si="23"/>
        <v>174</v>
      </c>
      <c r="AJ95" s="773">
        <f t="shared" si="24"/>
        <v>0</v>
      </c>
      <c r="AK95" s="773">
        <f t="shared" si="25"/>
        <v>0</v>
      </c>
      <c r="AL95" s="773">
        <f t="shared" si="26"/>
        <v>0</v>
      </c>
      <c r="AM95" s="774">
        <f t="shared" si="27"/>
        <v>310</v>
      </c>
      <c r="AN95" s="773">
        <f t="shared" si="28"/>
        <v>310</v>
      </c>
    </row>
    <row r="96" spans="1:40" s="745" customFormat="1" ht="13.5" thickBot="1" x14ac:dyDescent="0.25">
      <c r="A96" s="758">
        <v>8311010</v>
      </c>
      <c r="B96" s="775">
        <v>1010</v>
      </c>
      <c r="C96" s="776" t="s">
        <v>880</v>
      </c>
      <c r="D96" s="777" t="s">
        <v>233</v>
      </c>
      <c r="E96" s="778" t="s">
        <v>7</v>
      </c>
      <c r="F96" s="779">
        <v>0</v>
      </c>
      <c r="G96" s="780"/>
      <c r="H96" s="781">
        <v>0</v>
      </c>
      <c r="I96" s="781">
        <v>0</v>
      </c>
      <c r="J96" s="781"/>
      <c r="K96" s="781">
        <v>0</v>
      </c>
      <c r="L96" s="781">
        <v>0</v>
      </c>
      <c r="M96" s="781">
        <v>0</v>
      </c>
      <c r="N96" s="781">
        <v>0</v>
      </c>
      <c r="O96" s="781"/>
      <c r="P96" s="781">
        <v>0</v>
      </c>
      <c r="Q96" s="781">
        <v>0</v>
      </c>
      <c r="R96" s="781">
        <v>0</v>
      </c>
      <c r="S96" s="781"/>
      <c r="T96" s="781">
        <v>0</v>
      </c>
      <c r="U96" s="781">
        <v>0</v>
      </c>
      <c r="V96" s="781"/>
      <c r="W96" s="781">
        <v>0</v>
      </c>
      <c r="X96" s="781">
        <v>0</v>
      </c>
      <c r="Y96" s="782">
        <v>0</v>
      </c>
      <c r="Z96" s="783">
        <f t="shared" si="15"/>
        <v>0</v>
      </c>
      <c r="AA96" s="769">
        <f t="shared" si="20"/>
        <v>0</v>
      </c>
      <c r="AB96" s="769">
        <f t="shared" si="21"/>
        <v>0</v>
      </c>
      <c r="AC96" s="770">
        <f t="shared" si="16"/>
        <v>0</v>
      </c>
      <c r="AD96" s="784">
        <f t="shared" si="17"/>
        <v>0</v>
      </c>
      <c r="AE96" s="785">
        <f t="shared" si="18"/>
        <v>0</v>
      </c>
      <c r="AG96" s="773">
        <f t="shared" si="22"/>
        <v>0</v>
      </c>
      <c r="AH96" s="773">
        <f t="shared" si="19"/>
        <v>0</v>
      </c>
      <c r="AI96" s="773">
        <f t="shared" si="23"/>
        <v>0</v>
      </c>
      <c r="AJ96" s="773">
        <f t="shared" si="24"/>
        <v>0</v>
      </c>
      <c r="AK96" s="773">
        <f t="shared" si="25"/>
        <v>0</v>
      </c>
      <c r="AL96" s="773">
        <f t="shared" si="26"/>
        <v>0</v>
      </c>
      <c r="AM96" s="774">
        <f t="shared" si="27"/>
        <v>0</v>
      </c>
      <c r="AN96" s="773">
        <f t="shared" si="28"/>
        <v>0</v>
      </c>
    </row>
    <row r="97" spans="1:40" s="745" customFormat="1" ht="13.5" thickBot="1" x14ac:dyDescent="0.25">
      <c r="A97" s="758">
        <v>8311103</v>
      </c>
      <c r="B97" s="775">
        <v>1103</v>
      </c>
      <c r="C97" s="776" t="s">
        <v>884</v>
      </c>
      <c r="D97" s="777" t="s">
        <v>518</v>
      </c>
      <c r="E97" s="778" t="s">
        <v>906</v>
      </c>
      <c r="F97" s="779">
        <v>0</v>
      </c>
      <c r="G97" s="780"/>
      <c r="H97" s="781">
        <v>0</v>
      </c>
      <c r="I97" s="781">
        <v>0</v>
      </c>
      <c r="J97" s="781"/>
      <c r="K97" s="781">
        <v>0</v>
      </c>
      <c r="L97" s="781">
        <v>0</v>
      </c>
      <c r="M97" s="781">
        <v>0</v>
      </c>
      <c r="N97" s="781">
        <v>0</v>
      </c>
      <c r="O97" s="781"/>
      <c r="P97" s="781">
        <v>2</v>
      </c>
      <c r="Q97" s="781">
        <v>5</v>
      </c>
      <c r="R97" s="781">
        <v>9</v>
      </c>
      <c r="S97" s="781"/>
      <c r="T97" s="781">
        <v>26</v>
      </c>
      <c r="U97" s="781">
        <v>47</v>
      </c>
      <c r="V97" s="781"/>
      <c r="W97" s="781">
        <v>0</v>
      </c>
      <c r="X97" s="781">
        <v>0</v>
      </c>
      <c r="Y97" s="782">
        <v>0</v>
      </c>
      <c r="Z97" s="783">
        <f>SUM(F97:Y97)</f>
        <v>89</v>
      </c>
      <c r="AA97" s="769">
        <f t="shared" si="20"/>
        <v>16</v>
      </c>
      <c r="AB97" s="769">
        <f t="shared" si="21"/>
        <v>73</v>
      </c>
      <c r="AC97" s="770">
        <f t="shared" si="16"/>
        <v>89</v>
      </c>
      <c r="AD97" s="784">
        <f t="shared" si="17"/>
        <v>0</v>
      </c>
      <c r="AE97" s="785">
        <f t="shared" si="18"/>
        <v>89</v>
      </c>
      <c r="AG97" s="773">
        <f t="shared" si="22"/>
        <v>0</v>
      </c>
      <c r="AH97" s="773">
        <f t="shared" si="19"/>
        <v>0</v>
      </c>
      <c r="AI97" s="773">
        <f t="shared" si="23"/>
        <v>0</v>
      </c>
      <c r="AJ97" s="773">
        <f t="shared" si="24"/>
        <v>16</v>
      </c>
      <c r="AK97" s="773">
        <f t="shared" si="25"/>
        <v>73</v>
      </c>
      <c r="AL97" s="773">
        <f t="shared" si="26"/>
        <v>0</v>
      </c>
      <c r="AM97" s="774">
        <f t="shared" si="27"/>
        <v>89</v>
      </c>
      <c r="AN97" s="773">
        <f t="shared" si="28"/>
        <v>89</v>
      </c>
    </row>
    <row r="98" spans="1:40" ht="13.5" thickBot="1" x14ac:dyDescent="0.25">
      <c r="A98" s="758">
        <v>8313546</v>
      </c>
      <c r="B98" s="775">
        <v>3546</v>
      </c>
      <c r="C98" s="776" t="s">
        <v>255</v>
      </c>
      <c r="D98" s="777" t="s">
        <v>234</v>
      </c>
      <c r="E98" s="778" t="s">
        <v>65</v>
      </c>
      <c r="F98" s="779">
        <v>91</v>
      </c>
      <c r="G98" s="780"/>
      <c r="H98" s="781">
        <v>88</v>
      </c>
      <c r="I98" s="781">
        <v>75</v>
      </c>
      <c r="J98" s="781"/>
      <c r="K98" s="781">
        <v>74</v>
      </c>
      <c r="L98" s="781">
        <v>73</v>
      </c>
      <c r="M98" s="781">
        <v>74</v>
      </c>
      <c r="N98" s="781">
        <v>72</v>
      </c>
      <c r="O98" s="781">
        <v>-1</v>
      </c>
      <c r="P98" s="781">
        <v>0</v>
      </c>
      <c r="Q98" s="781">
        <v>0</v>
      </c>
      <c r="R98" s="781">
        <v>0</v>
      </c>
      <c r="S98" s="781"/>
      <c r="T98" s="781">
        <v>0</v>
      </c>
      <c r="U98" s="781">
        <v>0</v>
      </c>
      <c r="V98" s="781"/>
      <c r="W98" s="781">
        <v>0</v>
      </c>
      <c r="X98" s="781">
        <v>0</v>
      </c>
      <c r="Y98" s="782">
        <v>0</v>
      </c>
      <c r="Z98" s="783">
        <f t="shared" ref="Z98:Z104" si="29">SUM(F98:O98)</f>
        <v>546</v>
      </c>
      <c r="AA98" s="769">
        <f t="shared" si="20"/>
        <v>0</v>
      </c>
      <c r="AB98" s="769">
        <f t="shared" si="21"/>
        <v>0</v>
      </c>
      <c r="AC98" s="770">
        <f t="shared" si="16"/>
        <v>546</v>
      </c>
      <c r="AD98" s="784">
        <f t="shared" si="17"/>
        <v>0</v>
      </c>
      <c r="AE98" s="785">
        <f t="shared" si="18"/>
        <v>546</v>
      </c>
      <c r="AG98" s="773">
        <f t="shared" si="22"/>
        <v>91</v>
      </c>
      <c r="AH98" s="773">
        <f t="shared" si="19"/>
        <v>163</v>
      </c>
      <c r="AI98" s="773">
        <f t="shared" si="23"/>
        <v>292</v>
      </c>
      <c r="AJ98" s="773">
        <f t="shared" si="24"/>
        <v>0</v>
      </c>
      <c r="AK98" s="773">
        <f t="shared" si="25"/>
        <v>0</v>
      </c>
      <c r="AL98" s="773">
        <f t="shared" si="26"/>
        <v>0</v>
      </c>
      <c r="AM98" s="774">
        <f t="shared" si="27"/>
        <v>546</v>
      </c>
      <c r="AN98" s="773">
        <f t="shared" si="28"/>
        <v>546</v>
      </c>
    </row>
    <row r="99" spans="1:40" s="745" customFormat="1" ht="13.5" thickBot="1" x14ac:dyDescent="0.25">
      <c r="A99" s="758">
        <v>8311009</v>
      </c>
      <c r="B99" s="775">
        <v>1009</v>
      </c>
      <c r="C99" s="776" t="s">
        <v>880</v>
      </c>
      <c r="D99" s="777" t="s">
        <v>235</v>
      </c>
      <c r="E99" s="778" t="s">
        <v>8</v>
      </c>
      <c r="F99" s="779">
        <v>0</v>
      </c>
      <c r="G99" s="780"/>
      <c r="H99" s="781">
        <v>0</v>
      </c>
      <c r="I99" s="781">
        <v>0</v>
      </c>
      <c r="J99" s="781"/>
      <c r="K99" s="781">
        <v>0</v>
      </c>
      <c r="L99" s="781">
        <v>0</v>
      </c>
      <c r="M99" s="781">
        <v>0</v>
      </c>
      <c r="N99" s="781">
        <v>0</v>
      </c>
      <c r="O99" s="781"/>
      <c r="P99" s="781">
        <v>0</v>
      </c>
      <c r="Q99" s="781">
        <v>0</v>
      </c>
      <c r="R99" s="781">
        <v>0</v>
      </c>
      <c r="S99" s="781"/>
      <c r="T99" s="781">
        <v>0</v>
      </c>
      <c r="U99" s="781">
        <v>0</v>
      </c>
      <c r="V99" s="781"/>
      <c r="W99" s="781">
        <v>0</v>
      </c>
      <c r="X99" s="781">
        <v>0</v>
      </c>
      <c r="Y99" s="782">
        <v>0</v>
      </c>
      <c r="Z99" s="783">
        <f t="shared" si="29"/>
        <v>0</v>
      </c>
      <c r="AA99" s="769">
        <f t="shared" si="20"/>
        <v>0</v>
      </c>
      <c r="AB99" s="769">
        <f t="shared" si="21"/>
        <v>0</v>
      </c>
      <c r="AC99" s="770">
        <f t="shared" si="16"/>
        <v>0</v>
      </c>
      <c r="AD99" s="784">
        <f t="shared" si="17"/>
        <v>0</v>
      </c>
      <c r="AE99" s="785">
        <f t="shared" si="18"/>
        <v>0</v>
      </c>
      <c r="AG99" s="773">
        <f t="shared" si="22"/>
        <v>0</v>
      </c>
      <c r="AH99" s="773">
        <f t="shared" si="19"/>
        <v>0</v>
      </c>
      <c r="AI99" s="773">
        <f t="shared" si="23"/>
        <v>0</v>
      </c>
      <c r="AJ99" s="773">
        <f t="shared" si="24"/>
        <v>0</v>
      </c>
      <c r="AK99" s="773">
        <f t="shared" si="25"/>
        <v>0</v>
      </c>
      <c r="AL99" s="773">
        <f t="shared" si="26"/>
        <v>0</v>
      </c>
      <c r="AM99" s="774">
        <f t="shared" si="27"/>
        <v>0</v>
      </c>
      <c r="AN99" s="773">
        <f t="shared" si="28"/>
        <v>0</v>
      </c>
    </row>
    <row r="100" spans="1:40" ht="13.5" thickBot="1" x14ac:dyDescent="0.25">
      <c r="A100" s="758">
        <v>8313530</v>
      </c>
      <c r="B100" s="775">
        <v>3530</v>
      </c>
      <c r="C100" s="776" t="s">
        <v>255</v>
      </c>
      <c r="D100" s="777" t="s">
        <v>236</v>
      </c>
      <c r="E100" s="778" t="s">
        <v>66</v>
      </c>
      <c r="F100" s="779">
        <v>55</v>
      </c>
      <c r="G100" s="780"/>
      <c r="H100" s="781">
        <v>45</v>
      </c>
      <c r="I100" s="781">
        <v>43</v>
      </c>
      <c r="J100" s="781"/>
      <c r="K100" s="781">
        <v>43</v>
      </c>
      <c r="L100" s="781">
        <v>46</v>
      </c>
      <c r="M100" s="781">
        <v>38</v>
      </c>
      <c r="N100" s="781">
        <v>47</v>
      </c>
      <c r="O100" s="781"/>
      <c r="P100" s="781">
        <v>0</v>
      </c>
      <c r="Q100" s="781">
        <v>0</v>
      </c>
      <c r="R100" s="781">
        <v>0</v>
      </c>
      <c r="S100" s="781"/>
      <c r="T100" s="781">
        <v>0</v>
      </c>
      <c r="U100" s="781">
        <v>0</v>
      </c>
      <c r="V100" s="781"/>
      <c r="W100" s="781">
        <v>0</v>
      </c>
      <c r="X100" s="781">
        <v>0</v>
      </c>
      <c r="Y100" s="782">
        <v>0</v>
      </c>
      <c r="Z100" s="783">
        <f t="shared" si="29"/>
        <v>317</v>
      </c>
      <c r="AA100" s="769">
        <f t="shared" si="20"/>
        <v>0</v>
      </c>
      <c r="AB100" s="769">
        <f t="shared" si="21"/>
        <v>0</v>
      </c>
      <c r="AC100" s="770">
        <f t="shared" si="16"/>
        <v>317</v>
      </c>
      <c r="AD100" s="784">
        <f t="shared" si="17"/>
        <v>0</v>
      </c>
      <c r="AE100" s="785">
        <f t="shared" si="18"/>
        <v>317</v>
      </c>
      <c r="AG100" s="773">
        <f t="shared" si="22"/>
        <v>55</v>
      </c>
      <c r="AH100" s="773">
        <f t="shared" si="19"/>
        <v>88</v>
      </c>
      <c r="AI100" s="773">
        <f t="shared" si="23"/>
        <v>174</v>
      </c>
      <c r="AJ100" s="773">
        <f t="shared" si="24"/>
        <v>0</v>
      </c>
      <c r="AK100" s="773">
        <f t="shared" si="25"/>
        <v>0</v>
      </c>
      <c r="AL100" s="773">
        <f t="shared" si="26"/>
        <v>0</v>
      </c>
      <c r="AM100" s="774">
        <f t="shared" si="27"/>
        <v>317</v>
      </c>
      <c r="AN100" s="773">
        <f t="shared" si="28"/>
        <v>317</v>
      </c>
    </row>
    <row r="101" spans="1:40" ht="13.5" thickBot="1" x14ac:dyDescent="0.25">
      <c r="A101" s="758">
        <v>8315412</v>
      </c>
      <c r="B101" s="775">
        <v>5412</v>
      </c>
      <c r="C101" s="776" t="s">
        <v>192</v>
      </c>
      <c r="D101" s="777"/>
      <c r="E101" s="778" t="s">
        <v>74</v>
      </c>
      <c r="F101" s="779">
        <v>0</v>
      </c>
      <c r="G101" s="780"/>
      <c r="H101" s="781">
        <v>0</v>
      </c>
      <c r="I101" s="781">
        <v>0</v>
      </c>
      <c r="J101" s="781"/>
      <c r="K101" s="781">
        <v>0</v>
      </c>
      <c r="L101" s="781">
        <v>0</v>
      </c>
      <c r="M101" s="781">
        <v>0</v>
      </c>
      <c r="N101" s="781">
        <v>0</v>
      </c>
      <c r="O101" s="781"/>
      <c r="P101" s="781">
        <v>252</v>
      </c>
      <c r="Q101" s="781">
        <v>244</v>
      </c>
      <c r="R101" s="781">
        <v>248</v>
      </c>
      <c r="S101" s="781"/>
      <c r="T101" s="781">
        <v>248</v>
      </c>
      <c r="U101" s="781">
        <v>265</v>
      </c>
      <c r="V101" s="781"/>
      <c r="W101" s="781">
        <v>0</v>
      </c>
      <c r="X101" s="781">
        <v>0</v>
      </c>
      <c r="Y101" s="782">
        <v>0</v>
      </c>
      <c r="Z101" s="783">
        <f t="shared" si="29"/>
        <v>0</v>
      </c>
      <c r="AA101" s="769">
        <f t="shared" si="20"/>
        <v>744</v>
      </c>
      <c r="AB101" s="769">
        <f t="shared" si="21"/>
        <v>513</v>
      </c>
      <c r="AC101" s="770">
        <f t="shared" si="16"/>
        <v>1257</v>
      </c>
      <c r="AD101" s="784">
        <f t="shared" si="17"/>
        <v>0</v>
      </c>
      <c r="AE101" s="785">
        <f t="shared" si="18"/>
        <v>1257</v>
      </c>
      <c r="AG101" s="773">
        <f t="shared" si="22"/>
        <v>0</v>
      </c>
      <c r="AH101" s="773">
        <f t="shared" si="19"/>
        <v>0</v>
      </c>
      <c r="AI101" s="773">
        <f t="shared" si="23"/>
        <v>0</v>
      </c>
      <c r="AJ101" s="773">
        <f t="shared" si="24"/>
        <v>744</v>
      </c>
      <c r="AK101" s="773">
        <f t="shared" si="25"/>
        <v>513</v>
      </c>
      <c r="AL101" s="773">
        <f t="shared" si="26"/>
        <v>0</v>
      </c>
      <c r="AM101" s="774">
        <f t="shared" si="27"/>
        <v>1257</v>
      </c>
      <c r="AN101" s="773">
        <f t="shared" si="28"/>
        <v>1257</v>
      </c>
    </row>
    <row r="102" spans="1:40" s="745" customFormat="1" ht="13.5" thickBot="1" x14ac:dyDescent="0.25">
      <c r="A102" s="758">
        <v>8311015</v>
      </c>
      <c r="B102" s="775">
        <v>1015</v>
      </c>
      <c r="C102" s="776" t="s">
        <v>880</v>
      </c>
      <c r="D102" s="777" t="s">
        <v>237</v>
      </c>
      <c r="E102" s="778" t="s">
        <v>907</v>
      </c>
      <c r="F102" s="779">
        <v>0</v>
      </c>
      <c r="G102" s="780"/>
      <c r="H102" s="781">
        <v>0</v>
      </c>
      <c r="I102" s="781">
        <v>0</v>
      </c>
      <c r="J102" s="781"/>
      <c r="K102" s="781">
        <v>0</v>
      </c>
      <c r="L102" s="781">
        <v>0</v>
      </c>
      <c r="M102" s="781">
        <v>0</v>
      </c>
      <c r="N102" s="781">
        <v>0</v>
      </c>
      <c r="O102" s="781"/>
      <c r="P102" s="781">
        <v>0</v>
      </c>
      <c r="Q102" s="781">
        <v>0</v>
      </c>
      <c r="R102" s="781">
        <v>0</v>
      </c>
      <c r="S102" s="781"/>
      <c r="T102" s="781">
        <v>0</v>
      </c>
      <c r="U102" s="781">
        <v>0</v>
      </c>
      <c r="V102" s="781"/>
      <c r="W102" s="781">
        <v>0</v>
      </c>
      <c r="X102" s="781">
        <v>0</v>
      </c>
      <c r="Y102" s="782">
        <v>0</v>
      </c>
      <c r="Z102" s="792">
        <f t="shared" si="29"/>
        <v>0</v>
      </c>
      <c r="AA102" s="769">
        <f t="shared" si="20"/>
        <v>0</v>
      </c>
      <c r="AB102" s="769">
        <f t="shared" si="21"/>
        <v>0</v>
      </c>
      <c r="AC102" s="770">
        <f t="shared" si="16"/>
        <v>0</v>
      </c>
      <c r="AD102" s="793">
        <f t="shared" si="17"/>
        <v>0</v>
      </c>
      <c r="AE102" s="794">
        <f t="shared" si="18"/>
        <v>0</v>
      </c>
      <c r="AG102" s="773">
        <f t="shared" si="22"/>
        <v>0</v>
      </c>
      <c r="AH102" s="773">
        <f t="shared" si="19"/>
        <v>0</v>
      </c>
      <c r="AI102" s="773">
        <f t="shared" si="23"/>
        <v>0</v>
      </c>
      <c r="AJ102" s="773">
        <f t="shared" si="24"/>
        <v>0</v>
      </c>
      <c r="AK102" s="773">
        <f t="shared" si="25"/>
        <v>0</v>
      </c>
      <c r="AL102" s="773">
        <f t="shared" si="26"/>
        <v>0</v>
      </c>
      <c r="AM102" s="774">
        <f t="shared" si="27"/>
        <v>0</v>
      </c>
      <c r="AN102" s="773">
        <f t="shared" si="28"/>
        <v>0</v>
      </c>
    </row>
    <row r="103" spans="1:40" ht="13.5" thickBot="1" x14ac:dyDescent="0.25">
      <c r="A103" s="758">
        <v>8312459</v>
      </c>
      <c r="B103" s="775">
        <v>2459</v>
      </c>
      <c r="C103" s="776" t="s">
        <v>255</v>
      </c>
      <c r="D103" s="775" t="s">
        <v>635</v>
      </c>
      <c r="E103" s="778" t="s">
        <v>67</v>
      </c>
      <c r="F103" s="779">
        <v>55</v>
      </c>
      <c r="G103" s="780">
        <v>-1</v>
      </c>
      <c r="H103" s="781">
        <v>56</v>
      </c>
      <c r="I103" s="781">
        <v>58</v>
      </c>
      <c r="J103" s="781"/>
      <c r="K103" s="781">
        <v>56</v>
      </c>
      <c r="L103" s="781">
        <v>54</v>
      </c>
      <c r="M103" s="781">
        <v>58</v>
      </c>
      <c r="N103" s="781">
        <v>54</v>
      </c>
      <c r="O103" s="781"/>
      <c r="P103" s="781">
        <v>0</v>
      </c>
      <c r="Q103" s="781">
        <v>0</v>
      </c>
      <c r="R103" s="781">
        <v>0</v>
      </c>
      <c r="S103" s="781"/>
      <c r="T103" s="781">
        <v>0</v>
      </c>
      <c r="U103" s="781">
        <v>0</v>
      </c>
      <c r="V103" s="781"/>
      <c r="W103" s="781">
        <v>0</v>
      </c>
      <c r="X103" s="781">
        <v>0</v>
      </c>
      <c r="Y103" s="782">
        <v>0</v>
      </c>
      <c r="Z103" s="783">
        <f t="shared" si="29"/>
        <v>390</v>
      </c>
      <c r="AA103" s="769">
        <f t="shared" si="20"/>
        <v>0</v>
      </c>
      <c r="AB103" s="769">
        <f t="shared" si="21"/>
        <v>0</v>
      </c>
      <c r="AC103" s="770">
        <f t="shared" si="16"/>
        <v>390</v>
      </c>
      <c r="AD103" s="784">
        <f t="shared" si="17"/>
        <v>0</v>
      </c>
      <c r="AE103" s="785">
        <f t="shared" si="18"/>
        <v>390</v>
      </c>
      <c r="AG103" s="773">
        <f t="shared" si="22"/>
        <v>54</v>
      </c>
      <c r="AH103" s="773">
        <f t="shared" si="19"/>
        <v>114</v>
      </c>
      <c r="AI103" s="773">
        <f t="shared" si="23"/>
        <v>222</v>
      </c>
      <c r="AJ103" s="773">
        <f t="shared" si="24"/>
        <v>0</v>
      </c>
      <c r="AK103" s="773">
        <f t="shared" si="25"/>
        <v>0</v>
      </c>
      <c r="AL103" s="773">
        <f t="shared" si="26"/>
        <v>0</v>
      </c>
      <c r="AM103" s="774">
        <f t="shared" si="27"/>
        <v>390</v>
      </c>
      <c r="AN103" s="773">
        <f t="shared" si="28"/>
        <v>390</v>
      </c>
    </row>
    <row r="104" spans="1:40" ht="13.5" thickBot="1" x14ac:dyDescent="0.25">
      <c r="A104" s="758">
        <v>8312007</v>
      </c>
      <c r="B104" s="797">
        <v>2007</v>
      </c>
      <c r="C104" s="798" t="s">
        <v>255</v>
      </c>
      <c r="D104" s="799"/>
      <c r="E104" s="800" t="s">
        <v>96</v>
      </c>
      <c r="F104" s="779">
        <v>49</v>
      </c>
      <c r="G104" s="786"/>
      <c r="H104" s="781">
        <v>39</v>
      </c>
      <c r="I104" s="781">
        <v>56</v>
      </c>
      <c r="J104" s="787"/>
      <c r="K104" s="781">
        <v>45</v>
      </c>
      <c r="L104" s="781">
        <v>43</v>
      </c>
      <c r="M104" s="781">
        <v>29</v>
      </c>
      <c r="N104" s="781">
        <v>43</v>
      </c>
      <c r="O104" s="787"/>
      <c r="P104" s="787">
        <v>0</v>
      </c>
      <c r="Q104" s="787">
        <v>0</v>
      </c>
      <c r="R104" s="787">
        <v>0</v>
      </c>
      <c r="S104" s="787"/>
      <c r="T104" s="787">
        <v>0</v>
      </c>
      <c r="U104" s="787">
        <v>0</v>
      </c>
      <c r="V104" s="787"/>
      <c r="W104" s="787">
        <v>0</v>
      </c>
      <c r="X104" s="787">
        <v>0</v>
      </c>
      <c r="Y104" s="788">
        <v>0</v>
      </c>
      <c r="Z104" s="783">
        <f t="shared" si="29"/>
        <v>304</v>
      </c>
      <c r="AA104" s="769">
        <f t="shared" si="20"/>
        <v>0</v>
      </c>
      <c r="AB104" s="769">
        <f t="shared" si="21"/>
        <v>0</v>
      </c>
      <c r="AC104" s="770">
        <f t="shared" si="16"/>
        <v>304</v>
      </c>
      <c r="AD104" s="789">
        <f t="shared" si="17"/>
        <v>0</v>
      </c>
      <c r="AE104" s="785">
        <f t="shared" si="18"/>
        <v>304</v>
      </c>
      <c r="AG104" s="773">
        <f t="shared" si="22"/>
        <v>49</v>
      </c>
      <c r="AH104" s="773">
        <f t="shared" si="19"/>
        <v>95</v>
      </c>
      <c r="AI104" s="773">
        <f t="shared" si="23"/>
        <v>160</v>
      </c>
      <c r="AJ104" s="773">
        <f t="shared" si="24"/>
        <v>0</v>
      </c>
      <c r="AK104" s="773">
        <f t="shared" si="25"/>
        <v>0</v>
      </c>
      <c r="AL104" s="773">
        <f t="shared" si="26"/>
        <v>0</v>
      </c>
      <c r="AM104" s="774">
        <f t="shared" si="27"/>
        <v>304</v>
      </c>
      <c r="AN104" s="773">
        <f t="shared" si="28"/>
        <v>304</v>
      </c>
    </row>
    <row r="105" spans="1:40" s="745" customFormat="1" ht="14.25" thickTop="1" thickBot="1" x14ac:dyDescent="0.25">
      <c r="A105" s="747"/>
      <c r="E105" s="801" t="s">
        <v>908</v>
      </c>
      <c r="F105" s="802">
        <f t="shared" ref="F105:AN105" si="30">SUM(F3:F104)</f>
        <v>3348</v>
      </c>
      <c r="G105" s="802">
        <f t="shared" si="30"/>
        <v>-2</v>
      </c>
      <c r="H105" s="803">
        <f t="shared" si="30"/>
        <v>3338</v>
      </c>
      <c r="I105" s="803">
        <f t="shared" si="30"/>
        <v>3318</v>
      </c>
      <c r="J105" s="803">
        <f t="shared" si="30"/>
        <v>-5</v>
      </c>
      <c r="K105" s="803">
        <f t="shared" si="30"/>
        <v>3182</v>
      </c>
      <c r="L105" s="803">
        <f t="shared" si="30"/>
        <v>3073</v>
      </c>
      <c r="M105" s="803">
        <f t="shared" si="30"/>
        <v>2949</v>
      </c>
      <c r="N105" s="803">
        <f t="shared" si="30"/>
        <v>2963</v>
      </c>
      <c r="O105" s="803">
        <f t="shared" si="30"/>
        <v>-7</v>
      </c>
      <c r="P105" s="803">
        <f t="shared" si="30"/>
        <v>2904</v>
      </c>
      <c r="Q105" s="803">
        <f t="shared" si="30"/>
        <v>2814</v>
      </c>
      <c r="R105" s="803">
        <f t="shared" si="30"/>
        <v>2848</v>
      </c>
      <c r="S105" s="803">
        <f t="shared" si="30"/>
        <v>-4</v>
      </c>
      <c r="T105" s="803">
        <f t="shared" si="30"/>
        <v>2889</v>
      </c>
      <c r="U105" s="803">
        <f t="shared" si="30"/>
        <v>3014</v>
      </c>
      <c r="V105" s="803">
        <f t="shared" si="30"/>
        <v>-3</v>
      </c>
      <c r="W105" s="803">
        <f t="shared" si="30"/>
        <v>1160</v>
      </c>
      <c r="X105" s="803">
        <f t="shared" si="30"/>
        <v>919</v>
      </c>
      <c r="Y105" s="804">
        <f t="shared" si="30"/>
        <v>49</v>
      </c>
      <c r="Z105" s="802">
        <f t="shared" si="30"/>
        <v>22246</v>
      </c>
      <c r="AA105" s="803">
        <f t="shared" si="30"/>
        <v>8562</v>
      </c>
      <c r="AB105" s="803">
        <f t="shared" si="30"/>
        <v>5900</v>
      </c>
      <c r="AC105" s="805">
        <f t="shared" si="30"/>
        <v>36619</v>
      </c>
      <c r="AD105" s="806">
        <f t="shared" si="30"/>
        <v>2128</v>
      </c>
      <c r="AE105" s="807">
        <f t="shared" si="30"/>
        <v>38747</v>
      </c>
      <c r="AG105" s="806">
        <f t="shared" si="30"/>
        <v>3346</v>
      </c>
      <c r="AH105" s="806">
        <f t="shared" si="30"/>
        <v>6651</v>
      </c>
      <c r="AI105" s="806">
        <f t="shared" si="30"/>
        <v>12160</v>
      </c>
      <c r="AJ105" s="806">
        <f t="shared" si="30"/>
        <v>8562</v>
      </c>
      <c r="AK105" s="806">
        <f t="shared" si="30"/>
        <v>5900</v>
      </c>
      <c r="AL105" s="806">
        <f t="shared" si="30"/>
        <v>2128</v>
      </c>
      <c r="AM105" s="808">
        <f t="shared" si="30"/>
        <v>36619</v>
      </c>
      <c r="AN105" s="806">
        <f t="shared" si="30"/>
        <v>38747</v>
      </c>
    </row>
    <row r="106" spans="1:40" ht="13.5" thickBot="1" x14ac:dyDescent="0.25">
      <c r="AG106" s="773"/>
      <c r="AH106" s="773"/>
      <c r="AI106" s="773"/>
      <c r="AJ106" s="773"/>
      <c r="AK106" s="773"/>
      <c r="AL106" s="773"/>
      <c r="AM106" s="774"/>
      <c r="AN106" s="773"/>
    </row>
    <row r="107" spans="1:40" s="814" customFormat="1" ht="12.75" x14ac:dyDescent="0.2">
      <c r="A107" s="812"/>
      <c r="B107" s="813" t="s">
        <v>909</v>
      </c>
      <c r="C107" s="813"/>
      <c r="D107" s="109"/>
      <c r="F107" s="1238" t="s">
        <v>910</v>
      </c>
      <c r="G107" s="1239"/>
      <c r="H107" s="1240"/>
      <c r="I107" s="1240"/>
      <c r="J107" s="1240"/>
      <c r="K107" s="1240"/>
      <c r="L107" s="1240"/>
      <c r="M107" s="1240"/>
      <c r="N107" s="1240"/>
      <c r="O107" s="1240"/>
      <c r="P107" s="1240"/>
      <c r="Q107" s="1240"/>
      <c r="R107" s="1240"/>
      <c r="S107" s="1240"/>
      <c r="T107" s="1240"/>
      <c r="U107" s="1240"/>
      <c r="V107" s="1240"/>
      <c r="W107" s="1240"/>
      <c r="X107" s="1240"/>
      <c r="Y107" s="1240"/>
      <c r="Z107" s="1240"/>
      <c r="AA107" s="1240"/>
      <c r="AB107" s="1240"/>
      <c r="AC107" s="1240"/>
      <c r="AD107" s="1240"/>
      <c r="AE107" s="1241"/>
      <c r="AF107" s="815"/>
      <c r="AG107" s="773"/>
      <c r="AH107" s="773"/>
      <c r="AI107" s="773"/>
      <c r="AJ107" s="773"/>
      <c r="AK107" s="773"/>
      <c r="AL107" s="773"/>
      <c r="AM107" s="774"/>
      <c r="AN107" s="773"/>
    </row>
    <row r="108" spans="1:40" ht="39" thickBot="1" x14ac:dyDescent="0.25">
      <c r="F108" s="816" t="str">
        <f t="shared" ref="F108:Y108" si="31">F2</f>
        <v>R</v>
      </c>
      <c r="G108" s="817" t="str">
        <f t="shared" si="31"/>
        <v>EFA adjusted R</v>
      </c>
      <c r="H108" s="818">
        <f t="shared" si="31"/>
        <v>1</v>
      </c>
      <c r="I108" s="818">
        <f t="shared" si="31"/>
        <v>2</v>
      </c>
      <c r="J108" s="817" t="str">
        <f t="shared" si="31"/>
        <v>EFA Adjustment Yr 1-2</v>
      </c>
      <c r="K108" s="819">
        <f t="shared" si="31"/>
        <v>3</v>
      </c>
      <c r="L108" s="819">
        <f t="shared" si="31"/>
        <v>4</v>
      </c>
      <c r="M108" s="819">
        <f t="shared" si="31"/>
        <v>5</v>
      </c>
      <c r="N108" s="819">
        <f t="shared" si="31"/>
        <v>6</v>
      </c>
      <c r="O108" s="1084" t="s">
        <v>911</v>
      </c>
      <c r="P108" s="755">
        <f t="shared" si="31"/>
        <v>7</v>
      </c>
      <c r="Q108" s="755">
        <f t="shared" si="31"/>
        <v>8</v>
      </c>
      <c r="R108" s="755">
        <f t="shared" si="31"/>
        <v>9</v>
      </c>
      <c r="S108" s="1084" t="s">
        <v>872</v>
      </c>
      <c r="T108" s="755">
        <f t="shared" si="31"/>
        <v>10</v>
      </c>
      <c r="U108" s="755">
        <f t="shared" si="31"/>
        <v>11</v>
      </c>
      <c r="V108" s="1084" t="s">
        <v>873</v>
      </c>
      <c r="W108" s="755">
        <f t="shared" si="31"/>
        <v>12</v>
      </c>
      <c r="X108" s="755">
        <f t="shared" si="31"/>
        <v>13</v>
      </c>
      <c r="Y108" s="756">
        <f t="shared" si="31"/>
        <v>14</v>
      </c>
      <c r="Z108" s="816" t="str">
        <f t="shared" ref="Z108:AE108" si="32">Z1</f>
        <v>total
R-yr6</v>
      </c>
      <c r="AA108" s="820" t="str">
        <f t="shared" si="32"/>
        <v>total
KS3</v>
      </c>
      <c r="AB108" s="820" t="str">
        <f t="shared" si="32"/>
        <v>total
KS4</v>
      </c>
      <c r="AC108" s="821" t="str">
        <f t="shared" si="32"/>
        <v>total
pre 16</v>
      </c>
      <c r="AD108" s="822" t="str">
        <f t="shared" si="32"/>
        <v>total
post 16</v>
      </c>
      <c r="AE108" s="823" t="str">
        <f t="shared" si="32"/>
        <v>total
all pupils</v>
      </c>
      <c r="AG108" s="746" t="s">
        <v>868</v>
      </c>
      <c r="AH108" s="746" t="s">
        <v>912</v>
      </c>
      <c r="AI108" s="746" t="s">
        <v>913</v>
      </c>
      <c r="AJ108" s="746" t="s">
        <v>836</v>
      </c>
      <c r="AK108" s="746" t="s">
        <v>837</v>
      </c>
      <c r="AL108" s="746" t="s">
        <v>876</v>
      </c>
      <c r="AM108" s="757" t="s">
        <v>877</v>
      </c>
      <c r="AN108" s="746" t="s">
        <v>503</v>
      </c>
    </row>
    <row r="109" spans="1:40" ht="12.75" x14ac:dyDescent="0.2">
      <c r="B109" s="809" t="s">
        <v>880</v>
      </c>
      <c r="E109" s="824" t="s">
        <v>145</v>
      </c>
      <c r="F109" s="825">
        <f t="shared" ref="F109:U114" si="33">SUMIF($C:$C,$B109,F:F)</f>
        <v>4</v>
      </c>
      <c r="G109" s="826">
        <f t="shared" si="33"/>
        <v>0</v>
      </c>
      <c r="H109" s="827">
        <f t="shared" si="33"/>
        <v>0</v>
      </c>
      <c r="I109" s="827">
        <f t="shared" si="33"/>
        <v>0</v>
      </c>
      <c r="J109" s="826">
        <f t="shared" si="33"/>
        <v>0</v>
      </c>
      <c r="K109" s="827">
        <f t="shared" si="33"/>
        <v>0</v>
      </c>
      <c r="L109" s="827">
        <f t="shared" si="33"/>
        <v>0</v>
      </c>
      <c r="M109" s="827">
        <f t="shared" si="33"/>
        <v>0</v>
      </c>
      <c r="N109" s="827">
        <f t="shared" si="33"/>
        <v>0</v>
      </c>
      <c r="O109" s="828">
        <f t="shared" si="33"/>
        <v>0</v>
      </c>
      <c r="P109" s="828">
        <f t="shared" si="33"/>
        <v>0</v>
      </c>
      <c r="Q109" s="828">
        <f t="shared" si="33"/>
        <v>0</v>
      </c>
      <c r="R109" s="828">
        <f t="shared" si="33"/>
        <v>0</v>
      </c>
      <c r="S109" s="828">
        <f t="shared" si="33"/>
        <v>0</v>
      </c>
      <c r="T109" s="828">
        <f t="shared" si="33"/>
        <v>0</v>
      </c>
      <c r="U109" s="828">
        <f t="shared" si="33"/>
        <v>0</v>
      </c>
      <c r="V109" s="828">
        <f t="shared" ref="V109:AE114" si="34">SUMIF($C:$C,$B109,V:V)</f>
        <v>0</v>
      </c>
      <c r="W109" s="828">
        <f t="shared" si="34"/>
        <v>0</v>
      </c>
      <c r="X109" s="828">
        <f t="shared" si="34"/>
        <v>0</v>
      </c>
      <c r="Y109" s="829">
        <f t="shared" si="34"/>
        <v>0</v>
      </c>
      <c r="Z109" s="830">
        <f t="shared" si="34"/>
        <v>4</v>
      </c>
      <c r="AA109" s="831">
        <f t="shared" si="34"/>
        <v>0</v>
      </c>
      <c r="AB109" s="831">
        <f t="shared" si="34"/>
        <v>0</v>
      </c>
      <c r="AC109" s="832">
        <f t="shared" si="34"/>
        <v>4</v>
      </c>
      <c r="AD109" s="833">
        <f t="shared" si="34"/>
        <v>0</v>
      </c>
      <c r="AE109" s="834">
        <f t="shared" si="34"/>
        <v>4</v>
      </c>
      <c r="AG109" s="831">
        <f t="shared" ref="AG109:AN114" si="35">SUMIF($C:$C,$B109,AG:AG)</f>
        <v>4</v>
      </c>
      <c r="AH109" s="831">
        <f t="shared" si="35"/>
        <v>0</v>
      </c>
      <c r="AI109" s="831">
        <f t="shared" si="35"/>
        <v>0</v>
      </c>
      <c r="AJ109" s="831">
        <f t="shared" si="35"/>
        <v>0</v>
      </c>
      <c r="AK109" s="831">
        <f t="shared" si="35"/>
        <v>0</v>
      </c>
      <c r="AL109" s="831">
        <f t="shared" si="35"/>
        <v>0</v>
      </c>
      <c r="AM109" s="832">
        <f t="shared" si="35"/>
        <v>4</v>
      </c>
      <c r="AN109" s="831">
        <f t="shared" si="35"/>
        <v>4</v>
      </c>
    </row>
    <row r="110" spans="1:40" ht="12.75" x14ac:dyDescent="0.2">
      <c r="B110" s="809" t="s">
        <v>117</v>
      </c>
      <c r="E110" s="824" t="s">
        <v>914</v>
      </c>
      <c r="F110" s="835">
        <f t="shared" si="33"/>
        <v>19</v>
      </c>
      <c r="G110" s="836">
        <f t="shared" si="33"/>
        <v>0</v>
      </c>
      <c r="H110" s="837">
        <f t="shared" si="33"/>
        <v>0</v>
      </c>
      <c r="I110" s="837">
        <f t="shared" si="33"/>
        <v>0</v>
      </c>
      <c r="J110" s="836">
        <f t="shared" si="33"/>
        <v>0</v>
      </c>
      <c r="K110" s="837">
        <f t="shared" si="33"/>
        <v>11</v>
      </c>
      <c r="L110" s="837">
        <f t="shared" si="33"/>
        <v>0</v>
      </c>
      <c r="M110" s="837">
        <f t="shared" si="33"/>
        <v>0</v>
      </c>
      <c r="N110" s="837">
        <f t="shared" si="33"/>
        <v>0</v>
      </c>
      <c r="O110" s="838">
        <f t="shared" si="33"/>
        <v>0</v>
      </c>
      <c r="P110" s="838">
        <f t="shared" si="33"/>
        <v>131</v>
      </c>
      <c r="Q110" s="838">
        <f t="shared" si="33"/>
        <v>136</v>
      </c>
      <c r="R110" s="838">
        <f t="shared" si="33"/>
        <v>118</v>
      </c>
      <c r="S110" s="838">
        <f t="shared" si="33"/>
        <v>0</v>
      </c>
      <c r="T110" s="838">
        <f t="shared" si="33"/>
        <v>132</v>
      </c>
      <c r="U110" s="838">
        <f t="shared" si="33"/>
        <v>145</v>
      </c>
      <c r="V110" s="838">
        <f t="shared" si="34"/>
        <v>0</v>
      </c>
      <c r="W110" s="838">
        <f t="shared" si="34"/>
        <v>63</v>
      </c>
      <c r="X110" s="838">
        <f t="shared" si="34"/>
        <v>17</v>
      </c>
      <c r="Y110" s="839">
        <f t="shared" si="34"/>
        <v>0</v>
      </c>
      <c r="Z110" s="840">
        <f t="shared" si="34"/>
        <v>30</v>
      </c>
      <c r="AA110" s="841">
        <f t="shared" si="34"/>
        <v>385</v>
      </c>
      <c r="AB110" s="841">
        <f t="shared" si="34"/>
        <v>277</v>
      </c>
      <c r="AC110" s="842">
        <f t="shared" si="34"/>
        <v>692</v>
      </c>
      <c r="AD110" s="843">
        <f t="shared" si="34"/>
        <v>80</v>
      </c>
      <c r="AE110" s="844">
        <f t="shared" si="34"/>
        <v>772</v>
      </c>
      <c r="AG110" s="841">
        <f t="shared" si="35"/>
        <v>19</v>
      </c>
      <c r="AH110" s="841">
        <f t="shared" si="35"/>
        <v>0</v>
      </c>
      <c r="AI110" s="841">
        <f t="shared" si="35"/>
        <v>11</v>
      </c>
      <c r="AJ110" s="841">
        <f t="shared" si="35"/>
        <v>385</v>
      </c>
      <c r="AK110" s="841">
        <f t="shared" si="35"/>
        <v>277</v>
      </c>
      <c r="AL110" s="841">
        <f t="shared" si="35"/>
        <v>80</v>
      </c>
      <c r="AM110" s="842">
        <f t="shared" si="35"/>
        <v>692</v>
      </c>
      <c r="AN110" s="841">
        <f t="shared" si="35"/>
        <v>772</v>
      </c>
    </row>
    <row r="111" spans="1:40" ht="12.75" x14ac:dyDescent="0.2">
      <c r="B111" s="809" t="s">
        <v>255</v>
      </c>
      <c r="E111" s="824" t="s">
        <v>0</v>
      </c>
      <c r="F111" s="835">
        <f t="shared" si="33"/>
        <v>3309</v>
      </c>
      <c r="G111" s="836">
        <f t="shared" si="33"/>
        <v>-2</v>
      </c>
      <c r="H111" s="837">
        <f t="shared" si="33"/>
        <v>3319</v>
      </c>
      <c r="I111" s="837">
        <f t="shared" si="33"/>
        <v>3300</v>
      </c>
      <c r="J111" s="836">
        <f t="shared" si="33"/>
        <v>-5</v>
      </c>
      <c r="K111" s="837">
        <f t="shared" si="33"/>
        <v>3145</v>
      </c>
      <c r="L111" s="837">
        <f t="shared" si="33"/>
        <v>3042</v>
      </c>
      <c r="M111" s="837">
        <f t="shared" si="33"/>
        <v>2916</v>
      </c>
      <c r="N111" s="837">
        <f t="shared" si="33"/>
        <v>2938</v>
      </c>
      <c r="O111" s="838">
        <f t="shared" si="33"/>
        <v>-7</v>
      </c>
      <c r="P111" s="838">
        <f t="shared" si="33"/>
        <v>0</v>
      </c>
      <c r="Q111" s="838">
        <f t="shared" si="33"/>
        <v>0</v>
      </c>
      <c r="R111" s="838">
        <f t="shared" si="33"/>
        <v>0</v>
      </c>
      <c r="S111" s="838">
        <f t="shared" si="33"/>
        <v>0</v>
      </c>
      <c r="T111" s="838">
        <f t="shared" si="33"/>
        <v>0</v>
      </c>
      <c r="U111" s="838">
        <f t="shared" si="33"/>
        <v>0</v>
      </c>
      <c r="V111" s="838">
        <f t="shared" si="34"/>
        <v>0</v>
      </c>
      <c r="W111" s="838">
        <f t="shared" si="34"/>
        <v>0</v>
      </c>
      <c r="X111" s="838">
        <f t="shared" si="34"/>
        <v>0</v>
      </c>
      <c r="Y111" s="839">
        <f t="shared" si="34"/>
        <v>0</v>
      </c>
      <c r="Z111" s="840">
        <f t="shared" si="34"/>
        <v>21955</v>
      </c>
      <c r="AA111" s="841">
        <f t="shared" si="34"/>
        <v>0</v>
      </c>
      <c r="AB111" s="841">
        <f t="shared" si="34"/>
        <v>0</v>
      </c>
      <c r="AC111" s="842">
        <f t="shared" si="34"/>
        <v>21955</v>
      </c>
      <c r="AD111" s="843">
        <f t="shared" si="34"/>
        <v>0</v>
      </c>
      <c r="AE111" s="844">
        <f t="shared" si="34"/>
        <v>21955</v>
      </c>
      <c r="AG111" s="841">
        <f t="shared" si="35"/>
        <v>3307</v>
      </c>
      <c r="AH111" s="841">
        <f t="shared" si="35"/>
        <v>6614</v>
      </c>
      <c r="AI111" s="841">
        <f t="shared" si="35"/>
        <v>12034</v>
      </c>
      <c r="AJ111" s="841">
        <f t="shared" si="35"/>
        <v>0</v>
      </c>
      <c r="AK111" s="841">
        <f t="shared" si="35"/>
        <v>0</v>
      </c>
      <c r="AL111" s="841">
        <f t="shared" si="35"/>
        <v>0</v>
      </c>
      <c r="AM111" s="842">
        <f t="shared" si="35"/>
        <v>21955</v>
      </c>
      <c r="AN111" s="841">
        <f t="shared" si="35"/>
        <v>21955</v>
      </c>
    </row>
    <row r="112" spans="1:40" ht="12.75" x14ac:dyDescent="0.2">
      <c r="B112" s="809" t="s">
        <v>192</v>
      </c>
      <c r="E112" s="824" t="s">
        <v>1</v>
      </c>
      <c r="F112" s="835">
        <f t="shared" si="33"/>
        <v>0</v>
      </c>
      <c r="G112" s="836">
        <f t="shared" si="33"/>
        <v>0</v>
      </c>
      <c r="H112" s="837">
        <f t="shared" si="33"/>
        <v>0</v>
      </c>
      <c r="I112" s="837">
        <f t="shared" si="33"/>
        <v>0</v>
      </c>
      <c r="J112" s="836">
        <f t="shared" si="33"/>
        <v>0</v>
      </c>
      <c r="K112" s="837">
        <f t="shared" si="33"/>
        <v>0</v>
      </c>
      <c r="L112" s="837">
        <f t="shared" si="33"/>
        <v>0</v>
      </c>
      <c r="M112" s="837">
        <f t="shared" si="33"/>
        <v>0</v>
      </c>
      <c r="N112" s="837">
        <f t="shared" si="33"/>
        <v>0</v>
      </c>
      <c r="O112" s="838">
        <f t="shared" si="33"/>
        <v>0</v>
      </c>
      <c r="P112" s="838">
        <f t="shared" si="33"/>
        <v>2720</v>
      </c>
      <c r="Q112" s="838">
        <f t="shared" si="33"/>
        <v>2612</v>
      </c>
      <c r="R112" s="838">
        <f t="shared" si="33"/>
        <v>2664</v>
      </c>
      <c r="S112" s="838">
        <f t="shared" si="33"/>
        <v>-4</v>
      </c>
      <c r="T112" s="838">
        <f t="shared" si="33"/>
        <v>2648</v>
      </c>
      <c r="U112" s="838">
        <f t="shared" si="33"/>
        <v>2748</v>
      </c>
      <c r="V112" s="838">
        <f t="shared" si="34"/>
        <v>-3</v>
      </c>
      <c r="W112" s="838">
        <f t="shared" si="34"/>
        <v>1063</v>
      </c>
      <c r="X112" s="838">
        <f t="shared" si="34"/>
        <v>873</v>
      </c>
      <c r="Y112" s="839">
        <f t="shared" si="34"/>
        <v>28</v>
      </c>
      <c r="Z112" s="840">
        <f t="shared" si="34"/>
        <v>0</v>
      </c>
      <c r="AA112" s="841">
        <f t="shared" si="34"/>
        <v>7992</v>
      </c>
      <c r="AB112" s="841">
        <f t="shared" si="34"/>
        <v>5393</v>
      </c>
      <c r="AC112" s="842">
        <f t="shared" si="34"/>
        <v>13385</v>
      </c>
      <c r="AD112" s="843">
        <f t="shared" si="34"/>
        <v>1964</v>
      </c>
      <c r="AE112" s="844">
        <f t="shared" si="34"/>
        <v>15349</v>
      </c>
      <c r="AG112" s="841">
        <f t="shared" si="35"/>
        <v>0</v>
      </c>
      <c r="AH112" s="841">
        <f t="shared" si="35"/>
        <v>0</v>
      </c>
      <c r="AI112" s="841">
        <f t="shared" si="35"/>
        <v>0</v>
      </c>
      <c r="AJ112" s="841">
        <f t="shared" si="35"/>
        <v>7992</v>
      </c>
      <c r="AK112" s="841">
        <f t="shared" si="35"/>
        <v>5393</v>
      </c>
      <c r="AL112" s="841">
        <f t="shared" si="35"/>
        <v>1964</v>
      </c>
      <c r="AM112" s="842">
        <f t="shared" si="35"/>
        <v>13385</v>
      </c>
      <c r="AN112" s="841">
        <f t="shared" si="35"/>
        <v>15349</v>
      </c>
    </row>
    <row r="113" spans="1:41" ht="12.75" x14ac:dyDescent="0.2">
      <c r="B113" s="809" t="s">
        <v>615</v>
      </c>
      <c r="E113" s="824" t="s">
        <v>915</v>
      </c>
      <c r="F113" s="835">
        <f t="shared" si="33"/>
        <v>16</v>
      </c>
      <c r="G113" s="836">
        <f t="shared" si="33"/>
        <v>0</v>
      </c>
      <c r="H113" s="837">
        <f t="shared" si="33"/>
        <v>19</v>
      </c>
      <c r="I113" s="837">
        <f t="shared" si="33"/>
        <v>15</v>
      </c>
      <c r="J113" s="836">
        <f t="shared" si="33"/>
        <v>0</v>
      </c>
      <c r="K113" s="837">
        <f t="shared" si="33"/>
        <v>26</v>
      </c>
      <c r="L113" s="837">
        <f t="shared" si="33"/>
        <v>26</v>
      </c>
      <c r="M113" s="837">
        <f t="shared" si="33"/>
        <v>26</v>
      </c>
      <c r="N113" s="837">
        <f t="shared" si="33"/>
        <v>21</v>
      </c>
      <c r="O113" s="838">
        <f t="shared" si="33"/>
        <v>0</v>
      </c>
      <c r="P113" s="838">
        <f t="shared" si="33"/>
        <v>51</v>
      </c>
      <c r="Q113" s="838">
        <f t="shared" si="33"/>
        <v>61</v>
      </c>
      <c r="R113" s="838">
        <f t="shared" si="33"/>
        <v>57</v>
      </c>
      <c r="S113" s="838">
        <f t="shared" si="33"/>
        <v>0</v>
      </c>
      <c r="T113" s="838">
        <f t="shared" si="33"/>
        <v>79</v>
      </c>
      <c r="U113" s="838">
        <f t="shared" si="33"/>
        <v>74</v>
      </c>
      <c r="V113" s="838">
        <f t="shared" si="34"/>
        <v>0</v>
      </c>
      <c r="W113" s="838">
        <f t="shared" si="34"/>
        <v>34</v>
      </c>
      <c r="X113" s="838">
        <f t="shared" si="34"/>
        <v>29</v>
      </c>
      <c r="Y113" s="839">
        <f t="shared" si="34"/>
        <v>21</v>
      </c>
      <c r="Z113" s="840">
        <f t="shared" si="34"/>
        <v>149</v>
      </c>
      <c r="AA113" s="841">
        <f t="shared" si="34"/>
        <v>169</v>
      </c>
      <c r="AB113" s="841">
        <f t="shared" si="34"/>
        <v>153</v>
      </c>
      <c r="AC113" s="842">
        <f t="shared" si="34"/>
        <v>471</v>
      </c>
      <c r="AD113" s="843">
        <f t="shared" si="34"/>
        <v>84</v>
      </c>
      <c r="AE113" s="844">
        <f t="shared" si="34"/>
        <v>555</v>
      </c>
      <c r="AG113" s="841">
        <f t="shared" si="35"/>
        <v>16</v>
      </c>
      <c r="AH113" s="841">
        <f t="shared" si="35"/>
        <v>34</v>
      </c>
      <c r="AI113" s="841">
        <f t="shared" si="35"/>
        <v>99</v>
      </c>
      <c r="AJ113" s="841">
        <f t="shared" si="35"/>
        <v>169</v>
      </c>
      <c r="AK113" s="841">
        <f t="shared" si="35"/>
        <v>153</v>
      </c>
      <c r="AL113" s="841">
        <f t="shared" si="35"/>
        <v>84</v>
      </c>
      <c r="AM113" s="842">
        <f t="shared" si="35"/>
        <v>471</v>
      </c>
      <c r="AN113" s="841">
        <f t="shared" si="35"/>
        <v>555</v>
      </c>
    </row>
    <row r="114" spans="1:41" s="745" customFormat="1" ht="13.5" thickBot="1" x14ac:dyDescent="0.25">
      <c r="B114" s="809" t="s">
        <v>884</v>
      </c>
      <c r="C114" s="809"/>
      <c r="D114" s="809"/>
      <c r="E114" s="824" t="s">
        <v>916</v>
      </c>
      <c r="F114" s="845">
        <f t="shared" si="33"/>
        <v>0</v>
      </c>
      <c r="G114" s="846">
        <f t="shared" si="33"/>
        <v>0</v>
      </c>
      <c r="H114" s="847">
        <f t="shared" si="33"/>
        <v>0</v>
      </c>
      <c r="I114" s="847">
        <f t="shared" si="33"/>
        <v>3</v>
      </c>
      <c r="J114" s="846">
        <f t="shared" si="33"/>
        <v>0</v>
      </c>
      <c r="K114" s="847">
        <f t="shared" si="33"/>
        <v>0</v>
      </c>
      <c r="L114" s="847">
        <f t="shared" si="33"/>
        <v>5</v>
      </c>
      <c r="M114" s="847">
        <f t="shared" si="33"/>
        <v>7</v>
      </c>
      <c r="N114" s="847">
        <f t="shared" si="33"/>
        <v>4</v>
      </c>
      <c r="O114" s="848">
        <f t="shared" si="33"/>
        <v>0</v>
      </c>
      <c r="P114" s="848">
        <f t="shared" si="33"/>
        <v>2</v>
      </c>
      <c r="Q114" s="848">
        <f t="shared" si="33"/>
        <v>5</v>
      </c>
      <c r="R114" s="848">
        <f t="shared" si="33"/>
        <v>9</v>
      </c>
      <c r="S114" s="848">
        <f t="shared" si="33"/>
        <v>0</v>
      </c>
      <c r="T114" s="848">
        <f t="shared" si="33"/>
        <v>30</v>
      </c>
      <c r="U114" s="848">
        <f t="shared" si="33"/>
        <v>47</v>
      </c>
      <c r="V114" s="848">
        <f t="shared" si="34"/>
        <v>0</v>
      </c>
      <c r="W114" s="848">
        <f t="shared" si="34"/>
        <v>0</v>
      </c>
      <c r="X114" s="848">
        <f t="shared" si="34"/>
        <v>0</v>
      </c>
      <c r="Y114" s="849">
        <f t="shared" si="34"/>
        <v>0</v>
      </c>
      <c r="Z114" s="850">
        <f t="shared" si="34"/>
        <v>108</v>
      </c>
      <c r="AA114" s="851">
        <f t="shared" si="34"/>
        <v>16</v>
      </c>
      <c r="AB114" s="851">
        <f t="shared" si="34"/>
        <v>77</v>
      </c>
      <c r="AC114" s="852">
        <f t="shared" si="34"/>
        <v>112</v>
      </c>
      <c r="AD114" s="853">
        <f t="shared" si="34"/>
        <v>0</v>
      </c>
      <c r="AE114" s="854">
        <f t="shared" si="34"/>
        <v>112</v>
      </c>
      <c r="AG114" s="851">
        <f t="shared" si="35"/>
        <v>0</v>
      </c>
      <c r="AH114" s="851">
        <f t="shared" si="35"/>
        <v>3</v>
      </c>
      <c r="AI114" s="851">
        <f t="shared" si="35"/>
        <v>16</v>
      </c>
      <c r="AJ114" s="851">
        <f t="shared" si="35"/>
        <v>16</v>
      </c>
      <c r="AK114" s="851">
        <f t="shared" si="35"/>
        <v>77</v>
      </c>
      <c r="AL114" s="851">
        <f t="shared" si="35"/>
        <v>0</v>
      </c>
      <c r="AM114" s="852">
        <f t="shared" si="35"/>
        <v>112</v>
      </c>
      <c r="AN114" s="851">
        <f t="shared" si="35"/>
        <v>112</v>
      </c>
    </row>
    <row r="115" spans="1:41" s="745" customFormat="1" ht="14.25" thickTop="1" thickBot="1" x14ac:dyDescent="0.25">
      <c r="B115" s="809"/>
      <c r="C115" s="809"/>
      <c r="D115" s="809"/>
      <c r="E115" s="796"/>
      <c r="F115" s="855">
        <f t="shared" ref="F115:AN115" si="36">SUM(F109:F114)</f>
        <v>3348</v>
      </c>
      <c r="G115" s="856">
        <f t="shared" si="36"/>
        <v>-2</v>
      </c>
      <c r="H115" s="751">
        <f t="shared" si="36"/>
        <v>3338</v>
      </c>
      <c r="I115" s="751">
        <f t="shared" si="36"/>
        <v>3318</v>
      </c>
      <c r="J115" s="856">
        <f t="shared" si="36"/>
        <v>-5</v>
      </c>
      <c r="K115" s="751">
        <f t="shared" si="36"/>
        <v>3182</v>
      </c>
      <c r="L115" s="751">
        <f t="shared" si="36"/>
        <v>3073</v>
      </c>
      <c r="M115" s="751">
        <f t="shared" si="36"/>
        <v>2949</v>
      </c>
      <c r="N115" s="751">
        <f t="shared" si="36"/>
        <v>2963</v>
      </c>
      <c r="O115" s="754">
        <f t="shared" si="36"/>
        <v>-7</v>
      </c>
      <c r="P115" s="754">
        <f t="shared" si="36"/>
        <v>2904</v>
      </c>
      <c r="Q115" s="754">
        <f t="shared" si="36"/>
        <v>2814</v>
      </c>
      <c r="R115" s="754">
        <f t="shared" si="36"/>
        <v>2848</v>
      </c>
      <c r="S115" s="754">
        <f t="shared" si="36"/>
        <v>-4</v>
      </c>
      <c r="T115" s="754">
        <f t="shared" si="36"/>
        <v>2889</v>
      </c>
      <c r="U115" s="754">
        <f t="shared" si="36"/>
        <v>3014</v>
      </c>
      <c r="V115" s="754">
        <f t="shared" si="36"/>
        <v>-3</v>
      </c>
      <c r="W115" s="754">
        <f t="shared" si="36"/>
        <v>1160</v>
      </c>
      <c r="X115" s="754">
        <f t="shared" si="36"/>
        <v>919</v>
      </c>
      <c r="Y115" s="857">
        <f t="shared" si="36"/>
        <v>49</v>
      </c>
      <c r="Z115" s="855">
        <f t="shared" si="36"/>
        <v>22246</v>
      </c>
      <c r="AA115" s="754">
        <f t="shared" si="36"/>
        <v>8562</v>
      </c>
      <c r="AB115" s="754">
        <f t="shared" si="36"/>
        <v>5900</v>
      </c>
      <c r="AC115" s="858">
        <f t="shared" si="36"/>
        <v>36619</v>
      </c>
      <c r="AD115" s="857">
        <f t="shared" si="36"/>
        <v>2128</v>
      </c>
      <c r="AE115" s="859">
        <f t="shared" si="36"/>
        <v>38747</v>
      </c>
      <c r="AG115" s="754">
        <f t="shared" si="36"/>
        <v>3346</v>
      </c>
      <c r="AH115" s="754">
        <f t="shared" si="36"/>
        <v>6651</v>
      </c>
      <c r="AI115" s="754">
        <f t="shared" si="36"/>
        <v>12160</v>
      </c>
      <c r="AJ115" s="754">
        <f t="shared" si="36"/>
        <v>8562</v>
      </c>
      <c r="AK115" s="754">
        <f t="shared" si="36"/>
        <v>5900</v>
      </c>
      <c r="AL115" s="754">
        <f t="shared" si="36"/>
        <v>2128</v>
      </c>
      <c r="AM115" s="858">
        <f t="shared" si="36"/>
        <v>36619</v>
      </c>
      <c r="AN115" s="754">
        <f t="shared" si="36"/>
        <v>38747</v>
      </c>
    </row>
    <row r="116" spans="1:41" ht="12.75" x14ac:dyDescent="0.2">
      <c r="A116" s="796"/>
      <c r="AC116" s="860"/>
      <c r="AM116" s="861"/>
    </row>
    <row r="117" spans="1:41" s="745" customFormat="1" ht="12.75" x14ac:dyDescent="0.2">
      <c r="B117" s="862"/>
      <c r="C117" s="862"/>
      <c r="D117" s="862"/>
      <c r="E117" s="863" t="s">
        <v>917</v>
      </c>
      <c r="F117" s="864">
        <f>F109</f>
        <v>4</v>
      </c>
      <c r="G117" s="865">
        <f>G109</f>
        <v>0</v>
      </c>
      <c r="H117" s="864">
        <f t="shared" ref="H117:AE117" si="37">H109</f>
        <v>0</v>
      </c>
      <c r="I117" s="864">
        <f t="shared" si="37"/>
        <v>0</v>
      </c>
      <c r="J117" s="865">
        <f>J109</f>
        <v>0</v>
      </c>
      <c r="K117" s="864">
        <f t="shared" si="37"/>
        <v>0</v>
      </c>
      <c r="L117" s="864">
        <f t="shared" si="37"/>
        <v>0</v>
      </c>
      <c r="M117" s="864">
        <f t="shared" si="37"/>
        <v>0</v>
      </c>
      <c r="N117" s="864">
        <f t="shared" si="37"/>
        <v>0</v>
      </c>
      <c r="O117" s="865">
        <f t="shared" si="37"/>
        <v>0</v>
      </c>
      <c r="P117" s="865">
        <f t="shared" si="37"/>
        <v>0</v>
      </c>
      <c r="Q117" s="865">
        <f t="shared" si="37"/>
        <v>0</v>
      </c>
      <c r="R117" s="865">
        <f t="shared" si="37"/>
        <v>0</v>
      </c>
      <c r="S117" s="865">
        <f t="shared" si="37"/>
        <v>0</v>
      </c>
      <c r="T117" s="865">
        <f t="shared" si="37"/>
        <v>0</v>
      </c>
      <c r="U117" s="865">
        <f t="shared" si="37"/>
        <v>0</v>
      </c>
      <c r="V117" s="865">
        <f t="shared" si="37"/>
        <v>0</v>
      </c>
      <c r="W117" s="865">
        <f t="shared" si="37"/>
        <v>0</v>
      </c>
      <c r="X117" s="865">
        <f t="shared" si="37"/>
        <v>0</v>
      </c>
      <c r="Y117" s="865">
        <f t="shared" si="37"/>
        <v>0</v>
      </c>
      <c r="Z117" s="866">
        <f t="shared" si="37"/>
        <v>4</v>
      </c>
      <c r="AA117" s="867">
        <f t="shared" si="37"/>
        <v>0</v>
      </c>
      <c r="AB117" s="867">
        <f t="shared" si="37"/>
        <v>0</v>
      </c>
      <c r="AC117" s="868">
        <f t="shared" si="37"/>
        <v>4</v>
      </c>
      <c r="AD117" s="869">
        <f t="shared" si="37"/>
        <v>0</v>
      </c>
      <c r="AE117" s="864">
        <f t="shared" si="37"/>
        <v>4</v>
      </c>
      <c r="AF117" s="863"/>
      <c r="AG117" s="865">
        <f>AG109</f>
        <v>4</v>
      </c>
      <c r="AH117" s="865">
        <f t="shared" ref="AH117:AN117" si="38">AH109</f>
        <v>0</v>
      </c>
      <c r="AI117" s="865">
        <f t="shared" si="38"/>
        <v>0</v>
      </c>
      <c r="AJ117" s="865">
        <f t="shared" si="38"/>
        <v>0</v>
      </c>
      <c r="AK117" s="865">
        <f t="shared" si="38"/>
        <v>0</v>
      </c>
      <c r="AL117" s="865">
        <f t="shared" si="38"/>
        <v>0</v>
      </c>
      <c r="AM117" s="870">
        <f t="shared" si="38"/>
        <v>4</v>
      </c>
      <c r="AN117" s="865">
        <f t="shared" si="38"/>
        <v>4</v>
      </c>
      <c r="AO117" s="871"/>
    </row>
    <row r="118" spans="1:41" s="745" customFormat="1" ht="12.75" x14ac:dyDescent="0.2">
      <c r="B118" s="862"/>
      <c r="C118" s="862"/>
      <c r="D118" s="862"/>
      <c r="E118" s="863" t="s">
        <v>918</v>
      </c>
      <c r="F118" s="864">
        <f>F113</f>
        <v>16</v>
      </c>
      <c r="G118" s="865">
        <f>G113</f>
        <v>0</v>
      </c>
      <c r="H118" s="864">
        <f t="shared" ref="H118:AE119" si="39">H113</f>
        <v>19</v>
      </c>
      <c r="I118" s="864">
        <f t="shared" si="39"/>
        <v>15</v>
      </c>
      <c r="J118" s="865">
        <f>J113</f>
        <v>0</v>
      </c>
      <c r="K118" s="864">
        <f t="shared" si="39"/>
        <v>26</v>
      </c>
      <c r="L118" s="864">
        <f t="shared" si="39"/>
        <v>26</v>
      </c>
      <c r="M118" s="864">
        <f t="shared" si="39"/>
        <v>26</v>
      </c>
      <c r="N118" s="864">
        <f t="shared" si="39"/>
        <v>21</v>
      </c>
      <c r="O118" s="865">
        <f t="shared" si="39"/>
        <v>0</v>
      </c>
      <c r="P118" s="865">
        <f t="shared" si="39"/>
        <v>51</v>
      </c>
      <c r="Q118" s="865">
        <f t="shared" si="39"/>
        <v>61</v>
      </c>
      <c r="R118" s="865">
        <f t="shared" si="39"/>
        <v>57</v>
      </c>
      <c r="S118" s="865">
        <f t="shared" si="39"/>
        <v>0</v>
      </c>
      <c r="T118" s="865">
        <f t="shared" si="39"/>
        <v>79</v>
      </c>
      <c r="U118" s="865">
        <f t="shared" si="39"/>
        <v>74</v>
      </c>
      <c r="V118" s="865">
        <f t="shared" si="39"/>
        <v>0</v>
      </c>
      <c r="W118" s="865">
        <f t="shared" si="39"/>
        <v>34</v>
      </c>
      <c r="X118" s="865">
        <f t="shared" si="39"/>
        <v>29</v>
      </c>
      <c r="Y118" s="865">
        <f t="shared" si="39"/>
        <v>21</v>
      </c>
      <c r="Z118" s="866">
        <f t="shared" si="39"/>
        <v>149</v>
      </c>
      <c r="AA118" s="867">
        <f t="shared" si="39"/>
        <v>169</v>
      </c>
      <c r="AB118" s="867">
        <f t="shared" si="39"/>
        <v>153</v>
      </c>
      <c r="AC118" s="868">
        <f t="shared" si="39"/>
        <v>471</v>
      </c>
      <c r="AD118" s="869">
        <f t="shared" si="39"/>
        <v>84</v>
      </c>
      <c r="AE118" s="864">
        <f t="shared" si="39"/>
        <v>555</v>
      </c>
      <c r="AF118" s="863"/>
      <c r="AG118" s="865">
        <f>AG113</f>
        <v>16</v>
      </c>
      <c r="AH118" s="865">
        <f t="shared" ref="AH118:AN119" si="40">AH113</f>
        <v>34</v>
      </c>
      <c r="AI118" s="865">
        <f t="shared" si="40"/>
        <v>99</v>
      </c>
      <c r="AJ118" s="865">
        <f t="shared" si="40"/>
        <v>169</v>
      </c>
      <c r="AK118" s="865">
        <f t="shared" si="40"/>
        <v>153</v>
      </c>
      <c r="AL118" s="865">
        <f t="shared" si="40"/>
        <v>84</v>
      </c>
      <c r="AM118" s="870">
        <f t="shared" si="40"/>
        <v>471</v>
      </c>
      <c r="AN118" s="865">
        <f t="shared" si="40"/>
        <v>555</v>
      </c>
      <c r="AO118" s="871"/>
    </row>
    <row r="119" spans="1:41" s="745" customFormat="1" ht="12.75" x14ac:dyDescent="0.2">
      <c r="B119" s="862"/>
      <c r="C119" s="862"/>
      <c r="D119" s="862"/>
      <c r="E119" s="863" t="s">
        <v>919</v>
      </c>
      <c r="F119" s="872">
        <f>F114</f>
        <v>0</v>
      </c>
      <c r="G119" s="862">
        <f>G114</f>
        <v>0</v>
      </c>
      <c r="H119" s="872">
        <f t="shared" si="39"/>
        <v>0</v>
      </c>
      <c r="I119" s="872">
        <f t="shared" si="39"/>
        <v>3</v>
      </c>
      <c r="J119" s="862">
        <f>J114</f>
        <v>0</v>
      </c>
      <c r="K119" s="872">
        <f t="shared" si="39"/>
        <v>0</v>
      </c>
      <c r="L119" s="872">
        <f t="shared" si="39"/>
        <v>5</v>
      </c>
      <c r="M119" s="872">
        <f t="shared" si="39"/>
        <v>7</v>
      </c>
      <c r="N119" s="872">
        <f t="shared" si="39"/>
        <v>4</v>
      </c>
      <c r="O119" s="862">
        <f t="shared" si="39"/>
        <v>0</v>
      </c>
      <c r="P119" s="862">
        <f t="shared" si="39"/>
        <v>2</v>
      </c>
      <c r="Q119" s="862">
        <f t="shared" si="39"/>
        <v>5</v>
      </c>
      <c r="R119" s="862">
        <f t="shared" si="39"/>
        <v>9</v>
      </c>
      <c r="S119" s="862">
        <f t="shared" si="39"/>
        <v>0</v>
      </c>
      <c r="T119" s="862">
        <f t="shared" si="39"/>
        <v>30</v>
      </c>
      <c r="U119" s="862">
        <f t="shared" si="39"/>
        <v>47</v>
      </c>
      <c r="V119" s="862">
        <f t="shared" si="39"/>
        <v>0</v>
      </c>
      <c r="W119" s="862">
        <f t="shared" si="39"/>
        <v>0</v>
      </c>
      <c r="X119" s="862">
        <f t="shared" si="39"/>
        <v>0</v>
      </c>
      <c r="Y119" s="862">
        <f t="shared" si="39"/>
        <v>0</v>
      </c>
      <c r="Z119" s="873">
        <f t="shared" si="39"/>
        <v>108</v>
      </c>
      <c r="AA119" s="874">
        <f t="shared" si="39"/>
        <v>16</v>
      </c>
      <c r="AB119" s="874">
        <f t="shared" si="39"/>
        <v>77</v>
      </c>
      <c r="AC119" s="875">
        <f t="shared" si="39"/>
        <v>112</v>
      </c>
      <c r="AD119" s="876">
        <f t="shared" si="39"/>
        <v>0</v>
      </c>
      <c r="AE119" s="872">
        <f t="shared" si="39"/>
        <v>112</v>
      </c>
      <c r="AF119" s="863"/>
      <c r="AG119" s="862">
        <f>AG114</f>
        <v>0</v>
      </c>
      <c r="AH119" s="862">
        <f t="shared" si="40"/>
        <v>3</v>
      </c>
      <c r="AI119" s="862">
        <f t="shared" si="40"/>
        <v>16</v>
      </c>
      <c r="AJ119" s="862">
        <f t="shared" si="40"/>
        <v>16</v>
      </c>
      <c r="AK119" s="862">
        <f t="shared" si="40"/>
        <v>77</v>
      </c>
      <c r="AL119" s="862">
        <f t="shared" si="40"/>
        <v>0</v>
      </c>
      <c r="AM119" s="877">
        <f t="shared" si="40"/>
        <v>112</v>
      </c>
      <c r="AN119" s="862">
        <f t="shared" si="40"/>
        <v>112</v>
      </c>
      <c r="AO119" s="871"/>
    </row>
    <row r="120" spans="1:41" ht="12.75" x14ac:dyDescent="0.2">
      <c r="A120" s="796"/>
      <c r="E120" s="878"/>
      <c r="F120" s="811"/>
      <c r="G120" s="746"/>
      <c r="H120" s="811"/>
      <c r="I120" s="811"/>
      <c r="J120" s="746"/>
      <c r="K120" s="811"/>
      <c r="L120" s="811"/>
      <c r="M120" s="811"/>
      <c r="N120" s="811"/>
      <c r="O120" s="746"/>
      <c r="P120" s="746"/>
      <c r="Q120" s="746"/>
      <c r="R120" s="746"/>
      <c r="S120" s="746"/>
      <c r="T120" s="746"/>
      <c r="U120" s="746"/>
      <c r="V120" s="746"/>
      <c r="W120" s="746"/>
      <c r="X120" s="746"/>
      <c r="Y120" s="746"/>
      <c r="Z120" s="879"/>
      <c r="AA120" s="880"/>
      <c r="AB120" s="880"/>
      <c r="AC120" s="881"/>
      <c r="AD120" s="882"/>
      <c r="AF120" s="878"/>
      <c r="AG120" s="746"/>
      <c r="AH120" s="746"/>
      <c r="AI120" s="746"/>
      <c r="AJ120" s="746"/>
      <c r="AK120" s="746"/>
      <c r="AL120" s="746"/>
      <c r="AM120" s="860"/>
      <c r="AN120" s="746"/>
    </row>
    <row r="121" spans="1:41" s="745" customFormat="1" ht="13.5" thickBot="1" x14ac:dyDescent="0.25">
      <c r="B121" s="809"/>
      <c r="C121" s="809"/>
      <c r="D121" s="809"/>
      <c r="E121" s="878" t="s">
        <v>920</v>
      </c>
      <c r="F121" s="883">
        <f>F115-F117-F118-F119</f>
        <v>3328</v>
      </c>
      <c r="G121" s="884">
        <f>G115-G117-G118-G119</f>
        <v>-2</v>
      </c>
      <c r="H121" s="883">
        <f t="shared" ref="H121:AE121" si="41">H115-H117-H118-H119</f>
        <v>3319</v>
      </c>
      <c r="I121" s="883">
        <f t="shared" si="41"/>
        <v>3300</v>
      </c>
      <c r="J121" s="884">
        <f>J115-J117-J118-J119</f>
        <v>-5</v>
      </c>
      <c r="K121" s="883">
        <f t="shared" si="41"/>
        <v>3156</v>
      </c>
      <c r="L121" s="883">
        <f t="shared" si="41"/>
        <v>3042</v>
      </c>
      <c r="M121" s="883">
        <f t="shared" si="41"/>
        <v>2916</v>
      </c>
      <c r="N121" s="883">
        <f t="shared" si="41"/>
        <v>2938</v>
      </c>
      <c r="O121" s="884">
        <f t="shared" si="41"/>
        <v>-7</v>
      </c>
      <c r="P121" s="884">
        <f t="shared" si="41"/>
        <v>2851</v>
      </c>
      <c r="Q121" s="884">
        <f t="shared" si="41"/>
        <v>2748</v>
      </c>
      <c r="R121" s="884">
        <f t="shared" si="41"/>
        <v>2782</v>
      </c>
      <c r="S121" s="884">
        <f t="shared" si="41"/>
        <v>-4</v>
      </c>
      <c r="T121" s="884">
        <f t="shared" si="41"/>
        <v>2780</v>
      </c>
      <c r="U121" s="884">
        <f t="shared" si="41"/>
        <v>2893</v>
      </c>
      <c r="V121" s="884">
        <f t="shared" si="41"/>
        <v>-3</v>
      </c>
      <c r="W121" s="884">
        <f t="shared" si="41"/>
        <v>1126</v>
      </c>
      <c r="X121" s="884">
        <f t="shared" si="41"/>
        <v>890</v>
      </c>
      <c r="Y121" s="884">
        <f t="shared" si="41"/>
        <v>28</v>
      </c>
      <c r="Z121" s="885">
        <f t="shared" si="41"/>
        <v>21985</v>
      </c>
      <c r="AA121" s="884">
        <f t="shared" si="41"/>
        <v>8377</v>
      </c>
      <c r="AB121" s="884">
        <f t="shared" si="41"/>
        <v>5670</v>
      </c>
      <c r="AC121" s="886">
        <f t="shared" si="41"/>
        <v>36032</v>
      </c>
      <c r="AD121" s="887">
        <f t="shared" si="41"/>
        <v>2044</v>
      </c>
      <c r="AE121" s="883">
        <f t="shared" si="41"/>
        <v>38076</v>
      </c>
      <c r="AF121" s="878"/>
      <c r="AG121" s="884">
        <f>AG115-AG117-AG118-AG119</f>
        <v>3326</v>
      </c>
      <c r="AH121" s="884">
        <f t="shared" ref="AH121:AN121" si="42">AH115-AH117-AH118-AH119</f>
        <v>6614</v>
      </c>
      <c r="AI121" s="884">
        <f t="shared" si="42"/>
        <v>12045</v>
      </c>
      <c r="AJ121" s="884">
        <f t="shared" si="42"/>
        <v>8377</v>
      </c>
      <c r="AK121" s="884">
        <f t="shared" si="42"/>
        <v>5670</v>
      </c>
      <c r="AL121" s="884">
        <f t="shared" si="42"/>
        <v>2044</v>
      </c>
      <c r="AM121" s="886">
        <f t="shared" si="42"/>
        <v>36032</v>
      </c>
      <c r="AN121" s="884">
        <f t="shared" si="42"/>
        <v>38076</v>
      </c>
    </row>
    <row r="122" spans="1:41" ht="13.5" thickTop="1" x14ac:dyDescent="0.2">
      <c r="A122" s="796"/>
      <c r="F122" s="872"/>
      <c r="G122" s="862"/>
      <c r="H122" s="872"/>
      <c r="I122" s="872"/>
      <c r="J122" s="862"/>
      <c r="K122" s="872"/>
      <c r="L122" s="872"/>
      <c r="M122" s="872"/>
      <c r="N122" s="872"/>
      <c r="O122" s="862"/>
      <c r="P122" s="862"/>
      <c r="Q122" s="862"/>
      <c r="R122" s="862"/>
      <c r="S122" s="862"/>
      <c r="T122" s="862"/>
      <c r="U122" s="862"/>
      <c r="V122" s="862"/>
      <c r="AF122" s="809"/>
    </row>
    <row r="123" spans="1:41" ht="12.75" x14ac:dyDescent="0.2">
      <c r="A123" s="796"/>
    </row>
    <row r="124" spans="1:41" ht="12.75" x14ac:dyDescent="0.2">
      <c r="A124" s="796"/>
      <c r="B124" s="59">
        <v>206189</v>
      </c>
      <c r="E124" s="59" t="s">
        <v>238</v>
      </c>
      <c r="F124" s="59">
        <v>206189</v>
      </c>
    </row>
    <row r="125" spans="1:41" ht="12.75" x14ac:dyDescent="0.2">
      <c r="A125" s="796"/>
      <c r="B125" s="59">
        <v>2014</v>
      </c>
      <c r="E125" s="59" t="s">
        <v>1301</v>
      </c>
      <c r="F125" s="59">
        <v>2014</v>
      </c>
    </row>
    <row r="126" spans="1:41" ht="12.75" x14ac:dyDescent="0.2">
      <c r="B126" s="59">
        <v>2012</v>
      </c>
      <c r="E126" s="59" t="s">
        <v>10</v>
      </c>
      <c r="F126" s="59">
        <v>2012</v>
      </c>
    </row>
    <row r="127" spans="1:41" ht="12.75" x14ac:dyDescent="0.2">
      <c r="B127" s="59">
        <v>5414</v>
      </c>
      <c r="E127" s="59" t="s">
        <v>73</v>
      </c>
      <c r="F127" s="59">
        <v>5414</v>
      </c>
    </row>
    <row r="128" spans="1:41" ht="12.75" x14ac:dyDescent="0.2">
      <c r="B128" s="59">
        <v>4000</v>
      </c>
      <c r="E128" s="59" t="s">
        <v>846</v>
      </c>
      <c r="F128" s="59">
        <v>4000</v>
      </c>
    </row>
    <row r="129" spans="1:40" ht="12.75" x14ac:dyDescent="0.2">
      <c r="A129" s="796"/>
      <c r="B129" s="59">
        <v>2443</v>
      </c>
      <c r="C129" s="796"/>
      <c r="D129" s="796"/>
      <c r="E129" s="59" t="s">
        <v>11</v>
      </c>
      <c r="F129" s="59">
        <v>2443</v>
      </c>
      <c r="G129" s="796"/>
      <c r="H129" s="796"/>
      <c r="I129" s="796"/>
      <c r="J129" s="796"/>
      <c r="K129" s="796"/>
      <c r="L129" s="796"/>
      <c r="M129" s="796"/>
      <c r="N129" s="796"/>
      <c r="O129" s="796"/>
      <c r="P129" s="796"/>
      <c r="Q129" s="796"/>
      <c r="R129" s="796"/>
      <c r="S129" s="796"/>
      <c r="T129" s="796"/>
      <c r="U129" s="796"/>
      <c r="V129" s="796"/>
      <c r="W129" s="796"/>
      <c r="X129" s="796"/>
      <c r="Y129" s="796"/>
      <c r="Z129" s="796"/>
      <c r="AA129" s="796"/>
      <c r="AB129" s="796"/>
      <c r="AC129" s="796"/>
      <c r="AD129" s="796"/>
      <c r="AE129" s="796"/>
      <c r="AF129" s="796"/>
      <c r="AG129" s="796"/>
      <c r="AH129" s="796"/>
      <c r="AI129" s="796"/>
      <c r="AJ129" s="796"/>
      <c r="AK129" s="796"/>
      <c r="AL129" s="796"/>
      <c r="AM129" s="796"/>
      <c r="AN129" s="796"/>
    </row>
    <row r="130" spans="1:40" ht="12.75" x14ac:dyDescent="0.2">
      <c r="A130" s="796"/>
      <c r="B130" s="59">
        <v>2442</v>
      </c>
      <c r="C130" s="796"/>
      <c r="D130" s="796"/>
      <c r="E130" s="59" t="s">
        <v>94</v>
      </c>
      <c r="F130" s="59">
        <v>2442</v>
      </c>
      <c r="G130" s="796"/>
      <c r="H130" s="796"/>
      <c r="I130" s="796"/>
      <c r="J130" s="796"/>
      <c r="K130" s="796"/>
      <c r="L130" s="796"/>
      <c r="M130" s="796"/>
      <c r="N130" s="796"/>
      <c r="O130" s="796"/>
      <c r="P130" s="796"/>
      <c r="Q130" s="796"/>
      <c r="R130" s="796"/>
      <c r="S130" s="796"/>
      <c r="T130" s="796"/>
      <c r="U130" s="796"/>
      <c r="V130" s="796"/>
      <c r="W130" s="796"/>
      <c r="X130" s="796"/>
      <c r="Y130" s="796"/>
      <c r="Z130" s="796"/>
      <c r="AA130" s="796"/>
      <c r="AB130" s="796"/>
      <c r="AC130" s="796"/>
      <c r="AD130" s="796"/>
      <c r="AE130" s="796"/>
      <c r="AF130" s="796"/>
      <c r="AG130" s="796"/>
      <c r="AH130" s="796"/>
      <c r="AI130" s="796"/>
      <c r="AJ130" s="796"/>
      <c r="AK130" s="796"/>
      <c r="AL130" s="796"/>
      <c r="AM130" s="796"/>
      <c r="AN130" s="796"/>
    </row>
    <row r="131" spans="1:40" ht="12.75" x14ac:dyDescent="0.2">
      <c r="A131" s="796"/>
      <c r="B131" s="59" t="s">
        <v>242</v>
      </c>
      <c r="C131" s="796"/>
      <c r="D131" s="796"/>
      <c r="E131" s="59" t="s">
        <v>241</v>
      </c>
      <c r="F131" s="59" t="s">
        <v>242</v>
      </c>
      <c r="G131" s="796"/>
      <c r="H131" s="796"/>
      <c r="I131" s="796"/>
      <c r="J131" s="796"/>
      <c r="K131" s="796"/>
      <c r="L131" s="796"/>
      <c r="M131" s="796"/>
      <c r="N131" s="796"/>
      <c r="O131" s="796"/>
      <c r="P131" s="796"/>
      <c r="Q131" s="796"/>
      <c r="R131" s="796"/>
      <c r="S131" s="796"/>
      <c r="T131" s="796"/>
      <c r="U131" s="796"/>
      <c r="V131" s="796"/>
      <c r="W131" s="796"/>
      <c r="X131" s="796"/>
      <c r="Y131" s="796"/>
      <c r="Z131" s="796"/>
      <c r="AA131" s="796"/>
      <c r="AB131" s="796"/>
      <c r="AC131" s="796"/>
      <c r="AD131" s="796"/>
      <c r="AE131" s="796"/>
      <c r="AF131" s="796"/>
      <c r="AG131" s="796"/>
      <c r="AH131" s="796"/>
      <c r="AI131" s="796"/>
      <c r="AJ131" s="796"/>
      <c r="AK131" s="796"/>
      <c r="AL131" s="796"/>
      <c r="AM131" s="796"/>
      <c r="AN131" s="796"/>
    </row>
    <row r="132" spans="1:40" ht="12.75" x14ac:dyDescent="0.2">
      <c r="A132" s="796"/>
      <c r="B132" s="59">
        <v>2629</v>
      </c>
      <c r="C132" s="796"/>
      <c r="D132" s="796"/>
      <c r="E132" s="59" t="s">
        <v>13</v>
      </c>
      <c r="F132" s="59">
        <v>2629</v>
      </c>
      <c r="G132" s="796"/>
      <c r="H132" s="796"/>
      <c r="I132" s="796"/>
      <c r="J132" s="796"/>
      <c r="K132" s="796"/>
      <c r="L132" s="796"/>
      <c r="M132" s="796"/>
      <c r="N132" s="796"/>
      <c r="O132" s="796"/>
      <c r="P132" s="796"/>
      <c r="Q132" s="796"/>
      <c r="R132" s="796"/>
      <c r="S132" s="796"/>
      <c r="T132" s="796"/>
      <c r="U132" s="796"/>
      <c r="V132" s="796"/>
      <c r="W132" s="796"/>
      <c r="X132" s="796"/>
      <c r="Y132" s="796"/>
      <c r="Z132" s="796"/>
      <c r="AA132" s="796"/>
      <c r="AB132" s="796"/>
      <c r="AC132" s="796"/>
      <c r="AD132" s="796"/>
      <c r="AE132" s="796"/>
      <c r="AF132" s="796"/>
      <c r="AG132" s="796"/>
      <c r="AH132" s="796"/>
      <c r="AI132" s="796"/>
      <c r="AJ132" s="796"/>
      <c r="AK132" s="796"/>
      <c r="AL132" s="796"/>
      <c r="AM132" s="796"/>
      <c r="AN132" s="796"/>
    </row>
    <row r="133" spans="1:40" ht="12.75" x14ac:dyDescent="0.2">
      <c r="A133" s="796"/>
      <c r="B133" s="59">
        <v>2509</v>
      </c>
      <c r="C133" s="796"/>
      <c r="D133" s="796"/>
      <c r="E133" s="59" t="s">
        <v>14</v>
      </c>
      <c r="F133" s="59">
        <v>2509</v>
      </c>
      <c r="G133" s="796"/>
      <c r="H133" s="796"/>
      <c r="I133" s="796"/>
      <c r="J133" s="796"/>
      <c r="K133" s="796"/>
      <c r="L133" s="796"/>
      <c r="M133" s="796"/>
      <c r="N133" s="796"/>
      <c r="O133" s="796"/>
      <c r="P133" s="796"/>
      <c r="Q133" s="796"/>
      <c r="R133" s="796"/>
      <c r="S133" s="796"/>
      <c r="T133" s="796"/>
      <c r="U133" s="796"/>
      <c r="V133" s="796"/>
      <c r="W133" s="796"/>
      <c r="X133" s="796"/>
      <c r="Y133" s="796"/>
      <c r="Z133" s="796"/>
      <c r="AA133" s="796"/>
      <c r="AB133" s="796"/>
      <c r="AC133" s="796"/>
      <c r="AD133" s="796"/>
      <c r="AE133" s="796"/>
      <c r="AF133" s="796"/>
      <c r="AG133" s="796"/>
      <c r="AH133" s="796"/>
      <c r="AI133" s="796"/>
      <c r="AJ133" s="796"/>
      <c r="AK133" s="796"/>
      <c r="AL133" s="796"/>
      <c r="AM133" s="796"/>
      <c r="AN133" s="796"/>
    </row>
    <row r="134" spans="1:40" ht="12.75" x14ac:dyDescent="0.2">
      <c r="A134" s="796"/>
      <c r="B134" s="59">
        <v>1014</v>
      </c>
      <c r="C134" s="796"/>
      <c r="D134" s="796"/>
      <c r="E134" s="59" t="s">
        <v>2</v>
      </c>
      <c r="F134" s="59">
        <v>1014</v>
      </c>
      <c r="G134" s="796"/>
      <c r="H134" s="796"/>
      <c r="I134" s="796"/>
      <c r="J134" s="796"/>
      <c r="K134" s="796"/>
      <c r="L134" s="796"/>
      <c r="M134" s="796"/>
      <c r="N134" s="796"/>
      <c r="O134" s="796"/>
      <c r="P134" s="796"/>
      <c r="Q134" s="796"/>
      <c r="R134" s="796"/>
      <c r="S134" s="796"/>
      <c r="T134" s="796"/>
      <c r="U134" s="796"/>
      <c r="V134" s="796"/>
      <c r="W134" s="796"/>
      <c r="X134" s="796"/>
      <c r="Y134" s="796"/>
      <c r="Z134" s="796"/>
      <c r="AA134" s="796"/>
      <c r="AB134" s="796"/>
      <c r="AC134" s="796"/>
      <c r="AD134" s="796"/>
      <c r="AE134" s="796"/>
      <c r="AF134" s="796"/>
      <c r="AG134" s="796"/>
      <c r="AH134" s="796"/>
      <c r="AI134" s="796"/>
      <c r="AJ134" s="796"/>
      <c r="AK134" s="796"/>
      <c r="AL134" s="796"/>
      <c r="AM134" s="796"/>
      <c r="AN134" s="796"/>
    </row>
    <row r="135" spans="1:40" ht="12.75" x14ac:dyDescent="0.2">
      <c r="A135" s="796"/>
      <c r="B135" s="59">
        <v>2005</v>
      </c>
      <c r="C135" s="796"/>
      <c r="D135" s="796"/>
      <c r="E135" s="59" t="s">
        <v>15</v>
      </c>
      <c r="F135" s="59">
        <v>2005</v>
      </c>
      <c r="G135" s="796"/>
      <c r="H135" s="796"/>
      <c r="I135" s="796"/>
      <c r="J135" s="796"/>
      <c r="K135" s="796"/>
      <c r="L135" s="796"/>
      <c r="M135" s="796"/>
      <c r="N135" s="796"/>
      <c r="O135" s="796"/>
      <c r="P135" s="796"/>
      <c r="Q135" s="796"/>
      <c r="R135" s="796"/>
      <c r="S135" s="796"/>
      <c r="T135" s="796"/>
      <c r="U135" s="796"/>
      <c r="V135" s="796"/>
      <c r="W135" s="796"/>
      <c r="X135" s="796"/>
      <c r="Y135" s="796"/>
      <c r="Z135" s="796"/>
      <c r="AA135" s="796"/>
      <c r="AB135" s="796"/>
      <c r="AC135" s="796"/>
      <c r="AD135" s="796"/>
      <c r="AE135" s="796"/>
      <c r="AF135" s="796"/>
      <c r="AG135" s="796"/>
      <c r="AH135" s="796"/>
      <c r="AI135" s="796"/>
      <c r="AJ135" s="796"/>
      <c r="AK135" s="796"/>
      <c r="AL135" s="796"/>
      <c r="AM135" s="796"/>
      <c r="AN135" s="796"/>
    </row>
    <row r="136" spans="1:40" ht="12.75" x14ac:dyDescent="0.2">
      <c r="A136" s="796"/>
      <c r="B136" s="59">
        <v>2464</v>
      </c>
      <c r="C136" s="796"/>
      <c r="D136" s="796"/>
      <c r="E136" s="59" t="s">
        <v>16</v>
      </c>
      <c r="F136" s="59">
        <v>2464</v>
      </c>
      <c r="G136" s="796"/>
      <c r="H136" s="796"/>
      <c r="I136" s="796"/>
      <c r="J136" s="796"/>
      <c r="K136" s="796"/>
      <c r="L136" s="796"/>
      <c r="M136" s="796"/>
      <c r="N136" s="796"/>
      <c r="O136" s="796"/>
      <c r="P136" s="796"/>
      <c r="Q136" s="796"/>
      <c r="R136" s="796"/>
      <c r="S136" s="796"/>
      <c r="T136" s="796"/>
      <c r="U136" s="796"/>
      <c r="V136" s="796"/>
      <c r="W136" s="796"/>
      <c r="X136" s="796"/>
      <c r="Y136" s="796"/>
      <c r="Z136" s="796"/>
      <c r="AA136" s="796"/>
      <c r="AB136" s="796"/>
      <c r="AC136" s="796"/>
      <c r="AD136" s="796"/>
      <c r="AE136" s="796"/>
      <c r="AF136" s="796"/>
      <c r="AG136" s="796"/>
      <c r="AH136" s="796"/>
      <c r="AI136" s="796"/>
      <c r="AJ136" s="796"/>
      <c r="AK136" s="796"/>
      <c r="AL136" s="796"/>
      <c r="AM136" s="796"/>
      <c r="AN136" s="796"/>
    </row>
    <row r="137" spans="1:40" ht="12.75" x14ac:dyDescent="0.2">
      <c r="A137" s="796"/>
      <c r="B137" s="59" t="s">
        <v>708</v>
      </c>
      <c r="C137" s="796"/>
      <c r="D137" s="796"/>
      <c r="E137" s="59" t="s">
        <v>706</v>
      </c>
      <c r="F137" s="59" t="s">
        <v>708</v>
      </c>
      <c r="G137" s="796"/>
      <c r="H137" s="796"/>
      <c r="I137" s="796"/>
      <c r="J137" s="796"/>
      <c r="K137" s="796"/>
      <c r="L137" s="796"/>
      <c r="M137" s="796"/>
      <c r="N137" s="796"/>
      <c r="O137" s="796"/>
      <c r="P137" s="796"/>
      <c r="Q137" s="796"/>
      <c r="R137" s="796"/>
      <c r="S137" s="796"/>
      <c r="T137" s="796"/>
      <c r="U137" s="796"/>
      <c r="V137" s="796"/>
      <c r="W137" s="796"/>
      <c r="X137" s="796"/>
      <c r="Y137" s="796"/>
      <c r="Z137" s="796"/>
      <c r="AA137" s="796"/>
      <c r="AB137" s="796"/>
      <c r="AC137" s="796"/>
      <c r="AD137" s="796"/>
      <c r="AE137" s="796"/>
      <c r="AF137" s="796"/>
      <c r="AG137" s="796"/>
      <c r="AH137" s="796"/>
      <c r="AI137" s="796"/>
      <c r="AJ137" s="796"/>
      <c r="AK137" s="796"/>
      <c r="AL137" s="796"/>
      <c r="AM137" s="796"/>
      <c r="AN137" s="796"/>
    </row>
    <row r="138" spans="1:40" ht="12.75" x14ac:dyDescent="0.2">
      <c r="A138" s="796"/>
      <c r="B138" s="59">
        <v>2004</v>
      </c>
      <c r="C138" s="796"/>
      <c r="D138" s="796"/>
      <c r="E138" s="59" t="s">
        <v>17</v>
      </c>
      <c r="F138" s="59">
        <v>2004</v>
      </c>
      <c r="G138" s="796"/>
      <c r="H138" s="796"/>
      <c r="I138" s="796"/>
      <c r="J138" s="796"/>
      <c r="K138" s="796"/>
      <c r="L138" s="796"/>
      <c r="M138" s="796"/>
      <c r="N138" s="796"/>
      <c r="O138" s="796"/>
      <c r="P138" s="796"/>
      <c r="Q138" s="796"/>
      <c r="R138" s="796"/>
      <c r="S138" s="796"/>
      <c r="T138" s="796"/>
      <c r="U138" s="796"/>
      <c r="V138" s="796"/>
      <c r="W138" s="796"/>
      <c r="X138" s="796"/>
      <c r="Y138" s="796"/>
      <c r="Z138" s="796"/>
      <c r="AA138" s="796"/>
      <c r="AB138" s="796"/>
      <c r="AC138" s="796"/>
      <c r="AD138" s="796"/>
      <c r="AE138" s="796"/>
      <c r="AF138" s="796"/>
      <c r="AG138" s="796"/>
      <c r="AH138" s="796"/>
      <c r="AI138" s="796"/>
      <c r="AJ138" s="796"/>
      <c r="AK138" s="796"/>
      <c r="AL138" s="796"/>
      <c r="AM138" s="796"/>
      <c r="AN138" s="796"/>
    </row>
    <row r="139" spans="1:40" ht="12.75" x14ac:dyDescent="0.2">
      <c r="A139" s="796"/>
      <c r="B139" s="59">
        <v>2405</v>
      </c>
      <c r="C139" s="796"/>
      <c r="D139" s="796"/>
      <c r="E139" s="59" t="s">
        <v>18</v>
      </c>
      <c r="F139" s="59">
        <v>2405</v>
      </c>
      <c r="G139" s="796"/>
      <c r="H139" s="796"/>
      <c r="I139" s="796"/>
      <c r="J139" s="796"/>
      <c r="K139" s="796"/>
      <c r="L139" s="796"/>
      <c r="M139" s="796"/>
      <c r="N139" s="796"/>
      <c r="O139" s="796"/>
      <c r="P139" s="796"/>
      <c r="Q139" s="796"/>
      <c r="R139" s="796"/>
      <c r="S139" s="796"/>
      <c r="T139" s="796"/>
      <c r="U139" s="796"/>
      <c r="V139" s="796"/>
      <c r="W139" s="796"/>
      <c r="X139" s="796"/>
      <c r="Y139" s="796"/>
      <c r="Z139" s="796"/>
      <c r="AA139" s="796"/>
      <c r="AB139" s="796"/>
      <c r="AC139" s="796"/>
      <c r="AD139" s="796"/>
      <c r="AE139" s="796"/>
      <c r="AF139" s="796"/>
      <c r="AG139" s="796"/>
      <c r="AH139" s="796"/>
      <c r="AI139" s="796"/>
      <c r="AJ139" s="796"/>
      <c r="AK139" s="796"/>
      <c r="AL139" s="796"/>
      <c r="AM139" s="796"/>
      <c r="AN139" s="796"/>
    </row>
    <row r="140" spans="1:40" ht="12.75" x14ac:dyDescent="0.2">
      <c r="A140" s="796"/>
      <c r="B140" s="59" t="s">
        <v>245</v>
      </c>
      <c r="C140" s="796"/>
      <c r="D140" s="796"/>
      <c r="E140" s="59" t="s">
        <v>243</v>
      </c>
      <c r="F140" s="59" t="s">
        <v>245</v>
      </c>
      <c r="G140" s="796"/>
      <c r="H140" s="796"/>
      <c r="I140" s="796"/>
      <c r="J140" s="796"/>
      <c r="K140" s="796"/>
      <c r="L140" s="796"/>
      <c r="M140" s="796"/>
      <c r="N140" s="796"/>
      <c r="O140" s="796"/>
      <c r="P140" s="796"/>
      <c r="Q140" s="796"/>
      <c r="R140" s="796"/>
      <c r="S140" s="796"/>
      <c r="T140" s="796"/>
      <c r="U140" s="796"/>
      <c r="V140" s="796"/>
      <c r="W140" s="796"/>
      <c r="X140" s="796"/>
      <c r="Y140" s="796"/>
      <c r="Z140" s="796"/>
      <c r="AA140" s="796"/>
      <c r="AB140" s="796"/>
      <c r="AC140" s="796"/>
      <c r="AD140" s="796"/>
      <c r="AE140" s="796"/>
      <c r="AF140" s="796"/>
      <c r="AG140" s="796"/>
      <c r="AH140" s="796"/>
      <c r="AI140" s="796"/>
      <c r="AJ140" s="796"/>
      <c r="AK140" s="796"/>
      <c r="AL140" s="796"/>
      <c r="AM140" s="796"/>
      <c r="AN140" s="796"/>
    </row>
    <row r="141" spans="1:40" ht="12.75" x14ac:dyDescent="0.2">
      <c r="A141" s="796"/>
      <c r="B141" s="59" t="s">
        <v>709</v>
      </c>
      <c r="C141" s="796"/>
      <c r="D141" s="796"/>
      <c r="E141" s="59" t="s">
        <v>250</v>
      </c>
      <c r="F141" s="59" t="s">
        <v>709</v>
      </c>
      <c r="G141" s="796"/>
      <c r="H141" s="796"/>
      <c r="I141" s="796"/>
      <c r="J141" s="796"/>
      <c r="K141" s="796"/>
      <c r="L141" s="796"/>
      <c r="M141" s="796"/>
      <c r="N141" s="796"/>
      <c r="O141" s="796"/>
      <c r="P141" s="796"/>
      <c r="Q141" s="796"/>
      <c r="R141" s="796"/>
      <c r="S141" s="796"/>
      <c r="T141" s="796"/>
      <c r="U141" s="796"/>
      <c r="V141" s="796"/>
      <c r="W141" s="796"/>
      <c r="X141" s="796"/>
      <c r="Y141" s="796"/>
      <c r="Z141" s="796"/>
      <c r="AA141" s="796"/>
      <c r="AB141" s="796"/>
      <c r="AC141" s="796"/>
      <c r="AD141" s="796"/>
      <c r="AE141" s="796"/>
      <c r="AF141" s="796"/>
      <c r="AG141" s="796"/>
      <c r="AH141" s="796"/>
      <c r="AI141" s="796"/>
      <c r="AJ141" s="796"/>
      <c r="AK141" s="796"/>
      <c r="AL141" s="796"/>
      <c r="AM141" s="796"/>
      <c r="AN141" s="796"/>
    </row>
    <row r="142" spans="1:40" ht="12.75" x14ac:dyDescent="0.2">
      <c r="A142" s="796"/>
      <c r="B142" s="59" t="s">
        <v>247</v>
      </c>
      <c r="C142" s="796"/>
      <c r="D142" s="796"/>
      <c r="E142" s="59" t="s">
        <v>246</v>
      </c>
      <c r="F142" s="59" t="s">
        <v>247</v>
      </c>
      <c r="G142" s="796"/>
      <c r="H142" s="796"/>
      <c r="I142" s="796"/>
      <c r="J142" s="796"/>
      <c r="K142" s="796"/>
      <c r="L142" s="796"/>
      <c r="M142" s="796"/>
      <c r="N142" s="796"/>
      <c r="O142" s="796"/>
      <c r="P142" s="796"/>
      <c r="Q142" s="796"/>
      <c r="R142" s="796"/>
      <c r="S142" s="796"/>
      <c r="T142" s="796"/>
      <c r="U142" s="796"/>
      <c r="V142" s="796"/>
      <c r="W142" s="796"/>
      <c r="X142" s="796"/>
      <c r="Y142" s="796"/>
      <c r="Z142" s="796"/>
      <c r="AA142" s="796"/>
      <c r="AB142" s="796"/>
      <c r="AC142" s="796"/>
      <c r="AD142" s="796"/>
      <c r="AE142" s="796"/>
      <c r="AF142" s="796"/>
      <c r="AG142" s="796"/>
      <c r="AH142" s="796"/>
      <c r="AI142" s="796"/>
      <c r="AJ142" s="796"/>
      <c r="AK142" s="796"/>
      <c r="AL142" s="796"/>
      <c r="AM142" s="796"/>
      <c r="AN142" s="796"/>
    </row>
    <row r="143" spans="1:40" ht="12.75" x14ac:dyDescent="0.2">
      <c r="A143" s="796"/>
      <c r="B143" s="59" t="s">
        <v>249</v>
      </c>
      <c r="C143" s="796"/>
      <c r="D143" s="796"/>
      <c r="E143" s="59" t="s">
        <v>248</v>
      </c>
      <c r="F143" s="59" t="s">
        <v>249</v>
      </c>
      <c r="G143" s="796"/>
      <c r="H143" s="796"/>
      <c r="I143" s="796"/>
      <c r="J143" s="796"/>
      <c r="K143" s="796"/>
      <c r="L143" s="796"/>
      <c r="M143" s="796"/>
      <c r="N143" s="796"/>
      <c r="O143" s="796"/>
      <c r="P143" s="796"/>
      <c r="Q143" s="796"/>
      <c r="R143" s="796"/>
      <c r="S143" s="796"/>
      <c r="T143" s="796"/>
      <c r="U143" s="796"/>
      <c r="V143" s="796"/>
      <c r="W143" s="796"/>
      <c r="X143" s="796"/>
      <c r="Y143" s="796"/>
      <c r="Z143" s="796"/>
      <c r="AA143" s="796"/>
      <c r="AB143" s="796"/>
      <c r="AC143" s="796"/>
      <c r="AD143" s="796"/>
      <c r="AE143" s="796"/>
      <c r="AF143" s="796"/>
      <c r="AG143" s="796"/>
      <c r="AH143" s="796"/>
      <c r="AI143" s="796"/>
      <c r="AJ143" s="796"/>
      <c r="AK143" s="796"/>
      <c r="AL143" s="796"/>
      <c r="AM143" s="796"/>
      <c r="AN143" s="796"/>
    </row>
    <row r="144" spans="1:40" ht="12.75" x14ac:dyDescent="0.2">
      <c r="A144" s="796"/>
      <c r="B144" s="59">
        <v>2011</v>
      </c>
      <c r="C144" s="796"/>
      <c r="D144" s="796"/>
      <c r="E144" s="59" t="s">
        <v>19</v>
      </c>
      <c r="F144" s="59">
        <v>3525</v>
      </c>
      <c r="G144" s="796"/>
      <c r="H144" s="796"/>
      <c r="I144" s="796"/>
      <c r="J144" s="796"/>
      <c r="K144" s="796"/>
      <c r="L144" s="796"/>
      <c r="M144" s="796"/>
      <c r="N144" s="796"/>
      <c r="O144" s="796"/>
      <c r="P144" s="796"/>
      <c r="Q144" s="796"/>
      <c r="R144" s="796"/>
      <c r="S144" s="796"/>
      <c r="T144" s="796"/>
      <c r="U144" s="796"/>
      <c r="V144" s="796"/>
      <c r="W144" s="796"/>
      <c r="X144" s="796"/>
      <c r="Y144" s="796"/>
      <c r="Z144" s="796"/>
      <c r="AA144" s="796"/>
      <c r="AB144" s="796"/>
      <c r="AC144" s="796"/>
      <c r="AD144" s="796"/>
      <c r="AE144" s="796"/>
      <c r="AF144" s="796"/>
      <c r="AG144" s="796"/>
      <c r="AH144" s="796"/>
      <c r="AI144" s="796"/>
      <c r="AJ144" s="796"/>
      <c r="AK144" s="796"/>
      <c r="AL144" s="796"/>
      <c r="AM144" s="796"/>
      <c r="AN144" s="796"/>
    </row>
    <row r="145" spans="1:40" ht="12.75" x14ac:dyDescent="0.2">
      <c r="A145" s="796"/>
      <c r="B145" s="59" t="s">
        <v>252</v>
      </c>
      <c r="C145" s="796"/>
      <c r="D145" s="796"/>
      <c r="E145" s="59" t="s">
        <v>251</v>
      </c>
      <c r="F145" s="59" t="s">
        <v>252</v>
      </c>
      <c r="G145" s="796"/>
      <c r="H145" s="796"/>
      <c r="I145" s="796"/>
      <c r="J145" s="796"/>
      <c r="K145" s="796"/>
      <c r="L145" s="796"/>
      <c r="M145" s="796"/>
      <c r="N145" s="796"/>
      <c r="O145" s="796"/>
      <c r="P145" s="796"/>
      <c r="Q145" s="796"/>
      <c r="R145" s="796"/>
      <c r="S145" s="796"/>
      <c r="T145" s="796"/>
      <c r="U145" s="796"/>
      <c r="V145" s="796"/>
      <c r="W145" s="796"/>
      <c r="X145" s="796"/>
      <c r="Y145" s="796"/>
      <c r="Z145" s="796"/>
      <c r="AA145" s="796"/>
      <c r="AB145" s="796"/>
      <c r="AC145" s="796"/>
      <c r="AD145" s="796"/>
      <c r="AE145" s="796"/>
      <c r="AF145" s="796"/>
      <c r="AG145" s="796"/>
      <c r="AH145" s="796"/>
      <c r="AI145" s="796"/>
      <c r="AJ145" s="796"/>
      <c r="AK145" s="796"/>
      <c r="AL145" s="796"/>
      <c r="AM145" s="796"/>
      <c r="AN145" s="796"/>
    </row>
    <row r="146" spans="1:40" x14ac:dyDescent="0.25">
      <c r="A146" s="796"/>
      <c r="B146" s="59">
        <v>5201</v>
      </c>
      <c r="C146" s="796"/>
      <c r="D146" s="796"/>
      <c r="E146" s="59" t="s">
        <v>20</v>
      </c>
      <c r="F146" s="59">
        <v>5201</v>
      </c>
      <c r="G146" s="796"/>
      <c r="H146" s="796"/>
      <c r="I146" s="796"/>
      <c r="J146" s="796"/>
      <c r="K146" s="796"/>
      <c r="L146" s="796"/>
      <c r="M146" s="796"/>
      <c r="N146" s="796"/>
      <c r="O146" s="796"/>
      <c r="P146" s="796"/>
      <c r="Q146" s="796"/>
      <c r="R146" s="796"/>
      <c r="S146" s="796"/>
      <c r="T146" s="796"/>
      <c r="U146" s="796"/>
      <c r="V146" s="796"/>
      <c r="W146" s="796"/>
      <c r="X146" s="796"/>
      <c r="Y146" s="796"/>
      <c r="Z146" s="796"/>
      <c r="AA146" s="796"/>
      <c r="AB146" s="796"/>
      <c r="AC146" s="796"/>
      <c r="AD146" s="796"/>
      <c r="AE146" s="796"/>
      <c r="AF146" s="796"/>
      <c r="AG146" s="796"/>
      <c r="AH146" s="796"/>
      <c r="AI146" s="796"/>
      <c r="AJ146" s="796"/>
      <c r="AK146" s="796"/>
      <c r="AL146" s="796"/>
      <c r="AM146" s="796"/>
      <c r="AN146" s="796"/>
    </row>
    <row r="147" spans="1:40" x14ac:dyDescent="0.25">
      <c r="A147" s="796"/>
      <c r="B147" s="59">
        <v>206124</v>
      </c>
      <c r="C147" s="796"/>
      <c r="D147" s="796"/>
      <c r="E147" s="59" t="s">
        <v>253</v>
      </c>
      <c r="F147" s="59">
        <v>206124</v>
      </c>
      <c r="G147" s="796"/>
      <c r="H147" s="796"/>
      <c r="I147" s="796"/>
      <c r="J147" s="796"/>
      <c r="K147" s="796"/>
      <c r="L147" s="796"/>
      <c r="M147" s="796"/>
      <c r="N147" s="796"/>
      <c r="O147" s="796"/>
      <c r="P147" s="796"/>
      <c r="Q147" s="796"/>
      <c r="R147" s="796"/>
      <c r="S147" s="796"/>
      <c r="T147" s="796"/>
      <c r="U147" s="796"/>
      <c r="V147" s="796"/>
      <c r="W147" s="796"/>
      <c r="X147" s="796"/>
      <c r="Y147" s="796"/>
      <c r="Z147" s="796"/>
      <c r="AA147" s="796"/>
      <c r="AB147" s="796"/>
      <c r="AC147" s="796"/>
      <c r="AD147" s="796"/>
      <c r="AE147" s="796"/>
      <c r="AF147" s="796"/>
      <c r="AG147" s="796"/>
      <c r="AH147" s="796"/>
      <c r="AI147" s="796"/>
      <c r="AJ147" s="796"/>
      <c r="AK147" s="796"/>
      <c r="AL147" s="796"/>
      <c r="AM147" s="796"/>
      <c r="AN147" s="796"/>
    </row>
    <row r="148" spans="1:40" x14ac:dyDescent="0.25">
      <c r="A148" s="796"/>
      <c r="B148" s="59">
        <v>2433</v>
      </c>
      <c r="C148" s="796"/>
      <c r="D148" s="796"/>
      <c r="E148" s="59" t="s">
        <v>21</v>
      </c>
      <c r="F148" s="59">
        <v>2433</v>
      </c>
      <c r="G148" s="796"/>
      <c r="H148" s="796"/>
      <c r="I148" s="796"/>
      <c r="J148" s="796"/>
      <c r="K148" s="796"/>
      <c r="L148" s="796"/>
      <c r="M148" s="796"/>
      <c r="N148" s="796"/>
      <c r="O148" s="796"/>
      <c r="P148" s="796"/>
      <c r="Q148" s="796"/>
      <c r="R148" s="796"/>
      <c r="S148" s="796"/>
      <c r="T148" s="796"/>
      <c r="U148" s="796"/>
      <c r="V148" s="796"/>
      <c r="W148" s="796"/>
      <c r="X148" s="796"/>
      <c r="Y148" s="796"/>
      <c r="Z148" s="796"/>
      <c r="AA148" s="796"/>
      <c r="AB148" s="796"/>
      <c r="AC148" s="796"/>
      <c r="AD148" s="796"/>
      <c r="AE148" s="796"/>
      <c r="AF148" s="796"/>
      <c r="AG148" s="796"/>
      <c r="AH148" s="796"/>
      <c r="AI148" s="796"/>
      <c r="AJ148" s="796"/>
      <c r="AK148" s="796"/>
      <c r="AL148" s="796"/>
      <c r="AM148" s="796"/>
      <c r="AN148" s="796"/>
    </row>
    <row r="149" spans="1:40" x14ac:dyDescent="0.25">
      <c r="A149" s="796"/>
      <c r="B149" s="59">
        <v>2432</v>
      </c>
      <c r="C149" s="796"/>
      <c r="D149" s="796"/>
      <c r="E149" s="59" t="s">
        <v>22</v>
      </c>
      <c r="F149" s="59">
        <v>2432</v>
      </c>
      <c r="G149" s="796"/>
      <c r="H149" s="796"/>
      <c r="I149" s="796"/>
      <c r="J149" s="796"/>
      <c r="K149" s="796"/>
      <c r="L149" s="796"/>
      <c r="M149" s="796"/>
      <c r="N149" s="796"/>
      <c r="O149" s="796"/>
      <c r="P149" s="796"/>
      <c r="Q149" s="796"/>
      <c r="R149" s="796"/>
      <c r="S149" s="796"/>
      <c r="T149" s="796"/>
      <c r="U149" s="796"/>
      <c r="V149" s="796"/>
      <c r="W149" s="796"/>
      <c r="X149" s="796"/>
      <c r="Y149" s="796"/>
      <c r="Z149" s="796"/>
      <c r="AA149" s="796"/>
      <c r="AB149" s="796"/>
      <c r="AC149" s="796"/>
      <c r="AD149" s="796"/>
      <c r="AE149" s="796"/>
      <c r="AF149" s="796"/>
      <c r="AG149" s="796"/>
      <c r="AH149" s="796"/>
      <c r="AI149" s="796"/>
      <c r="AJ149" s="796"/>
      <c r="AK149" s="796"/>
      <c r="AL149" s="796"/>
      <c r="AM149" s="796"/>
      <c r="AN149" s="796"/>
    </row>
    <row r="150" spans="1:40" x14ac:dyDescent="0.25">
      <c r="A150" s="796"/>
      <c r="B150" s="59" t="s">
        <v>258</v>
      </c>
      <c r="C150" s="796"/>
      <c r="D150" s="796"/>
      <c r="E150" s="59" t="s">
        <v>256</v>
      </c>
      <c r="F150" s="59" t="s">
        <v>258</v>
      </c>
      <c r="G150" s="796"/>
      <c r="H150" s="796"/>
      <c r="I150" s="796"/>
      <c r="J150" s="796"/>
      <c r="K150" s="796"/>
      <c r="L150" s="796"/>
      <c r="M150" s="796"/>
      <c r="N150" s="796"/>
      <c r="O150" s="796"/>
      <c r="P150" s="796"/>
      <c r="Q150" s="796"/>
      <c r="R150" s="796"/>
      <c r="S150" s="796"/>
      <c r="T150" s="796"/>
      <c r="U150" s="796"/>
      <c r="V150" s="796"/>
      <c r="W150" s="796"/>
      <c r="X150" s="796"/>
      <c r="Y150" s="796"/>
      <c r="Z150" s="796"/>
      <c r="AA150" s="796"/>
      <c r="AB150" s="796"/>
      <c r="AC150" s="796"/>
      <c r="AD150" s="796"/>
      <c r="AE150" s="796"/>
      <c r="AF150" s="796"/>
      <c r="AG150" s="796"/>
      <c r="AH150" s="796"/>
      <c r="AI150" s="796"/>
      <c r="AJ150" s="796"/>
      <c r="AK150" s="796"/>
      <c r="AL150" s="796"/>
      <c r="AM150" s="796"/>
      <c r="AN150" s="796"/>
    </row>
    <row r="151" spans="1:40" x14ac:dyDescent="0.25">
      <c r="A151" s="796"/>
      <c r="B151" s="59">
        <v>2447</v>
      </c>
      <c r="C151" s="796"/>
      <c r="D151" s="796"/>
      <c r="E151" s="59" t="s">
        <v>188</v>
      </c>
      <c r="F151" s="59">
        <v>2447</v>
      </c>
      <c r="G151" s="796"/>
      <c r="H151" s="796"/>
      <c r="I151" s="796"/>
      <c r="J151" s="796"/>
      <c r="K151" s="796"/>
      <c r="L151" s="796"/>
      <c r="M151" s="796"/>
      <c r="N151" s="796"/>
      <c r="O151" s="796"/>
      <c r="P151" s="796"/>
      <c r="Q151" s="796"/>
      <c r="R151" s="796"/>
      <c r="S151" s="796"/>
      <c r="T151" s="796"/>
      <c r="U151" s="796"/>
      <c r="V151" s="796"/>
      <c r="W151" s="796"/>
      <c r="X151" s="796"/>
      <c r="Y151" s="796"/>
      <c r="Z151" s="796"/>
      <c r="AA151" s="796"/>
      <c r="AB151" s="796"/>
      <c r="AC151" s="796"/>
      <c r="AD151" s="796"/>
      <c r="AE151" s="796"/>
      <c r="AF151" s="796"/>
      <c r="AG151" s="796"/>
      <c r="AH151" s="796"/>
      <c r="AI151" s="796"/>
      <c r="AJ151" s="796"/>
      <c r="AK151" s="796"/>
      <c r="AL151" s="796"/>
      <c r="AM151" s="796"/>
      <c r="AN151" s="796"/>
    </row>
    <row r="152" spans="1:40" x14ac:dyDescent="0.25">
      <c r="A152" s="796"/>
      <c r="B152" s="59">
        <v>2512</v>
      </c>
      <c r="C152" s="796"/>
      <c r="D152" s="796"/>
      <c r="E152" s="59" t="s">
        <v>23</v>
      </c>
      <c r="F152" s="59">
        <v>2512</v>
      </c>
      <c r="G152" s="796"/>
      <c r="H152" s="796"/>
      <c r="I152" s="796"/>
      <c r="J152" s="796"/>
      <c r="K152" s="796"/>
      <c r="L152" s="796"/>
      <c r="M152" s="796"/>
      <c r="N152" s="796"/>
      <c r="O152" s="796"/>
      <c r="P152" s="796"/>
      <c r="Q152" s="796"/>
      <c r="R152" s="796"/>
      <c r="S152" s="796"/>
      <c r="T152" s="796"/>
      <c r="U152" s="796"/>
      <c r="V152" s="796"/>
      <c r="W152" s="796"/>
      <c r="X152" s="796"/>
      <c r="Y152" s="796"/>
      <c r="Z152" s="796"/>
      <c r="AA152" s="796"/>
      <c r="AB152" s="796"/>
      <c r="AC152" s="796"/>
      <c r="AD152" s="796"/>
      <c r="AE152" s="796"/>
      <c r="AF152" s="796"/>
      <c r="AG152" s="796"/>
      <c r="AH152" s="796"/>
      <c r="AI152" s="796"/>
      <c r="AJ152" s="796"/>
      <c r="AK152" s="796"/>
      <c r="AL152" s="796"/>
      <c r="AM152" s="796"/>
      <c r="AN152" s="796"/>
    </row>
    <row r="153" spans="1:40" x14ac:dyDescent="0.25">
      <c r="A153" s="796"/>
      <c r="B153" s="59">
        <v>206126</v>
      </c>
      <c r="C153" s="796"/>
      <c r="D153" s="796"/>
      <c r="E153" s="59" t="s">
        <v>259</v>
      </c>
      <c r="F153" s="59">
        <v>206126</v>
      </c>
      <c r="G153" s="796"/>
      <c r="H153" s="796"/>
      <c r="I153" s="796"/>
      <c r="J153" s="796"/>
      <c r="K153" s="796"/>
      <c r="L153" s="796"/>
      <c r="M153" s="796"/>
      <c r="N153" s="796"/>
      <c r="O153" s="796"/>
      <c r="P153" s="796"/>
      <c r="Q153" s="796"/>
      <c r="R153" s="796"/>
      <c r="S153" s="796"/>
      <c r="T153" s="796"/>
      <c r="U153" s="796"/>
      <c r="V153" s="796"/>
      <c r="W153" s="796"/>
      <c r="X153" s="796"/>
      <c r="Y153" s="796"/>
      <c r="Z153" s="796"/>
      <c r="AA153" s="796"/>
      <c r="AB153" s="796"/>
      <c r="AC153" s="796"/>
      <c r="AD153" s="796"/>
      <c r="AE153" s="796"/>
      <c r="AF153" s="796"/>
      <c r="AG153" s="796"/>
      <c r="AH153" s="796"/>
      <c r="AI153" s="796"/>
      <c r="AJ153" s="796"/>
      <c r="AK153" s="796"/>
      <c r="AL153" s="796"/>
      <c r="AM153" s="796"/>
      <c r="AN153" s="796"/>
    </row>
    <row r="154" spans="1:40" x14ac:dyDescent="0.25">
      <c r="A154" s="796"/>
      <c r="B154" s="59">
        <v>206111</v>
      </c>
      <c r="C154" s="796"/>
      <c r="D154" s="796"/>
      <c r="E154" s="59" t="s">
        <v>261</v>
      </c>
      <c r="F154" s="59">
        <v>206111</v>
      </c>
      <c r="G154" s="796"/>
      <c r="H154" s="796"/>
      <c r="I154" s="796"/>
      <c r="J154" s="796"/>
      <c r="K154" s="796"/>
      <c r="L154" s="796"/>
      <c r="M154" s="796"/>
      <c r="N154" s="796"/>
      <c r="O154" s="796"/>
      <c r="P154" s="796"/>
      <c r="Q154" s="796"/>
      <c r="R154" s="796"/>
      <c r="S154" s="796"/>
      <c r="T154" s="796"/>
      <c r="U154" s="796"/>
      <c r="V154" s="796"/>
      <c r="W154" s="796"/>
      <c r="X154" s="796"/>
      <c r="Y154" s="796"/>
      <c r="Z154" s="796"/>
      <c r="AA154" s="796"/>
      <c r="AB154" s="796"/>
      <c r="AC154" s="796"/>
      <c r="AD154" s="796"/>
      <c r="AE154" s="796"/>
      <c r="AF154" s="796"/>
      <c r="AG154" s="796"/>
      <c r="AH154" s="796"/>
      <c r="AI154" s="796"/>
      <c r="AJ154" s="796"/>
      <c r="AK154" s="796"/>
      <c r="AL154" s="796"/>
      <c r="AM154" s="796"/>
      <c r="AN154" s="796"/>
    </row>
    <row r="155" spans="1:40" x14ac:dyDescent="0.25">
      <c r="A155" s="796"/>
      <c r="B155" s="59">
        <v>206091</v>
      </c>
      <c r="C155" s="796"/>
      <c r="D155" s="796"/>
      <c r="E155" s="59" t="s">
        <v>263</v>
      </c>
      <c r="F155" s="59">
        <v>206091</v>
      </c>
      <c r="G155" s="796"/>
      <c r="H155" s="796"/>
      <c r="I155" s="796"/>
      <c r="J155" s="796"/>
      <c r="K155" s="796"/>
      <c r="L155" s="796"/>
      <c r="M155" s="796"/>
      <c r="N155" s="796"/>
      <c r="O155" s="796"/>
      <c r="P155" s="796"/>
      <c r="Q155" s="796"/>
      <c r="R155" s="796"/>
      <c r="S155" s="796"/>
      <c r="T155" s="796"/>
      <c r="U155" s="796"/>
      <c r="V155" s="796"/>
      <c r="W155" s="796"/>
      <c r="X155" s="796"/>
      <c r="Y155" s="796"/>
      <c r="Z155" s="796"/>
      <c r="AA155" s="796"/>
      <c r="AB155" s="796"/>
      <c r="AC155" s="796"/>
      <c r="AD155" s="796"/>
      <c r="AE155" s="796"/>
      <c r="AF155" s="796"/>
      <c r="AG155" s="796"/>
      <c r="AH155" s="796"/>
      <c r="AI155" s="796"/>
      <c r="AJ155" s="796"/>
      <c r="AK155" s="796"/>
      <c r="AL155" s="796"/>
      <c r="AM155" s="796"/>
      <c r="AN155" s="796"/>
    </row>
    <row r="156" spans="1:40" x14ac:dyDescent="0.25">
      <c r="A156" s="796"/>
      <c r="B156" s="59">
        <v>2456</v>
      </c>
      <c r="C156" s="796"/>
      <c r="D156" s="796"/>
      <c r="E156" s="59" t="s">
        <v>24</v>
      </c>
      <c r="F156" s="59">
        <v>2456</v>
      </c>
      <c r="G156" s="796"/>
      <c r="H156" s="796"/>
      <c r="I156" s="796"/>
      <c r="J156" s="796"/>
      <c r="K156" s="796"/>
      <c r="L156" s="796"/>
      <c r="M156" s="796"/>
      <c r="N156" s="796"/>
      <c r="O156" s="796"/>
      <c r="P156" s="796"/>
      <c r="Q156" s="796"/>
      <c r="R156" s="796"/>
      <c r="S156" s="796"/>
      <c r="T156" s="796"/>
      <c r="U156" s="796"/>
      <c r="V156" s="796"/>
      <c r="W156" s="796"/>
      <c r="X156" s="796"/>
      <c r="Y156" s="796"/>
      <c r="Z156" s="796"/>
      <c r="AA156" s="796"/>
      <c r="AB156" s="796"/>
      <c r="AC156" s="796"/>
      <c r="AD156" s="796"/>
      <c r="AE156" s="796"/>
      <c r="AF156" s="796"/>
      <c r="AG156" s="796"/>
      <c r="AH156" s="796"/>
      <c r="AI156" s="796"/>
      <c r="AJ156" s="796"/>
      <c r="AK156" s="796"/>
      <c r="AL156" s="796"/>
      <c r="AM156" s="796"/>
      <c r="AN156" s="796"/>
    </row>
    <row r="157" spans="1:40" x14ac:dyDescent="0.25">
      <c r="A157" s="796"/>
      <c r="B157" s="59">
        <v>1017</v>
      </c>
      <c r="C157" s="796"/>
      <c r="D157" s="796"/>
      <c r="E157" s="59" t="s">
        <v>3</v>
      </c>
      <c r="F157" s="59">
        <v>1017</v>
      </c>
      <c r="G157" s="796"/>
      <c r="H157" s="796"/>
      <c r="I157" s="796"/>
      <c r="J157" s="796"/>
      <c r="K157" s="796"/>
      <c r="L157" s="796"/>
      <c r="M157" s="796"/>
      <c r="N157" s="796"/>
      <c r="O157" s="796"/>
      <c r="P157" s="796"/>
      <c r="Q157" s="796"/>
      <c r="R157" s="796"/>
      <c r="S157" s="796"/>
      <c r="T157" s="796"/>
      <c r="U157" s="796"/>
      <c r="V157" s="796"/>
      <c r="W157" s="796"/>
      <c r="X157" s="796"/>
      <c r="Y157" s="796"/>
      <c r="Z157" s="796"/>
      <c r="AA157" s="796"/>
      <c r="AB157" s="796"/>
      <c r="AC157" s="796"/>
      <c r="AD157" s="796"/>
      <c r="AE157" s="796"/>
      <c r="AF157" s="796"/>
      <c r="AG157" s="796"/>
      <c r="AH157" s="796"/>
      <c r="AI157" s="796"/>
      <c r="AJ157" s="796"/>
      <c r="AK157" s="796"/>
      <c r="AL157" s="796"/>
      <c r="AM157" s="796"/>
      <c r="AN157" s="796"/>
    </row>
    <row r="158" spans="1:40" x14ac:dyDescent="0.25">
      <c r="A158" s="796"/>
      <c r="B158" s="59">
        <v>2449</v>
      </c>
      <c r="C158" s="796"/>
      <c r="D158" s="796"/>
      <c r="E158" s="59" t="s">
        <v>25</v>
      </c>
      <c r="F158" s="59">
        <v>2449</v>
      </c>
      <c r="G158" s="796"/>
      <c r="H158" s="796"/>
      <c r="I158" s="796"/>
      <c r="J158" s="796"/>
      <c r="K158" s="796"/>
      <c r="L158" s="796"/>
      <c r="M158" s="796"/>
      <c r="N158" s="796"/>
      <c r="O158" s="796"/>
      <c r="P158" s="796"/>
      <c r="Q158" s="796"/>
      <c r="R158" s="796"/>
      <c r="S158" s="796"/>
      <c r="T158" s="796"/>
      <c r="U158" s="796"/>
      <c r="V158" s="796"/>
      <c r="W158" s="796"/>
      <c r="X158" s="796"/>
      <c r="Y158" s="796"/>
      <c r="Z158" s="796"/>
      <c r="AA158" s="796"/>
      <c r="AB158" s="796"/>
      <c r="AC158" s="796"/>
      <c r="AD158" s="796"/>
      <c r="AE158" s="796"/>
      <c r="AF158" s="796"/>
      <c r="AG158" s="796"/>
      <c r="AH158" s="796"/>
      <c r="AI158" s="796"/>
      <c r="AJ158" s="796"/>
      <c r="AK158" s="796"/>
      <c r="AL158" s="796"/>
      <c r="AM158" s="796"/>
      <c r="AN158" s="796"/>
    </row>
    <row r="159" spans="1:40" x14ac:dyDescent="0.25">
      <c r="A159" s="796"/>
      <c r="B159" s="59">
        <v>2448</v>
      </c>
      <c r="C159" s="796"/>
      <c r="D159" s="796"/>
      <c r="E159" s="59" t="s">
        <v>26</v>
      </c>
      <c r="F159" s="59">
        <v>2448</v>
      </c>
      <c r="G159" s="796"/>
      <c r="H159" s="796"/>
      <c r="I159" s="796"/>
      <c r="J159" s="796"/>
      <c r="K159" s="796"/>
      <c r="L159" s="796"/>
      <c r="M159" s="796"/>
      <c r="N159" s="796"/>
      <c r="O159" s="796"/>
      <c r="P159" s="796"/>
      <c r="Q159" s="796"/>
      <c r="R159" s="796"/>
      <c r="S159" s="796"/>
      <c r="T159" s="796"/>
      <c r="U159" s="796"/>
      <c r="V159" s="796"/>
      <c r="W159" s="796"/>
      <c r="X159" s="796"/>
      <c r="Y159" s="796"/>
      <c r="Z159" s="796"/>
      <c r="AA159" s="796"/>
      <c r="AB159" s="796"/>
      <c r="AC159" s="796"/>
      <c r="AD159" s="796"/>
      <c r="AE159" s="796"/>
      <c r="AF159" s="796"/>
      <c r="AG159" s="796"/>
      <c r="AH159" s="796"/>
      <c r="AI159" s="796"/>
      <c r="AJ159" s="796"/>
      <c r="AK159" s="796"/>
      <c r="AL159" s="796"/>
      <c r="AM159" s="796"/>
      <c r="AN159" s="796"/>
    </row>
    <row r="160" spans="1:40" x14ac:dyDescent="0.25">
      <c r="A160" s="796"/>
      <c r="B160" s="59">
        <v>1006</v>
      </c>
      <c r="C160" s="796"/>
      <c r="D160" s="796"/>
      <c r="E160" s="59" t="s">
        <v>4</v>
      </c>
      <c r="F160" s="59">
        <v>1006</v>
      </c>
      <c r="G160" s="796"/>
      <c r="H160" s="796"/>
      <c r="I160" s="796"/>
      <c r="J160" s="796"/>
      <c r="K160" s="796"/>
      <c r="L160" s="796"/>
      <c r="M160" s="796"/>
      <c r="N160" s="796"/>
      <c r="O160" s="796"/>
      <c r="P160" s="796"/>
      <c r="Q160" s="796"/>
      <c r="R160" s="796"/>
      <c r="S160" s="796"/>
      <c r="T160" s="796"/>
      <c r="U160" s="796"/>
      <c r="V160" s="796"/>
      <c r="W160" s="796"/>
      <c r="X160" s="796"/>
      <c r="Y160" s="796"/>
      <c r="Z160" s="796"/>
      <c r="AA160" s="796"/>
      <c r="AB160" s="796"/>
      <c r="AC160" s="796"/>
      <c r="AD160" s="796"/>
      <c r="AE160" s="796"/>
      <c r="AF160" s="796"/>
      <c r="AG160" s="796"/>
      <c r="AH160" s="796"/>
      <c r="AI160" s="796"/>
      <c r="AJ160" s="796"/>
      <c r="AK160" s="796"/>
      <c r="AL160" s="796"/>
      <c r="AM160" s="796"/>
      <c r="AN160" s="796"/>
    </row>
    <row r="161" spans="1:40" x14ac:dyDescent="0.25">
      <c r="A161" s="796"/>
      <c r="B161" s="59">
        <v>2467</v>
      </c>
      <c r="C161" s="796"/>
      <c r="D161" s="796"/>
      <c r="E161" s="59" t="s">
        <v>27</v>
      </c>
      <c r="F161" s="59">
        <v>2467</v>
      </c>
      <c r="G161" s="796"/>
      <c r="H161" s="796"/>
      <c r="I161" s="796"/>
      <c r="J161" s="796"/>
      <c r="K161" s="796"/>
      <c r="L161" s="796"/>
      <c r="M161" s="796"/>
      <c r="N161" s="796"/>
      <c r="O161" s="796"/>
      <c r="P161" s="796"/>
      <c r="Q161" s="796"/>
      <c r="R161" s="796"/>
      <c r="S161" s="796"/>
      <c r="T161" s="796"/>
      <c r="U161" s="796"/>
      <c r="V161" s="796"/>
      <c r="W161" s="796"/>
      <c r="X161" s="796"/>
      <c r="Y161" s="796"/>
      <c r="Z161" s="796"/>
      <c r="AA161" s="796"/>
      <c r="AB161" s="796"/>
      <c r="AC161" s="796"/>
      <c r="AD161" s="796"/>
      <c r="AE161" s="796"/>
      <c r="AF161" s="796"/>
      <c r="AG161" s="796"/>
      <c r="AH161" s="796"/>
      <c r="AI161" s="796"/>
      <c r="AJ161" s="796"/>
      <c r="AK161" s="796"/>
      <c r="AL161" s="796"/>
      <c r="AM161" s="796"/>
      <c r="AN161" s="796"/>
    </row>
    <row r="162" spans="1:40" x14ac:dyDescent="0.25">
      <c r="A162" s="796"/>
      <c r="B162" s="59">
        <v>484300</v>
      </c>
      <c r="C162" s="796"/>
      <c r="D162" s="796"/>
      <c r="E162" s="59" t="s">
        <v>1373</v>
      </c>
      <c r="F162" s="59">
        <v>484300</v>
      </c>
      <c r="G162" s="796"/>
      <c r="H162" s="796"/>
      <c r="I162" s="796"/>
      <c r="J162" s="796"/>
      <c r="K162" s="796"/>
      <c r="L162" s="796"/>
      <c r="M162" s="796"/>
      <c r="N162" s="796"/>
      <c r="O162" s="796"/>
      <c r="P162" s="796"/>
      <c r="Q162" s="796"/>
      <c r="R162" s="796"/>
      <c r="S162" s="796"/>
      <c r="T162" s="796"/>
      <c r="U162" s="796"/>
      <c r="V162" s="796"/>
      <c r="W162" s="796"/>
      <c r="X162" s="796"/>
      <c r="Y162" s="796"/>
      <c r="Z162" s="796"/>
      <c r="AA162" s="796"/>
      <c r="AB162" s="796"/>
      <c r="AC162" s="796"/>
      <c r="AD162" s="796"/>
      <c r="AE162" s="796"/>
      <c r="AF162" s="796"/>
      <c r="AG162" s="796"/>
      <c r="AH162" s="796"/>
      <c r="AI162" s="796"/>
      <c r="AJ162" s="796"/>
      <c r="AK162" s="796"/>
      <c r="AL162" s="796"/>
      <c r="AM162" s="796"/>
      <c r="AN162" s="796"/>
    </row>
    <row r="163" spans="1:40" x14ac:dyDescent="0.25">
      <c r="A163" s="796"/>
      <c r="B163" s="59">
        <v>5402</v>
      </c>
      <c r="C163" s="796"/>
      <c r="D163" s="796"/>
      <c r="E163" s="59" t="s">
        <v>75</v>
      </c>
      <c r="F163" s="59">
        <v>5402</v>
      </c>
      <c r="G163" s="796"/>
      <c r="H163" s="796"/>
      <c r="I163" s="796"/>
      <c r="J163" s="796"/>
      <c r="K163" s="796"/>
      <c r="L163" s="796"/>
      <c r="M163" s="796"/>
      <c r="N163" s="796"/>
      <c r="O163" s="796"/>
      <c r="P163" s="796"/>
      <c r="Q163" s="796"/>
      <c r="R163" s="796"/>
      <c r="S163" s="796"/>
      <c r="T163" s="796"/>
      <c r="U163" s="796"/>
      <c r="V163" s="796"/>
      <c r="W163" s="796"/>
      <c r="X163" s="796"/>
      <c r="Y163" s="796"/>
      <c r="Z163" s="796"/>
      <c r="AA163" s="796"/>
      <c r="AB163" s="796"/>
      <c r="AC163" s="796"/>
      <c r="AD163" s="796"/>
      <c r="AE163" s="796"/>
      <c r="AF163" s="796"/>
      <c r="AG163" s="796"/>
      <c r="AH163" s="796"/>
      <c r="AI163" s="796"/>
      <c r="AJ163" s="796"/>
      <c r="AK163" s="796"/>
      <c r="AL163" s="796"/>
      <c r="AM163" s="796"/>
      <c r="AN163" s="796"/>
    </row>
    <row r="164" spans="1:40" x14ac:dyDescent="0.25">
      <c r="A164" s="796"/>
      <c r="B164" s="59">
        <v>2455</v>
      </c>
      <c r="C164" s="796"/>
      <c r="D164" s="796"/>
      <c r="E164" s="59" t="s">
        <v>28</v>
      </c>
      <c r="F164" s="59">
        <v>2455</v>
      </c>
      <c r="G164" s="796"/>
      <c r="H164" s="796"/>
      <c r="I164" s="796"/>
      <c r="J164" s="796"/>
      <c r="K164" s="796"/>
      <c r="L164" s="796"/>
      <c r="M164" s="796"/>
      <c r="N164" s="796"/>
      <c r="O164" s="796"/>
      <c r="P164" s="796"/>
      <c r="Q164" s="796"/>
      <c r="R164" s="796"/>
      <c r="S164" s="796"/>
      <c r="T164" s="796"/>
      <c r="U164" s="796"/>
      <c r="V164" s="796"/>
      <c r="W164" s="796"/>
      <c r="X164" s="796"/>
      <c r="Y164" s="796"/>
      <c r="Z164" s="796"/>
      <c r="AA164" s="796"/>
      <c r="AB164" s="796"/>
      <c r="AC164" s="796"/>
      <c r="AD164" s="796"/>
      <c r="AE164" s="796"/>
      <c r="AF164" s="796"/>
      <c r="AG164" s="796"/>
      <c r="AH164" s="796"/>
      <c r="AI164" s="796"/>
      <c r="AJ164" s="796"/>
      <c r="AK164" s="796"/>
      <c r="AL164" s="796"/>
      <c r="AM164" s="796"/>
      <c r="AN164" s="796"/>
    </row>
    <row r="165" spans="1:40" x14ac:dyDescent="0.25">
      <c r="A165" s="796"/>
      <c r="B165" s="59">
        <v>5203</v>
      </c>
      <c r="C165" s="796"/>
      <c r="D165" s="796"/>
      <c r="E165" s="59" t="s">
        <v>29</v>
      </c>
      <c r="F165" s="59">
        <v>5203</v>
      </c>
      <c r="G165" s="796"/>
      <c r="H165" s="796"/>
      <c r="I165" s="796"/>
      <c r="J165" s="796"/>
      <c r="K165" s="796"/>
      <c r="L165" s="796"/>
      <c r="M165" s="796"/>
      <c r="N165" s="796"/>
      <c r="O165" s="796"/>
      <c r="P165" s="796"/>
      <c r="Q165" s="796"/>
      <c r="R165" s="796"/>
      <c r="S165" s="796"/>
      <c r="T165" s="796"/>
      <c r="U165" s="796"/>
      <c r="V165" s="796"/>
      <c r="W165" s="796"/>
      <c r="X165" s="796"/>
      <c r="Y165" s="796"/>
      <c r="Z165" s="796"/>
      <c r="AA165" s="796"/>
      <c r="AB165" s="796"/>
      <c r="AC165" s="796"/>
      <c r="AD165" s="796"/>
      <c r="AE165" s="796"/>
      <c r="AF165" s="796"/>
      <c r="AG165" s="796"/>
      <c r="AH165" s="796"/>
      <c r="AI165" s="796"/>
      <c r="AJ165" s="796"/>
      <c r="AK165" s="796"/>
      <c r="AL165" s="796"/>
      <c r="AM165" s="796"/>
      <c r="AN165" s="796"/>
    </row>
    <row r="166" spans="1:40" x14ac:dyDescent="0.25">
      <c r="A166" s="796"/>
      <c r="B166" s="59">
        <v>2451</v>
      </c>
      <c r="C166" s="796"/>
      <c r="D166" s="796"/>
      <c r="E166" s="59" t="s">
        <v>30</v>
      </c>
      <c r="F166" s="59">
        <v>2451</v>
      </c>
      <c r="G166" s="796"/>
      <c r="H166" s="796"/>
      <c r="I166" s="796"/>
      <c r="J166" s="796"/>
      <c r="K166" s="796"/>
      <c r="L166" s="796"/>
      <c r="M166" s="796"/>
      <c r="N166" s="796"/>
      <c r="O166" s="796"/>
      <c r="P166" s="796"/>
      <c r="Q166" s="796"/>
      <c r="R166" s="796"/>
      <c r="S166" s="796"/>
      <c r="T166" s="796"/>
      <c r="U166" s="796"/>
      <c r="V166" s="796"/>
      <c r="W166" s="796"/>
      <c r="X166" s="796"/>
      <c r="Y166" s="796"/>
      <c r="Z166" s="796"/>
      <c r="AA166" s="796"/>
      <c r="AB166" s="796"/>
      <c r="AC166" s="796"/>
      <c r="AD166" s="796"/>
      <c r="AE166" s="796"/>
      <c r="AF166" s="796"/>
      <c r="AG166" s="796"/>
      <c r="AH166" s="796"/>
      <c r="AI166" s="796"/>
      <c r="AJ166" s="796"/>
      <c r="AK166" s="796"/>
      <c r="AL166" s="796"/>
      <c r="AM166" s="796"/>
      <c r="AN166" s="796"/>
    </row>
    <row r="167" spans="1:40" x14ac:dyDescent="0.25">
      <c r="A167" s="796"/>
      <c r="B167" s="59" t="s">
        <v>266</v>
      </c>
      <c r="C167" s="796"/>
      <c r="D167" s="796"/>
      <c r="E167" s="59" t="s">
        <v>265</v>
      </c>
      <c r="F167" s="59" t="s">
        <v>266</v>
      </c>
      <c r="G167" s="796"/>
      <c r="H167" s="796"/>
      <c r="I167" s="796"/>
      <c r="J167" s="796"/>
      <c r="K167" s="796"/>
      <c r="L167" s="796"/>
      <c r="M167" s="796"/>
      <c r="N167" s="796"/>
      <c r="O167" s="796"/>
      <c r="P167" s="796"/>
      <c r="Q167" s="796"/>
      <c r="R167" s="796"/>
      <c r="S167" s="796"/>
      <c r="T167" s="796"/>
      <c r="U167" s="796"/>
      <c r="V167" s="796"/>
      <c r="W167" s="796"/>
      <c r="X167" s="796"/>
      <c r="Y167" s="796"/>
      <c r="Z167" s="796"/>
      <c r="AA167" s="796"/>
      <c r="AB167" s="796"/>
      <c r="AC167" s="796"/>
      <c r="AD167" s="796"/>
      <c r="AE167" s="796"/>
      <c r="AF167" s="796"/>
      <c r="AG167" s="796"/>
      <c r="AH167" s="796"/>
      <c r="AI167" s="796"/>
      <c r="AJ167" s="796"/>
      <c r="AK167" s="796"/>
      <c r="AL167" s="796"/>
      <c r="AM167" s="796"/>
      <c r="AN167" s="796"/>
    </row>
    <row r="168" spans="1:40" x14ac:dyDescent="0.25">
      <c r="A168" s="796"/>
      <c r="B168" s="59">
        <v>206128</v>
      </c>
      <c r="C168" s="796"/>
      <c r="D168" s="796"/>
      <c r="E168" s="59" t="s">
        <v>267</v>
      </c>
      <c r="F168" s="59">
        <v>206128</v>
      </c>
      <c r="G168" s="796"/>
      <c r="H168" s="796"/>
      <c r="I168" s="796"/>
      <c r="J168" s="796"/>
      <c r="K168" s="796"/>
      <c r="L168" s="796"/>
      <c r="M168" s="796"/>
      <c r="N168" s="796"/>
      <c r="O168" s="796"/>
      <c r="P168" s="796"/>
      <c r="Q168" s="796"/>
      <c r="R168" s="796"/>
      <c r="S168" s="796"/>
      <c r="T168" s="796"/>
      <c r="U168" s="796"/>
      <c r="V168" s="796"/>
      <c r="W168" s="796"/>
      <c r="X168" s="796"/>
      <c r="Y168" s="796"/>
      <c r="Z168" s="796"/>
      <c r="AA168" s="796"/>
      <c r="AB168" s="796"/>
      <c r="AC168" s="796"/>
      <c r="AD168" s="796"/>
      <c r="AE168" s="796"/>
      <c r="AF168" s="796"/>
      <c r="AG168" s="796"/>
      <c r="AH168" s="796"/>
      <c r="AI168" s="796"/>
      <c r="AJ168" s="796"/>
      <c r="AK168" s="796"/>
      <c r="AL168" s="796"/>
      <c r="AM168" s="796"/>
      <c r="AN168" s="796"/>
    </row>
    <row r="169" spans="1:40" x14ac:dyDescent="0.25">
      <c r="A169" s="796"/>
      <c r="B169" s="59">
        <v>4002</v>
      </c>
      <c r="C169" s="796"/>
      <c r="D169" s="796"/>
      <c r="E169" s="59" t="s">
        <v>438</v>
      </c>
      <c r="F169" s="59">
        <v>4002</v>
      </c>
      <c r="G169" s="796"/>
      <c r="H169" s="796"/>
      <c r="I169" s="796"/>
      <c r="J169" s="796"/>
      <c r="K169" s="796"/>
      <c r="L169" s="796"/>
      <c r="M169" s="796"/>
      <c r="N169" s="796"/>
      <c r="O169" s="796"/>
      <c r="P169" s="796"/>
      <c r="Q169" s="796"/>
      <c r="R169" s="796"/>
      <c r="S169" s="796"/>
      <c r="T169" s="796"/>
      <c r="U169" s="796"/>
      <c r="V169" s="796"/>
      <c r="W169" s="796"/>
      <c r="X169" s="796"/>
      <c r="Y169" s="796"/>
      <c r="Z169" s="796"/>
      <c r="AA169" s="796"/>
      <c r="AB169" s="796"/>
      <c r="AC169" s="796"/>
      <c r="AD169" s="796"/>
      <c r="AE169" s="796"/>
      <c r="AF169" s="796"/>
      <c r="AG169" s="796"/>
      <c r="AH169" s="796"/>
      <c r="AI169" s="796"/>
      <c r="AJ169" s="796"/>
      <c r="AK169" s="796"/>
      <c r="AL169" s="796"/>
      <c r="AM169" s="796"/>
      <c r="AN169" s="796"/>
    </row>
    <row r="170" spans="1:40" x14ac:dyDescent="0.25">
      <c r="A170" s="796"/>
      <c r="B170" s="59">
        <v>2430</v>
      </c>
      <c r="C170" s="796"/>
      <c r="D170" s="796"/>
      <c r="E170" s="59" t="s">
        <v>441</v>
      </c>
      <c r="F170" s="59">
        <v>2430</v>
      </c>
      <c r="G170" s="796"/>
      <c r="H170" s="796"/>
      <c r="I170" s="796"/>
      <c r="J170" s="796"/>
      <c r="K170" s="796"/>
      <c r="L170" s="796"/>
      <c r="M170" s="796"/>
      <c r="N170" s="796"/>
      <c r="O170" s="796"/>
      <c r="P170" s="796"/>
      <c r="Q170" s="796"/>
      <c r="R170" s="796"/>
      <c r="S170" s="796"/>
      <c r="T170" s="796"/>
      <c r="U170" s="796"/>
      <c r="V170" s="796"/>
      <c r="W170" s="796"/>
      <c r="X170" s="796"/>
      <c r="Y170" s="796"/>
      <c r="Z170" s="796"/>
      <c r="AA170" s="796"/>
      <c r="AB170" s="796"/>
      <c r="AC170" s="796"/>
      <c r="AD170" s="796"/>
      <c r="AE170" s="796"/>
      <c r="AF170" s="796"/>
      <c r="AG170" s="796"/>
      <c r="AH170" s="796"/>
      <c r="AI170" s="796"/>
      <c r="AJ170" s="796"/>
      <c r="AK170" s="796"/>
      <c r="AL170" s="796"/>
      <c r="AM170" s="796"/>
      <c r="AN170" s="796"/>
    </row>
    <row r="171" spans="1:40" x14ac:dyDescent="0.25">
      <c r="A171" s="796"/>
      <c r="B171" s="59" t="s">
        <v>710</v>
      </c>
      <c r="C171" s="796"/>
      <c r="D171" s="796"/>
      <c r="E171" s="59" t="s">
        <v>269</v>
      </c>
      <c r="F171" s="59" t="s">
        <v>710</v>
      </c>
      <c r="G171" s="796"/>
      <c r="H171" s="796"/>
      <c r="I171" s="796"/>
      <c r="J171" s="796"/>
      <c r="K171" s="796"/>
      <c r="L171" s="796"/>
      <c r="M171" s="796"/>
      <c r="N171" s="796"/>
      <c r="O171" s="796"/>
      <c r="P171" s="796"/>
      <c r="Q171" s="796"/>
      <c r="R171" s="796"/>
      <c r="S171" s="796"/>
      <c r="T171" s="796"/>
      <c r="U171" s="796"/>
      <c r="V171" s="796"/>
      <c r="W171" s="796"/>
      <c r="X171" s="796"/>
      <c r="Y171" s="796"/>
      <c r="Z171" s="796"/>
      <c r="AA171" s="796"/>
      <c r="AB171" s="796"/>
      <c r="AC171" s="796"/>
      <c r="AD171" s="796"/>
      <c r="AE171" s="796"/>
      <c r="AF171" s="796"/>
      <c r="AG171" s="796"/>
      <c r="AH171" s="796"/>
      <c r="AI171" s="796"/>
      <c r="AJ171" s="796"/>
      <c r="AK171" s="796"/>
      <c r="AL171" s="796"/>
      <c r="AM171" s="796"/>
      <c r="AN171" s="796"/>
    </row>
    <row r="172" spans="1:40" x14ac:dyDescent="0.25">
      <c r="A172" s="796"/>
      <c r="B172" s="59" t="s">
        <v>712</v>
      </c>
      <c r="C172" s="796"/>
      <c r="D172" s="796"/>
      <c r="E172" s="59" t="s">
        <v>711</v>
      </c>
      <c r="F172" s="59" t="s">
        <v>712</v>
      </c>
      <c r="G172" s="796"/>
      <c r="H172" s="796"/>
      <c r="I172" s="796"/>
      <c r="J172" s="796"/>
      <c r="K172" s="796"/>
      <c r="L172" s="796"/>
      <c r="M172" s="796"/>
      <c r="N172" s="796"/>
      <c r="O172" s="796"/>
      <c r="P172" s="796"/>
      <c r="Q172" s="796"/>
      <c r="R172" s="796"/>
      <c r="S172" s="796"/>
      <c r="T172" s="796"/>
      <c r="U172" s="796"/>
      <c r="V172" s="796"/>
      <c r="W172" s="796"/>
      <c r="X172" s="796"/>
      <c r="Y172" s="796"/>
      <c r="Z172" s="796"/>
      <c r="AA172" s="796"/>
      <c r="AB172" s="796"/>
      <c r="AC172" s="796"/>
      <c r="AD172" s="796"/>
      <c r="AE172" s="796"/>
      <c r="AF172" s="796"/>
      <c r="AG172" s="796"/>
      <c r="AH172" s="796"/>
      <c r="AI172" s="796"/>
      <c r="AJ172" s="796"/>
      <c r="AK172" s="796"/>
      <c r="AL172" s="796"/>
      <c r="AM172" s="796"/>
      <c r="AN172" s="796"/>
    </row>
    <row r="173" spans="1:40" x14ac:dyDescent="0.25">
      <c r="A173" s="796"/>
      <c r="B173" s="59">
        <v>4608</v>
      </c>
      <c r="C173" s="796"/>
      <c r="D173" s="796"/>
      <c r="E173" s="59" t="s">
        <v>68</v>
      </c>
      <c r="F173" s="59">
        <v>4608</v>
      </c>
      <c r="G173" s="796"/>
      <c r="H173" s="796"/>
      <c r="I173" s="796"/>
      <c r="J173" s="796"/>
      <c r="K173" s="796"/>
      <c r="L173" s="796"/>
      <c r="M173" s="796"/>
      <c r="N173" s="796"/>
      <c r="O173" s="796"/>
      <c r="P173" s="796"/>
      <c r="Q173" s="796"/>
      <c r="R173" s="796"/>
      <c r="S173" s="796"/>
      <c r="T173" s="796"/>
      <c r="U173" s="796"/>
      <c r="V173" s="796"/>
      <c r="W173" s="796"/>
      <c r="X173" s="796"/>
      <c r="Y173" s="796"/>
      <c r="Z173" s="796"/>
      <c r="AA173" s="796"/>
      <c r="AB173" s="796"/>
      <c r="AC173" s="796"/>
      <c r="AD173" s="796"/>
      <c r="AE173" s="796"/>
      <c r="AF173" s="796"/>
      <c r="AG173" s="796"/>
      <c r="AH173" s="796"/>
      <c r="AI173" s="796"/>
      <c r="AJ173" s="796"/>
      <c r="AK173" s="796"/>
      <c r="AL173" s="796"/>
      <c r="AM173" s="796"/>
      <c r="AN173" s="796"/>
    </row>
    <row r="174" spans="1:40" x14ac:dyDescent="0.25">
      <c r="A174" s="796"/>
      <c r="B174" s="59">
        <v>2409</v>
      </c>
      <c r="C174" s="796"/>
      <c r="D174" s="796"/>
      <c r="E174" s="59" t="s">
        <v>31</v>
      </c>
      <c r="F174" s="59">
        <v>2409</v>
      </c>
      <c r="G174" s="796"/>
      <c r="H174" s="796"/>
      <c r="I174" s="796"/>
      <c r="J174" s="796"/>
      <c r="K174" s="796"/>
      <c r="L174" s="796"/>
      <c r="M174" s="796"/>
      <c r="N174" s="796"/>
      <c r="O174" s="796"/>
      <c r="P174" s="796"/>
      <c r="Q174" s="796"/>
      <c r="R174" s="796"/>
      <c r="S174" s="796"/>
      <c r="T174" s="796"/>
      <c r="U174" s="796"/>
      <c r="V174" s="796"/>
      <c r="W174" s="796"/>
      <c r="X174" s="796"/>
      <c r="Y174" s="796"/>
      <c r="Z174" s="796"/>
      <c r="AA174" s="796"/>
      <c r="AB174" s="796"/>
      <c r="AC174" s="796"/>
      <c r="AD174" s="796"/>
      <c r="AE174" s="796"/>
      <c r="AF174" s="796"/>
      <c r="AG174" s="796"/>
      <c r="AH174" s="796"/>
      <c r="AI174" s="796"/>
      <c r="AJ174" s="796"/>
      <c r="AK174" s="796"/>
      <c r="AL174" s="796"/>
      <c r="AM174" s="796"/>
      <c r="AN174" s="796"/>
    </row>
    <row r="175" spans="1:40" x14ac:dyDescent="0.25">
      <c r="A175" s="796"/>
      <c r="B175" s="59" t="s">
        <v>271</v>
      </c>
      <c r="C175" s="796"/>
      <c r="D175" s="796"/>
      <c r="E175" s="59" t="s">
        <v>270</v>
      </c>
      <c r="F175" s="59" t="s">
        <v>271</v>
      </c>
      <c r="G175" s="796"/>
      <c r="H175" s="796"/>
      <c r="I175" s="796"/>
      <c r="J175" s="796"/>
      <c r="K175" s="796"/>
      <c r="L175" s="796"/>
      <c r="M175" s="796"/>
      <c r="N175" s="796"/>
      <c r="O175" s="796"/>
      <c r="P175" s="796"/>
      <c r="Q175" s="796"/>
      <c r="R175" s="796"/>
      <c r="S175" s="796"/>
      <c r="T175" s="796"/>
      <c r="U175" s="796"/>
      <c r="V175" s="796"/>
      <c r="W175" s="796"/>
      <c r="X175" s="796"/>
      <c r="Y175" s="796"/>
      <c r="Z175" s="796"/>
      <c r="AA175" s="796"/>
      <c r="AB175" s="796"/>
      <c r="AC175" s="796"/>
      <c r="AD175" s="796"/>
      <c r="AE175" s="796"/>
      <c r="AF175" s="796"/>
      <c r="AG175" s="796"/>
      <c r="AH175" s="796"/>
      <c r="AI175" s="796"/>
      <c r="AJ175" s="796"/>
      <c r="AK175" s="796"/>
      <c r="AL175" s="796"/>
      <c r="AM175" s="796"/>
      <c r="AN175" s="796"/>
    </row>
    <row r="176" spans="1:40" x14ac:dyDescent="0.25">
      <c r="A176" s="796"/>
      <c r="B176" s="59" t="s">
        <v>714</v>
      </c>
      <c r="C176" s="796"/>
      <c r="D176" s="796"/>
      <c r="E176" s="59" t="s">
        <v>1283</v>
      </c>
      <c r="F176" s="59" t="s">
        <v>714</v>
      </c>
      <c r="G176" s="796"/>
      <c r="H176" s="796"/>
      <c r="I176" s="796"/>
      <c r="J176" s="796"/>
      <c r="K176" s="796"/>
      <c r="L176" s="796"/>
      <c r="M176" s="796"/>
      <c r="N176" s="796"/>
      <c r="O176" s="796"/>
      <c r="P176" s="796"/>
      <c r="Q176" s="796"/>
      <c r="R176" s="796"/>
      <c r="S176" s="796"/>
      <c r="T176" s="796"/>
      <c r="U176" s="796"/>
      <c r="V176" s="796"/>
      <c r="W176" s="796"/>
      <c r="X176" s="796"/>
      <c r="Y176" s="796"/>
      <c r="Z176" s="796"/>
      <c r="AA176" s="796"/>
      <c r="AB176" s="796"/>
      <c r="AC176" s="796"/>
      <c r="AD176" s="796"/>
      <c r="AE176" s="796"/>
      <c r="AF176" s="796"/>
      <c r="AG176" s="796"/>
      <c r="AH176" s="796"/>
      <c r="AI176" s="796"/>
      <c r="AJ176" s="796"/>
      <c r="AK176" s="796"/>
      <c r="AL176" s="796"/>
      <c r="AM176" s="796"/>
      <c r="AN176" s="796"/>
    </row>
    <row r="177" spans="1:40" x14ac:dyDescent="0.25">
      <c r="A177" s="796"/>
      <c r="B177" s="59">
        <v>205921</v>
      </c>
      <c r="C177" s="796"/>
      <c r="D177" s="796"/>
      <c r="E177" s="59" t="s">
        <v>525</v>
      </c>
      <c r="F177" s="59">
        <v>205921</v>
      </c>
      <c r="G177" s="796"/>
      <c r="H177" s="796"/>
      <c r="I177" s="796"/>
      <c r="J177" s="796"/>
      <c r="K177" s="796"/>
      <c r="L177" s="796"/>
      <c r="M177" s="796"/>
      <c r="N177" s="796"/>
      <c r="O177" s="796"/>
      <c r="P177" s="796"/>
      <c r="Q177" s="796"/>
      <c r="R177" s="796"/>
      <c r="S177" s="796"/>
      <c r="T177" s="796"/>
      <c r="U177" s="796"/>
      <c r="V177" s="796"/>
      <c r="W177" s="796"/>
      <c r="X177" s="796"/>
      <c r="Y177" s="796"/>
      <c r="Z177" s="796"/>
      <c r="AA177" s="796"/>
      <c r="AB177" s="796"/>
      <c r="AC177" s="796"/>
      <c r="AD177" s="796"/>
      <c r="AE177" s="796"/>
      <c r="AF177" s="796"/>
      <c r="AG177" s="796"/>
      <c r="AH177" s="796"/>
      <c r="AI177" s="796"/>
      <c r="AJ177" s="796"/>
      <c r="AK177" s="796"/>
      <c r="AL177" s="796"/>
      <c r="AM177" s="796"/>
      <c r="AN177" s="796"/>
    </row>
    <row r="178" spans="1:40" x14ac:dyDescent="0.25">
      <c r="A178" s="796"/>
      <c r="B178" s="59" t="s">
        <v>719</v>
      </c>
      <c r="C178" s="796"/>
      <c r="D178" s="796"/>
      <c r="E178" s="59" t="s">
        <v>1256</v>
      </c>
      <c r="F178" s="59" t="s">
        <v>719</v>
      </c>
      <c r="G178" s="796"/>
      <c r="H178" s="796"/>
      <c r="I178" s="796"/>
      <c r="J178" s="796"/>
      <c r="K178" s="796"/>
      <c r="L178" s="796"/>
      <c r="M178" s="796"/>
      <c r="N178" s="796"/>
      <c r="O178" s="796"/>
      <c r="P178" s="796"/>
      <c r="Q178" s="796"/>
      <c r="R178" s="796"/>
      <c r="S178" s="796"/>
      <c r="T178" s="796"/>
      <c r="U178" s="796"/>
      <c r="V178" s="796"/>
      <c r="W178" s="796"/>
      <c r="X178" s="796"/>
      <c r="Y178" s="796"/>
      <c r="Z178" s="796"/>
      <c r="AA178" s="796"/>
      <c r="AB178" s="796"/>
      <c r="AC178" s="796"/>
      <c r="AD178" s="796"/>
      <c r="AE178" s="796"/>
      <c r="AF178" s="796"/>
      <c r="AG178" s="796"/>
      <c r="AH178" s="796"/>
      <c r="AI178" s="796"/>
      <c r="AJ178" s="796"/>
      <c r="AK178" s="796"/>
      <c r="AL178" s="796"/>
      <c r="AM178" s="796"/>
      <c r="AN178" s="796"/>
    </row>
    <row r="179" spans="1:40" x14ac:dyDescent="0.25">
      <c r="A179" s="796"/>
      <c r="B179" s="59">
        <v>398922</v>
      </c>
      <c r="C179" s="796"/>
      <c r="D179" s="796"/>
      <c r="E179" s="59" t="s">
        <v>1375</v>
      </c>
      <c r="F179" s="59">
        <v>398922</v>
      </c>
      <c r="G179" s="796"/>
      <c r="H179" s="796"/>
      <c r="I179" s="796"/>
      <c r="J179" s="796"/>
      <c r="K179" s="796"/>
      <c r="L179" s="796"/>
      <c r="M179" s="796"/>
      <c r="N179" s="796"/>
      <c r="O179" s="796"/>
      <c r="P179" s="796"/>
      <c r="Q179" s="796"/>
      <c r="R179" s="796"/>
      <c r="S179" s="796"/>
      <c r="T179" s="796"/>
      <c r="U179" s="796"/>
      <c r="V179" s="796"/>
      <c r="W179" s="796"/>
      <c r="X179" s="796"/>
      <c r="Y179" s="796"/>
      <c r="Z179" s="796"/>
      <c r="AA179" s="796"/>
      <c r="AB179" s="796"/>
      <c r="AC179" s="796"/>
      <c r="AD179" s="796"/>
      <c r="AE179" s="796"/>
      <c r="AF179" s="796"/>
      <c r="AG179" s="796"/>
      <c r="AH179" s="796"/>
      <c r="AI179" s="796"/>
      <c r="AJ179" s="796"/>
      <c r="AK179" s="796"/>
      <c r="AL179" s="796"/>
      <c r="AM179" s="796"/>
      <c r="AN179" s="796"/>
    </row>
    <row r="180" spans="1:40" x14ac:dyDescent="0.25">
      <c r="A180" s="796"/>
      <c r="B180" s="59">
        <v>479804</v>
      </c>
      <c r="C180" s="796"/>
      <c r="D180" s="796"/>
      <c r="E180" s="59" t="s">
        <v>1374</v>
      </c>
      <c r="F180" s="59">
        <v>479804</v>
      </c>
      <c r="G180" s="796"/>
      <c r="H180" s="796"/>
      <c r="I180" s="796"/>
      <c r="J180" s="796"/>
      <c r="K180" s="796"/>
      <c r="L180" s="796"/>
      <c r="M180" s="796"/>
      <c r="N180" s="796"/>
      <c r="O180" s="796"/>
      <c r="P180" s="796"/>
      <c r="Q180" s="796"/>
      <c r="R180" s="796"/>
      <c r="S180" s="796"/>
      <c r="T180" s="796"/>
      <c r="U180" s="796"/>
      <c r="V180" s="796"/>
      <c r="W180" s="796"/>
      <c r="X180" s="796"/>
      <c r="Y180" s="796"/>
      <c r="Z180" s="796"/>
      <c r="AA180" s="796"/>
      <c r="AB180" s="796"/>
      <c r="AC180" s="796"/>
      <c r="AD180" s="796"/>
      <c r="AE180" s="796"/>
      <c r="AF180" s="796"/>
      <c r="AG180" s="796"/>
      <c r="AH180" s="796"/>
      <c r="AI180" s="796"/>
      <c r="AJ180" s="796"/>
      <c r="AK180" s="796"/>
      <c r="AL180" s="796"/>
      <c r="AM180" s="796"/>
      <c r="AN180" s="796"/>
    </row>
    <row r="181" spans="1:40" x14ac:dyDescent="0.25">
      <c r="A181" s="796"/>
      <c r="B181" s="59">
        <v>205999</v>
      </c>
      <c r="C181" s="796"/>
      <c r="D181" s="796"/>
      <c r="E181" s="59" t="s">
        <v>524</v>
      </c>
      <c r="F181" s="59">
        <v>205999</v>
      </c>
      <c r="G181" s="796"/>
      <c r="H181" s="796"/>
      <c r="I181" s="796"/>
      <c r="J181" s="796"/>
      <c r="K181" s="796"/>
      <c r="L181" s="796"/>
      <c r="M181" s="796"/>
      <c r="N181" s="796"/>
      <c r="O181" s="796"/>
      <c r="P181" s="796"/>
      <c r="Q181" s="796"/>
      <c r="R181" s="796"/>
      <c r="S181" s="796"/>
      <c r="T181" s="796"/>
      <c r="U181" s="796"/>
      <c r="V181" s="796"/>
      <c r="W181" s="796"/>
      <c r="X181" s="796"/>
      <c r="Y181" s="796"/>
      <c r="Z181" s="796"/>
      <c r="AA181" s="796"/>
      <c r="AB181" s="796"/>
      <c r="AC181" s="796"/>
      <c r="AD181" s="796"/>
      <c r="AE181" s="796"/>
      <c r="AF181" s="796"/>
      <c r="AG181" s="796"/>
      <c r="AH181" s="796"/>
      <c r="AI181" s="796"/>
      <c r="AJ181" s="796"/>
      <c r="AK181" s="796"/>
      <c r="AL181" s="796"/>
      <c r="AM181" s="796"/>
      <c r="AN181" s="796"/>
    </row>
    <row r="182" spans="1:40" x14ac:dyDescent="0.25">
      <c r="A182" s="796"/>
      <c r="B182" s="59" t="s">
        <v>272</v>
      </c>
      <c r="C182" s="796"/>
      <c r="D182" s="796"/>
      <c r="E182" s="59" t="s">
        <v>523</v>
      </c>
      <c r="F182" s="59" t="s">
        <v>272</v>
      </c>
      <c r="G182" s="796"/>
      <c r="H182" s="796"/>
      <c r="I182" s="796"/>
      <c r="J182" s="796"/>
      <c r="K182" s="796"/>
      <c r="L182" s="796"/>
      <c r="M182" s="796"/>
      <c r="N182" s="796"/>
      <c r="O182" s="796"/>
      <c r="P182" s="796"/>
      <c r="Q182" s="796"/>
      <c r="R182" s="796"/>
      <c r="S182" s="796"/>
      <c r="T182" s="796"/>
      <c r="U182" s="796"/>
      <c r="V182" s="796"/>
      <c r="W182" s="796"/>
      <c r="X182" s="796"/>
      <c r="Y182" s="796"/>
      <c r="Z182" s="796"/>
      <c r="AA182" s="796"/>
      <c r="AB182" s="796"/>
      <c r="AC182" s="796"/>
      <c r="AD182" s="796"/>
      <c r="AE182" s="796"/>
      <c r="AF182" s="796"/>
      <c r="AG182" s="796"/>
      <c r="AH182" s="796"/>
      <c r="AI182" s="796"/>
      <c r="AJ182" s="796"/>
      <c r="AK182" s="796"/>
      <c r="AL182" s="796"/>
      <c r="AM182" s="796"/>
      <c r="AN182" s="796"/>
    </row>
    <row r="183" spans="1:40" x14ac:dyDescent="0.25">
      <c r="A183" s="796"/>
      <c r="B183" s="59">
        <v>206065</v>
      </c>
      <c r="C183" s="796"/>
      <c r="D183" s="796"/>
      <c r="E183" s="59" t="s">
        <v>1257</v>
      </c>
      <c r="F183" s="59">
        <v>206065</v>
      </c>
      <c r="G183" s="796"/>
      <c r="H183" s="796"/>
      <c r="I183" s="796"/>
      <c r="J183" s="796"/>
      <c r="K183" s="796"/>
      <c r="L183" s="796"/>
      <c r="M183" s="796"/>
      <c r="N183" s="796"/>
      <c r="O183" s="796"/>
      <c r="P183" s="796"/>
      <c r="Q183" s="796"/>
      <c r="R183" s="796"/>
      <c r="S183" s="796"/>
      <c r="T183" s="796"/>
      <c r="U183" s="796"/>
      <c r="V183" s="796"/>
      <c r="W183" s="796"/>
      <c r="X183" s="796"/>
      <c r="Y183" s="796"/>
      <c r="Z183" s="796"/>
      <c r="AA183" s="796"/>
      <c r="AB183" s="796"/>
      <c r="AC183" s="796"/>
      <c r="AD183" s="796"/>
      <c r="AE183" s="796"/>
      <c r="AF183" s="796"/>
      <c r="AG183" s="796"/>
      <c r="AH183" s="796"/>
      <c r="AI183" s="796"/>
      <c r="AJ183" s="796"/>
      <c r="AK183" s="796"/>
      <c r="AL183" s="796"/>
      <c r="AM183" s="796"/>
      <c r="AN183" s="796"/>
    </row>
    <row r="184" spans="1:40" x14ac:dyDescent="0.25">
      <c r="A184" s="796"/>
      <c r="B184" s="59">
        <v>314105</v>
      </c>
      <c r="C184" s="796"/>
      <c r="D184" s="796"/>
      <c r="E184" s="59" t="s">
        <v>1376</v>
      </c>
      <c r="F184" s="59">
        <v>314105</v>
      </c>
      <c r="G184" s="796"/>
      <c r="H184" s="796"/>
      <c r="I184" s="796"/>
      <c r="J184" s="796"/>
      <c r="K184" s="796"/>
      <c r="L184" s="796"/>
      <c r="M184" s="796"/>
      <c r="N184" s="796"/>
      <c r="O184" s="796"/>
      <c r="P184" s="796"/>
      <c r="Q184" s="796"/>
      <c r="R184" s="796"/>
      <c r="S184" s="796"/>
      <c r="T184" s="796"/>
      <c r="U184" s="796"/>
      <c r="V184" s="796"/>
      <c r="W184" s="796"/>
      <c r="X184" s="796"/>
      <c r="Y184" s="796"/>
      <c r="Z184" s="796"/>
      <c r="AA184" s="796"/>
      <c r="AB184" s="796"/>
      <c r="AC184" s="796"/>
      <c r="AD184" s="796"/>
      <c r="AE184" s="796"/>
      <c r="AF184" s="796"/>
      <c r="AG184" s="796"/>
      <c r="AH184" s="796"/>
      <c r="AI184" s="796"/>
      <c r="AJ184" s="796"/>
      <c r="AK184" s="796"/>
      <c r="AL184" s="796"/>
      <c r="AM184" s="796"/>
      <c r="AN184" s="796"/>
    </row>
    <row r="185" spans="1:40" x14ac:dyDescent="0.25">
      <c r="A185" s="796"/>
      <c r="B185" s="59" t="s">
        <v>277</v>
      </c>
      <c r="C185" s="796"/>
      <c r="D185" s="796"/>
      <c r="E185" s="59" t="s">
        <v>1400</v>
      </c>
      <c r="F185" s="59" t="s">
        <v>277</v>
      </c>
      <c r="G185" s="796"/>
      <c r="H185" s="796"/>
      <c r="I185" s="796"/>
      <c r="J185" s="796"/>
      <c r="K185" s="796"/>
      <c r="L185" s="796"/>
      <c r="M185" s="796"/>
      <c r="N185" s="796"/>
      <c r="O185" s="796"/>
      <c r="P185" s="796"/>
      <c r="Q185" s="796"/>
      <c r="R185" s="796"/>
      <c r="S185" s="796"/>
      <c r="T185" s="796"/>
      <c r="U185" s="796"/>
      <c r="V185" s="796"/>
      <c r="W185" s="796"/>
      <c r="X185" s="796"/>
      <c r="Y185" s="796"/>
      <c r="Z185" s="796"/>
      <c r="AA185" s="796"/>
      <c r="AB185" s="796"/>
      <c r="AC185" s="796"/>
      <c r="AD185" s="796"/>
      <c r="AE185" s="796"/>
      <c r="AF185" s="796"/>
      <c r="AG185" s="796"/>
      <c r="AH185" s="796"/>
      <c r="AI185" s="796"/>
      <c r="AJ185" s="796"/>
      <c r="AK185" s="796"/>
      <c r="AL185" s="796"/>
      <c r="AM185" s="796"/>
      <c r="AN185" s="796"/>
    </row>
    <row r="186" spans="1:40" x14ac:dyDescent="0.25">
      <c r="A186" s="796"/>
      <c r="B186" s="59">
        <v>206076</v>
      </c>
      <c r="C186" s="796"/>
      <c r="D186" s="796"/>
      <c r="E186" s="59" t="s">
        <v>1377</v>
      </c>
      <c r="F186" s="59">
        <v>206076</v>
      </c>
      <c r="G186" s="796"/>
      <c r="H186" s="796"/>
      <c r="I186" s="796"/>
      <c r="J186" s="796"/>
      <c r="K186" s="796"/>
      <c r="L186" s="796"/>
      <c r="M186" s="796"/>
      <c r="N186" s="796"/>
      <c r="O186" s="796"/>
      <c r="P186" s="796"/>
      <c r="Q186" s="796"/>
      <c r="R186" s="796"/>
      <c r="S186" s="796"/>
      <c r="T186" s="796"/>
      <c r="U186" s="796"/>
      <c r="V186" s="796"/>
      <c r="W186" s="796"/>
      <c r="X186" s="796"/>
      <c r="Y186" s="796"/>
      <c r="Z186" s="796"/>
      <c r="AA186" s="796"/>
      <c r="AB186" s="796"/>
      <c r="AC186" s="796"/>
      <c r="AD186" s="796"/>
      <c r="AE186" s="796"/>
      <c r="AF186" s="796"/>
      <c r="AG186" s="796"/>
      <c r="AH186" s="796"/>
      <c r="AI186" s="796"/>
      <c r="AJ186" s="796"/>
      <c r="AK186" s="796"/>
      <c r="AL186" s="796"/>
      <c r="AM186" s="796"/>
      <c r="AN186" s="796"/>
    </row>
    <row r="187" spans="1:40" x14ac:dyDescent="0.25">
      <c r="A187" s="796"/>
      <c r="B187" s="59" t="s">
        <v>727</v>
      </c>
      <c r="C187" s="796"/>
      <c r="D187" s="796"/>
      <c r="E187" s="59" t="s">
        <v>561</v>
      </c>
      <c r="F187" s="59" t="s">
        <v>727</v>
      </c>
      <c r="G187" s="796"/>
      <c r="H187" s="796"/>
      <c r="I187" s="796"/>
      <c r="J187" s="796"/>
      <c r="K187" s="796"/>
      <c r="L187" s="796"/>
      <c r="M187" s="796"/>
      <c r="N187" s="796"/>
      <c r="O187" s="796"/>
      <c r="P187" s="796"/>
      <c r="Q187" s="796"/>
      <c r="R187" s="796"/>
      <c r="S187" s="796"/>
      <c r="T187" s="796"/>
      <c r="U187" s="796"/>
      <c r="V187" s="796"/>
      <c r="W187" s="796"/>
      <c r="X187" s="796"/>
      <c r="Y187" s="796"/>
      <c r="Z187" s="796"/>
      <c r="AA187" s="796"/>
      <c r="AB187" s="796"/>
      <c r="AC187" s="796"/>
      <c r="AD187" s="796"/>
      <c r="AE187" s="796"/>
      <c r="AF187" s="796"/>
      <c r="AG187" s="796"/>
      <c r="AH187" s="796"/>
      <c r="AI187" s="796"/>
      <c r="AJ187" s="796"/>
      <c r="AK187" s="796"/>
      <c r="AL187" s="796"/>
      <c r="AM187" s="796"/>
      <c r="AN187" s="796"/>
    </row>
    <row r="188" spans="1:40" x14ac:dyDescent="0.25">
      <c r="A188" s="796"/>
      <c r="B188" s="59" t="s">
        <v>730</v>
      </c>
      <c r="C188" s="796"/>
      <c r="D188" s="796"/>
      <c r="E188" s="59" t="s">
        <v>1399</v>
      </c>
      <c r="F188" s="59" t="s">
        <v>730</v>
      </c>
      <c r="G188" s="796"/>
      <c r="H188" s="796"/>
      <c r="I188" s="796"/>
      <c r="J188" s="796"/>
      <c r="K188" s="796"/>
      <c r="L188" s="796"/>
      <c r="M188" s="796"/>
      <c r="N188" s="796"/>
      <c r="O188" s="796"/>
      <c r="P188" s="796"/>
      <c r="Q188" s="796"/>
      <c r="R188" s="796"/>
      <c r="S188" s="796"/>
      <c r="T188" s="796"/>
      <c r="U188" s="796"/>
      <c r="V188" s="796"/>
      <c r="W188" s="796"/>
      <c r="X188" s="796"/>
      <c r="Y188" s="796"/>
      <c r="Z188" s="796"/>
      <c r="AA188" s="796"/>
      <c r="AB188" s="796"/>
      <c r="AC188" s="796"/>
      <c r="AD188" s="796"/>
      <c r="AE188" s="796"/>
      <c r="AF188" s="796"/>
      <c r="AG188" s="796"/>
      <c r="AH188" s="796"/>
      <c r="AI188" s="796"/>
      <c r="AJ188" s="796"/>
      <c r="AK188" s="796"/>
      <c r="AL188" s="796"/>
      <c r="AM188" s="796"/>
      <c r="AN188" s="796"/>
    </row>
    <row r="189" spans="1:40" x14ac:dyDescent="0.25">
      <c r="A189" s="796"/>
      <c r="B189" s="59" t="s">
        <v>275</v>
      </c>
      <c r="C189" s="796"/>
      <c r="D189" s="796"/>
      <c r="E189" s="59" t="s">
        <v>562</v>
      </c>
      <c r="F189" s="59" t="s">
        <v>275</v>
      </c>
      <c r="G189" s="796"/>
      <c r="H189" s="796"/>
      <c r="I189" s="796"/>
      <c r="J189" s="796"/>
      <c r="K189" s="796"/>
      <c r="L189" s="796"/>
      <c r="M189" s="796"/>
      <c r="N189" s="796"/>
      <c r="O189" s="796"/>
      <c r="P189" s="796"/>
      <c r="Q189" s="796"/>
      <c r="R189" s="796"/>
      <c r="S189" s="796"/>
      <c r="T189" s="796"/>
      <c r="U189" s="796"/>
      <c r="V189" s="796"/>
      <c r="W189" s="796"/>
      <c r="X189" s="796"/>
      <c r="Y189" s="796"/>
      <c r="Z189" s="796"/>
      <c r="AA189" s="796"/>
      <c r="AB189" s="796"/>
      <c r="AC189" s="796"/>
      <c r="AD189" s="796"/>
      <c r="AE189" s="796"/>
      <c r="AF189" s="796"/>
      <c r="AG189" s="796"/>
      <c r="AH189" s="796"/>
      <c r="AI189" s="796"/>
      <c r="AJ189" s="796"/>
      <c r="AK189" s="796"/>
      <c r="AL189" s="796"/>
      <c r="AM189" s="796"/>
      <c r="AN189" s="796"/>
    </row>
    <row r="190" spans="1:40" x14ac:dyDescent="0.25">
      <c r="A190" s="796"/>
      <c r="B190" s="59" t="s">
        <v>724</v>
      </c>
      <c r="C190" s="796"/>
      <c r="D190" s="796"/>
      <c r="E190" s="59" t="s">
        <v>1258</v>
      </c>
      <c r="F190" s="59" t="s">
        <v>724</v>
      </c>
      <c r="G190" s="796"/>
      <c r="H190" s="796"/>
      <c r="I190" s="796"/>
      <c r="J190" s="796"/>
      <c r="K190" s="796"/>
      <c r="L190" s="796"/>
      <c r="M190" s="796"/>
      <c r="N190" s="796"/>
      <c r="O190" s="796"/>
      <c r="P190" s="796"/>
      <c r="Q190" s="796"/>
      <c r="R190" s="796"/>
      <c r="S190" s="796"/>
      <c r="T190" s="796"/>
      <c r="U190" s="796"/>
      <c r="V190" s="796"/>
      <c r="W190" s="796"/>
      <c r="X190" s="796"/>
      <c r="Y190" s="796"/>
      <c r="Z190" s="796"/>
      <c r="AA190" s="796"/>
      <c r="AB190" s="796"/>
      <c r="AC190" s="796"/>
      <c r="AD190" s="796"/>
      <c r="AE190" s="796"/>
      <c r="AF190" s="796"/>
      <c r="AG190" s="796"/>
      <c r="AH190" s="796"/>
      <c r="AI190" s="796"/>
      <c r="AJ190" s="796"/>
      <c r="AK190" s="796"/>
      <c r="AL190" s="796"/>
      <c r="AM190" s="796"/>
      <c r="AN190" s="796"/>
    </row>
    <row r="191" spans="1:40" x14ac:dyDescent="0.25">
      <c r="A191" s="796"/>
      <c r="B191" s="59">
        <v>205919</v>
      </c>
      <c r="C191" s="796"/>
      <c r="D191" s="796"/>
      <c r="E191" s="59" t="s">
        <v>1259</v>
      </c>
      <c r="F191" s="59">
        <v>205919</v>
      </c>
      <c r="G191" s="796"/>
      <c r="H191" s="796"/>
      <c r="I191" s="796"/>
      <c r="J191" s="796"/>
      <c r="K191" s="796"/>
      <c r="L191" s="796"/>
      <c r="M191" s="796"/>
      <c r="N191" s="796"/>
      <c r="O191" s="796"/>
      <c r="P191" s="796"/>
      <c r="Q191" s="796"/>
      <c r="R191" s="796"/>
      <c r="S191" s="796"/>
      <c r="T191" s="796"/>
      <c r="U191" s="796"/>
      <c r="V191" s="796"/>
      <c r="W191" s="796"/>
      <c r="X191" s="796"/>
      <c r="Y191" s="796"/>
      <c r="Z191" s="796"/>
      <c r="AA191" s="796"/>
      <c r="AB191" s="796"/>
      <c r="AC191" s="796"/>
      <c r="AD191" s="796"/>
      <c r="AE191" s="796"/>
      <c r="AF191" s="796"/>
      <c r="AG191" s="796"/>
      <c r="AH191" s="796"/>
      <c r="AI191" s="796"/>
      <c r="AJ191" s="796"/>
      <c r="AK191" s="796"/>
      <c r="AL191" s="796"/>
      <c r="AM191" s="796"/>
      <c r="AN191" s="796"/>
    </row>
    <row r="192" spans="1:40" x14ac:dyDescent="0.25">
      <c r="A192" s="796"/>
      <c r="B192" s="59" t="s">
        <v>276</v>
      </c>
      <c r="C192" s="796"/>
      <c r="D192" s="796"/>
      <c r="E192" s="59" t="s">
        <v>526</v>
      </c>
      <c r="F192" s="59" t="s">
        <v>276</v>
      </c>
      <c r="G192" s="796"/>
      <c r="H192" s="796"/>
      <c r="I192" s="796"/>
      <c r="J192" s="796"/>
      <c r="K192" s="796"/>
      <c r="L192" s="796"/>
      <c r="M192" s="796"/>
      <c r="N192" s="796"/>
      <c r="O192" s="796"/>
      <c r="P192" s="796"/>
      <c r="Q192" s="796"/>
      <c r="R192" s="796"/>
      <c r="S192" s="796"/>
      <c r="T192" s="796"/>
      <c r="U192" s="796"/>
      <c r="V192" s="796"/>
      <c r="W192" s="796"/>
      <c r="X192" s="796"/>
      <c r="Y192" s="796"/>
      <c r="Z192" s="796"/>
      <c r="AA192" s="796"/>
      <c r="AB192" s="796"/>
      <c r="AC192" s="796"/>
      <c r="AD192" s="796"/>
      <c r="AE192" s="796"/>
      <c r="AF192" s="796"/>
      <c r="AG192" s="796"/>
      <c r="AH192" s="796"/>
      <c r="AI192" s="796"/>
      <c r="AJ192" s="796"/>
      <c r="AK192" s="796"/>
      <c r="AL192" s="796"/>
      <c r="AM192" s="796"/>
      <c r="AN192" s="796"/>
    </row>
    <row r="193" spans="1:40" x14ac:dyDescent="0.25">
      <c r="A193" s="796"/>
      <c r="B193" s="59">
        <v>477405</v>
      </c>
      <c r="C193" s="796"/>
      <c r="D193" s="796"/>
      <c r="E193" s="59" t="s">
        <v>1378</v>
      </c>
      <c r="F193" s="59">
        <v>477405</v>
      </c>
      <c r="G193" s="796"/>
      <c r="H193" s="796"/>
      <c r="I193" s="796"/>
      <c r="J193" s="796"/>
      <c r="K193" s="796"/>
      <c r="L193" s="796"/>
      <c r="M193" s="796"/>
      <c r="N193" s="796"/>
      <c r="O193" s="796"/>
      <c r="P193" s="796"/>
      <c r="Q193" s="796"/>
      <c r="R193" s="796"/>
      <c r="S193" s="796"/>
      <c r="T193" s="796"/>
      <c r="U193" s="796"/>
      <c r="V193" s="796"/>
      <c r="W193" s="796"/>
      <c r="X193" s="796"/>
      <c r="Y193" s="796"/>
      <c r="Z193" s="796"/>
      <c r="AA193" s="796"/>
      <c r="AB193" s="796"/>
      <c r="AC193" s="796"/>
      <c r="AD193" s="796"/>
      <c r="AE193" s="796"/>
      <c r="AF193" s="796"/>
      <c r="AG193" s="796"/>
      <c r="AH193" s="796"/>
      <c r="AI193" s="796"/>
      <c r="AJ193" s="796"/>
      <c r="AK193" s="796"/>
      <c r="AL193" s="796"/>
      <c r="AM193" s="796"/>
      <c r="AN193" s="796"/>
    </row>
    <row r="194" spans="1:40" x14ac:dyDescent="0.25">
      <c r="A194" s="796"/>
      <c r="B194" s="59" t="s">
        <v>734</v>
      </c>
      <c r="C194" s="796"/>
      <c r="D194" s="796"/>
      <c r="E194" s="59" t="s">
        <v>1260</v>
      </c>
      <c r="F194" s="59" t="s">
        <v>734</v>
      </c>
      <c r="G194" s="796"/>
      <c r="H194" s="796"/>
      <c r="I194" s="796"/>
      <c r="J194" s="796"/>
      <c r="K194" s="796"/>
      <c r="L194" s="796"/>
      <c r="M194" s="796"/>
      <c r="N194" s="796"/>
      <c r="O194" s="796"/>
      <c r="P194" s="796"/>
      <c r="Q194" s="796"/>
      <c r="R194" s="796"/>
      <c r="S194" s="796"/>
      <c r="T194" s="796"/>
      <c r="U194" s="796"/>
      <c r="V194" s="796"/>
      <c r="W194" s="796"/>
      <c r="X194" s="796"/>
      <c r="Y194" s="796"/>
      <c r="Z194" s="796"/>
      <c r="AA194" s="796"/>
      <c r="AB194" s="796"/>
      <c r="AC194" s="796"/>
      <c r="AD194" s="796"/>
      <c r="AE194" s="796"/>
      <c r="AF194" s="796"/>
      <c r="AG194" s="796"/>
      <c r="AH194" s="796"/>
      <c r="AI194" s="796"/>
      <c r="AJ194" s="796"/>
      <c r="AK194" s="796"/>
      <c r="AL194" s="796"/>
      <c r="AM194" s="796"/>
      <c r="AN194" s="796"/>
    </row>
    <row r="195" spans="1:40" x14ac:dyDescent="0.25">
      <c r="A195" s="796"/>
      <c r="B195" s="59">
        <v>401536</v>
      </c>
      <c r="C195" s="796"/>
      <c r="D195" s="796"/>
      <c r="E195" s="59" t="s">
        <v>1379</v>
      </c>
      <c r="F195" s="59">
        <v>401536</v>
      </c>
      <c r="G195" s="796"/>
      <c r="H195" s="796"/>
      <c r="I195" s="796"/>
      <c r="J195" s="796"/>
      <c r="K195" s="796"/>
      <c r="L195" s="796"/>
      <c r="M195" s="796"/>
      <c r="N195" s="796"/>
      <c r="O195" s="796"/>
      <c r="P195" s="796"/>
      <c r="Q195" s="796"/>
      <c r="R195" s="796"/>
      <c r="S195" s="796"/>
      <c r="T195" s="796"/>
      <c r="U195" s="796"/>
      <c r="V195" s="796"/>
      <c r="W195" s="796"/>
      <c r="X195" s="796"/>
      <c r="Y195" s="796"/>
      <c r="Z195" s="796"/>
      <c r="AA195" s="796"/>
      <c r="AB195" s="796"/>
      <c r="AC195" s="796"/>
      <c r="AD195" s="796"/>
      <c r="AE195" s="796"/>
      <c r="AF195" s="796"/>
      <c r="AG195" s="796"/>
      <c r="AH195" s="796"/>
      <c r="AI195" s="796"/>
      <c r="AJ195" s="796"/>
      <c r="AK195" s="796"/>
      <c r="AL195" s="796"/>
      <c r="AM195" s="796"/>
      <c r="AN195" s="796"/>
    </row>
    <row r="196" spans="1:40" x14ac:dyDescent="0.25">
      <c r="A196" s="796"/>
      <c r="B196" s="59" t="s">
        <v>736</v>
      </c>
      <c r="C196" s="796"/>
      <c r="D196" s="796"/>
      <c r="E196" s="59" t="s">
        <v>1261</v>
      </c>
      <c r="F196" s="59" t="s">
        <v>736</v>
      </c>
      <c r="G196" s="796"/>
      <c r="H196" s="796"/>
      <c r="I196" s="796"/>
      <c r="J196" s="796"/>
      <c r="K196" s="796"/>
      <c r="L196" s="796"/>
      <c r="M196" s="796"/>
      <c r="N196" s="796"/>
      <c r="O196" s="796"/>
      <c r="P196" s="796"/>
      <c r="Q196" s="796"/>
      <c r="R196" s="796"/>
      <c r="S196" s="796"/>
      <c r="T196" s="796"/>
      <c r="U196" s="796"/>
      <c r="V196" s="796"/>
      <c r="W196" s="796"/>
      <c r="X196" s="796"/>
      <c r="Y196" s="796"/>
      <c r="Z196" s="796"/>
      <c r="AA196" s="796"/>
      <c r="AB196" s="796"/>
      <c r="AC196" s="796"/>
      <c r="AD196" s="796"/>
      <c r="AE196" s="796"/>
      <c r="AF196" s="796"/>
      <c r="AG196" s="796"/>
      <c r="AH196" s="796"/>
      <c r="AI196" s="796"/>
      <c r="AJ196" s="796"/>
      <c r="AK196" s="796"/>
      <c r="AL196" s="796"/>
      <c r="AM196" s="796"/>
      <c r="AN196" s="796"/>
    </row>
    <row r="197" spans="1:40" x14ac:dyDescent="0.25">
      <c r="A197" s="796"/>
      <c r="B197" s="59" t="s">
        <v>739</v>
      </c>
      <c r="C197" s="796"/>
      <c r="D197" s="796"/>
      <c r="E197" s="59" t="s">
        <v>1263</v>
      </c>
      <c r="F197" s="59" t="s">
        <v>739</v>
      </c>
      <c r="G197" s="796"/>
      <c r="H197" s="796"/>
      <c r="I197" s="796"/>
      <c r="J197" s="796"/>
      <c r="K197" s="796"/>
      <c r="L197" s="796"/>
      <c r="M197" s="796"/>
      <c r="N197" s="796"/>
      <c r="O197" s="796"/>
      <c r="P197" s="796"/>
      <c r="Q197" s="796"/>
      <c r="R197" s="796"/>
      <c r="S197" s="796"/>
      <c r="T197" s="796"/>
      <c r="U197" s="796"/>
      <c r="V197" s="796"/>
      <c r="W197" s="796"/>
      <c r="X197" s="796"/>
      <c r="Y197" s="796"/>
      <c r="Z197" s="796"/>
      <c r="AA197" s="796"/>
      <c r="AB197" s="796"/>
      <c r="AC197" s="796"/>
      <c r="AD197" s="796"/>
      <c r="AE197" s="796"/>
      <c r="AF197" s="796"/>
      <c r="AG197" s="796"/>
      <c r="AH197" s="796"/>
      <c r="AI197" s="796"/>
      <c r="AJ197" s="796"/>
      <c r="AK197" s="796"/>
      <c r="AL197" s="796"/>
      <c r="AM197" s="796"/>
      <c r="AN197" s="796"/>
    </row>
    <row r="198" spans="1:40" x14ac:dyDescent="0.25">
      <c r="A198" s="796"/>
      <c r="B198" s="59">
        <v>205849</v>
      </c>
      <c r="C198" s="796"/>
      <c r="D198" s="796"/>
      <c r="E198" s="59" t="s">
        <v>1262</v>
      </c>
      <c r="F198" s="59">
        <v>205849</v>
      </c>
      <c r="G198" s="796"/>
      <c r="H198" s="796"/>
      <c r="I198" s="796"/>
      <c r="J198" s="796"/>
      <c r="K198" s="796"/>
      <c r="L198" s="796"/>
      <c r="M198" s="796"/>
      <c r="N198" s="796"/>
      <c r="O198" s="796"/>
      <c r="P198" s="796"/>
      <c r="Q198" s="796"/>
      <c r="R198" s="796"/>
      <c r="S198" s="796"/>
      <c r="T198" s="796"/>
      <c r="U198" s="796"/>
      <c r="V198" s="796"/>
      <c r="W198" s="796"/>
      <c r="X198" s="796"/>
      <c r="Y198" s="796"/>
      <c r="Z198" s="796"/>
      <c r="AA198" s="796"/>
      <c r="AB198" s="796"/>
      <c r="AC198" s="796"/>
      <c r="AD198" s="796"/>
      <c r="AE198" s="796"/>
      <c r="AF198" s="796"/>
      <c r="AG198" s="796"/>
      <c r="AH198" s="796"/>
      <c r="AI198" s="796"/>
      <c r="AJ198" s="796"/>
      <c r="AK198" s="796"/>
      <c r="AL198" s="796"/>
      <c r="AM198" s="796"/>
      <c r="AN198" s="796"/>
    </row>
    <row r="199" spans="1:40" x14ac:dyDescent="0.25">
      <c r="A199" s="796"/>
      <c r="B199" s="59" t="s">
        <v>273</v>
      </c>
      <c r="C199" s="796"/>
      <c r="D199" s="796"/>
      <c r="E199" s="59" t="s">
        <v>566</v>
      </c>
      <c r="F199" s="59" t="s">
        <v>273</v>
      </c>
      <c r="G199" s="796"/>
      <c r="H199" s="796"/>
      <c r="I199" s="796"/>
      <c r="J199" s="796"/>
      <c r="K199" s="796"/>
      <c r="L199" s="796"/>
      <c r="M199" s="796"/>
      <c r="N199" s="796"/>
      <c r="O199" s="796"/>
      <c r="P199" s="796"/>
      <c r="Q199" s="796"/>
      <c r="R199" s="796"/>
      <c r="S199" s="796"/>
      <c r="T199" s="796"/>
      <c r="U199" s="796"/>
      <c r="V199" s="796"/>
      <c r="W199" s="796"/>
      <c r="X199" s="796"/>
      <c r="Y199" s="796"/>
      <c r="Z199" s="796"/>
      <c r="AA199" s="796"/>
      <c r="AB199" s="796"/>
      <c r="AC199" s="796"/>
      <c r="AD199" s="796"/>
      <c r="AE199" s="796"/>
      <c r="AF199" s="796"/>
      <c r="AG199" s="796"/>
      <c r="AH199" s="796"/>
      <c r="AI199" s="796"/>
      <c r="AJ199" s="796"/>
      <c r="AK199" s="796"/>
      <c r="AL199" s="796"/>
      <c r="AM199" s="796"/>
      <c r="AN199" s="796"/>
    </row>
    <row r="200" spans="1:40" x14ac:dyDescent="0.25">
      <c r="A200" s="796"/>
      <c r="B200" s="59" t="s">
        <v>741</v>
      </c>
      <c r="C200" s="796"/>
      <c r="D200" s="796"/>
      <c r="E200" s="59" t="s">
        <v>1264</v>
      </c>
      <c r="F200" s="59" t="s">
        <v>741</v>
      </c>
      <c r="G200" s="796"/>
      <c r="H200" s="796"/>
      <c r="I200" s="796"/>
      <c r="J200" s="796"/>
      <c r="K200" s="796"/>
      <c r="L200" s="796"/>
      <c r="M200" s="796"/>
      <c r="N200" s="796"/>
      <c r="O200" s="796"/>
      <c r="P200" s="796"/>
      <c r="Q200" s="796"/>
      <c r="R200" s="796"/>
      <c r="S200" s="796"/>
      <c r="T200" s="796"/>
      <c r="U200" s="796"/>
      <c r="V200" s="796"/>
      <c r="W200" s="796"/>
      <c r="X200" s="796"/>
      <c r="Y200" s="796"/>
      <c r="Z200" s="796"/>
      <c r="AA200" s="796"/>
      <c r="AB200" s="796"/>
      <c r="AC200" s="796"/>
      <c r="AD200" s="796"/>
      <c r="AE200" s="796"/>
      <c r="AF200" s="796"/>
      <c r="AG200" s="796"/>
      <c r="AH200" s="796"/>
      <c r="AI200" s="796"/>
      <c r="AJ200" s="796"/>
      <c r="AK200" s="796"/>
      <c r="AL200" s="796"/>
      <c r="AM200" s="796"/>
      <c r="AN200" s="796"/>
    </row>
    <row r="201" spans="1:40" x14ac:dyDescent="0.25">
      <c r="A201" s="796"/>
      <c r="B201" s="59">
        <v>205922</v>
      </c>
      <c r="C201" s="796"/>
      <c r="D201" s="796"/>
      <c r="E201" s="59" t="s">
        <v>1268</v>
      </c>
      <c r="F201" s="59">
        <v>205922</v>
      </c>
      <c r="G201" s="796"/>
      <c r="H201" s="796"/>
      <c r="I201" s="796"/>
      <c r="J201" s="796"/>
      <c r="K201" s="796"/>
      <c r="L201" s="796"/>
      <c r="M201" s="796"/>
      <c r="N201" s="796"/>
      <c r="O201" s="796"/>
      <c r="P201" s="796"/>
      <c r="Q201" s="796"/>
      <c r="R201" s="796"/>
      <c r="S201" s="796"/>
      <c r="T201" s="796"/>
      <c r="U201" s="796"/>
      <c r="V201" s="796"/>
      <c r="W201" s="796"/>
      <c r="X201" s="796"/>
      <c r="Y201" s="796"/>
      <c r="Z201" s="796"/>
      <c r="AA201" s="796"/>
      <c r="AB201" s="796"/>
      <c r="AC201" s="796"/>
      <c r="AD201" s="796"/>
      <c r="AE201" s="796"/>
      <c r="AF201" s="796"/>
      <c r="AG201" s="796"/>
      <c r="AH201" s="796"/>
      <c r="AI201" s="796"/>
      <c r="AJ201" s="796"/>
      <c r="AK201" s="796"/>
      <c r="AL201" s="796"/>
      <c r="AM201" s="796"/>
      <c r="AN201" s="796"/>
    </row>
    <row r="202" spans="1:40" x14ac:dyDescent="0.25">
      <c r="A202" s="796"/>
      <c r="B202" s="59">
        <v>205881</v>
      </c>
      <c r="C202" s="796"/>
      <c r="D202" s="796"/>
      <c r="E202" s="59" t="s">
        <v>1267</v>
      </c>
      <c r="F202" s="59">
        <v>205881</v>
      </c>
      <c r="G202" s="796"/>
      <c r="H202" s="796"/>
      <c r="I202" s="796"/>
      <c r="J202" s="796"/>
      <c r="K202" s="796"/>
      <c r="L202" s="796"/>
      <c r="M202" s="796"/>
      <c r="N202" s="796"/>
      <c r="O202" s="796"/>
      <c r="P202" s="796"/>
      <c r="Q202" s="796"/>
      <c r="R202" s="796"/>
      <c r="S202" s="796"/>
      <c r="T202" s="796"/>
      <c r="U202" s="796"/>
      <c r="V202" s="796"/>
      <c r="W202" s="796"/>
      <c r="X202" s="796"/>
      <c r="Y202" s="796"/>
      <c r="Z202" s="796"/>
      <c r="AA202" s="796"/>
      <c r="AB202" s="796"/>
      <c r="AC202" s="796"/>
      <c r="AD202" s="796"/>
      <c r="AE202" s="796"/>
      <c r="AF202" s="796"/>
      <c r="AG202" s="796"/>
      <c r="AH202" s="796"/>
      <c r="AI202" s="796"/>
      <c r="AJ202" s="796"/>
      <c r="AK202" s="796"/>
      <c r="AL202" s="796"/>
      <c r="AM202" s="796"/>
      <c r="AN202" s="796"/>
    </row>
    <row r="203" spans="1:40" x14ac:dyDescent="0.25">
      <c r="A203" s="796"/>
      <c r="B203" s="59" t="s">
        <v>744</v>
      </c>
      <c r="C203" s="796"/>
      <c r="D203" s="796"/>
      <c r="E203" s="59" t="s">
        <v>1265</v>
      </c>
      <c r="F203" s="59" t="s">
        <v>744</v>
      </c>
      <c r="G203" s="796"/>
      <c r="H203" s="796"/>
      <c r="I203" s="796"/>
      <c r="J203" s="796"/>
      <c r="K203" s="796"/>
      <c r="L203" s="796"/>
      <c r="M203" s="796"/>
      <c r="N203" s="796"/>
      <c r="O203" s="796"/>
      <c r="P203" s="796"/>
      <c r="Q203" s="796"/>
      <c r="R203" s="796"/>
      <c r="S203" s="796"/>
      <c r="T203" s="796"/>
      <c r="U203" s="796"/>
      <c r="V203" s="796"/>
      <c r="W203" s="796"/>
      <c r="X203" s="796"/>
      <c r="Y203" s="796"/>
      <c r="Z203" s="796"/>
      <c r="AA203" s="796"/>
      <c r="AB203" s="796"/>
      <c r="AC203" s="796"/>
      <c r="AD203" s="796"/>
      <c r="AE203" s="796"/>
      <c r="AF203" s="796"/>
      <c r="AG203" s="796"/>
      <c r="AH203" s="796"/>
      <c r="AI203" s="796"/>
      <c r="AJ203" s="796"/>
      <c r="AK203" s="796"/>
      <c r="AL203" s="796"/>
      <c r="AM203" s="796"/>
      <c r="AN203" s="796"/>
    </row>
    <row r="204" spans="1:40" x14ac:dyDescent="0.25">
      <c r="A204" s="796"/>
      <c r="B204" s="59" t="s">
        <v>278</v>
      </c>
      <c r="C204" s="796"/>
      <c r="D204" s="796"/>
      <c r="E204" s="59" t="s">
        <v>527</v>
      </c>
      <c r="F204" s="59" t="s">
        <v>278</v>
      </c>
      <c r="G204" s="796"/>
      <c r="H204" s="796"/>
      <c r="I204" s="796"/>
      <c r="J204" s="796"/>
      <c r="K204" s="796"/>
      <c r="L204" s="796"/>
      <c r="M204" s="796"/>
      <c r="N204" s="796"/>
      <c r="O204" s="796"/>
      <c r="P204" s="796"/>
      <c r="Q204" s="796"/>
      <c r="R204" s="796"/>
      <c r="S204" s="796"/>
      <c r="T204" s="796"/>
      <c r="U204" s="796"/>
      <c r="V204" s="796"/>
      <c r="W204" s="796"/>
      <c r="X204" s="796"/>
      <c r="Y204" s="796"/>
      <c r="Z204" s="796"/>
      <c r="AA204" s="796"/>
      <c r="AB204" s="796"/>
      <c r="AC204" s="796"/>
      <c r="AD204" s="796"/>
      <c r="AE204" s="796"/>
      <c r="AF204" s="796"/>
      <c r="AG204" s="796"/>
      <c r="AH204" s="796"/>
      <c r="AI204" s="796"/>
      <c r="AJ204" s="796"/>
      <c r="AK204" s="796"/>
      <c r="AL204" s="796"/>
      <c r="AM204" s="796"/>
      <c r="AN204" s="796"/>
    </row>
    <row r="205" spans="1:40" x14ac:dyDescent="0.25">
      <c r="A205" s="796"/>
      <c r="B205" s="59" t="s">
        <v>749</v>
      </c>
      <c r="C205" s="796"/>
      <c r="D205" s="796"/>
      <c r="E205" s="59" t="s">
        <v>1266</v>
      </c>
      <c r="F205" s="59" t="s">
        <v>749</v>
      </c>
      <c r="G205" s="796"/>
      <c r="H205" s="796"/>
      <c r="I205" s="796"/>
      <c r="J205" s="796"/>
      <c r="K205" s="796"/>
      <c r="L205" s="796"/>
      <c r="M205" s="796"/>
      <c r="N205" s="796"/>
      <c r="O205" s="796"/>
      <c r="P205" s="796"/>
      <c r="Q205" s="796"/>
      <c r="R205" s="796"/>
      <c r="S205" s="796"/>
      <c r="T205" s="796"/>
      <c r="U205" s="796"/>
      <c r="V205" s="796"/>
      <c r="W205" s="796"/>
      <c r="X205" s="796"/>
      <c r="Y205" s="796"/>
      <c r="Z205" s="796"/>
      <c r="AA205" s="796"/>
      <c r="AB205" s="796"/>
      <c r="AC205" s="796"/>
      <c r="AD205" s="796"/>
      <c r="AE205" s="796"/>
      <c r="AF205" s="796"/>
      <c r="AG205" s="796"/>
      <c r="AH205" s="796"/>
      <c r="AI205" s="796"/>
      <c r="AJ205" s="796"/>
      <c r="AK205" s="796"/>
      <c r="AL205" s="796"/>
      <c r="AM205" s="796"/>
      <c r="AN205" s="796"/>
    </row>
    <row r="206" spans="1:40" x14ac:dyDescent="0.25">
      <c r="A206" s="796"/>
      <c r="B206" s="59">
        <v>462623</v>
      </c>
      <c r="C206" s="796"/>
      <c r="D206" s="796"/>
      <c r="E206" s="59" t="s">
        <v>1380</v>
      </c>
      <c r="F206" s="59">
        <v>462623</v>
      </c>
      <c r="G206" s="796"/>
      <c r="H206" s="796"/>
      <c r="I206" s="796"/>
      <c r="J206" s="796"/>
      <c r="K206" s="796"/>
      <c r="L206" s="796"/>
      <c r="M206" s="796"/>
      <c r="N206" s="796"/>
      <c r="O206" s="796"/>
      <c r="P206" s="796"/>
      <c r="Q206" s="796"/>
      <c r="R206" s="796"/>
      <c r="S206" s="796"/>
      <c r="T206" s="796"/>
      <c r="U206" s="796"/>
      <c r="V206" s="796"/>
      <c r="W206" s="796"/>
      <c r="X206" s="796"/>
      <c r="Y206" s="796"/>
      <c r="Z206" s="796"/>
      <c r="AA206" s="796"/>
      <c r="AB206" s="796"/>
      <c r="AC206" s="796"/>
      <c r="AD206" s="796"/>
      <c r="AE206" s="796"/>
      <c r="AF206" s="796"/>
      <c r="AG206" s="796"/>
      <c r="AH206" s="796"/>
      <c r="AI206" s="796"/>
      <c r="AJ206" s="796"/>
      <c r="AK206" s="796"/>
      <c r="AL206" s="796"/>
      <c r="AM206" s="796"/>
      <c r="AN206" s="796"/>
    </row>
    <row r="207" spans="1:40" x14ac:dyDescent="0.25">
      <c r="A207" s="796"/>
      <c r="B207" s="59" t="s">
        <v>751</v>
      </c>
      <c r="C207" s="796"/>
      <c r="D207" s="796"/>
      <c r="E207" s="59" t="s">
        <v>750</v>
      </c>
      <c r="F207" s="59" t="s">
        <v>751</v>
      </c>
      <c r="G207" s="796"/>
      <c r="H207" s="796"/>
      <c r="I207" s="796"/>
      <c r="J207" s="796"/>
      <c r="K207" s="796"/>
      <c r="L207" s="796"/>
      <c r="M207" s="796"/>
      <c r="N207" s="796"/>
      <c r="O207" s="796"/>
      <c r="P207" s="796"/>
      <c r="Q207" s="796"/>
      <c r="R207" s="796"/>
      <c r="S207" s="796"/>
      <c r="T207" s="796"/>
      <c r="U207" s="796"/>
      <c r="V207" s="796"/>
      <c r="W207" s="796"/>
      <c r="X207" s="796"/>
      <c r="Y207" s="796"/>
      <c r="Z207" s="796"/>
      <c r="AA207" s="796"/>
      <c r="AB207" s="796"/>
      <c r="AC207" s="796"/>
      <c r="AD207" s="796"/>
      <c r="AE207" s="796"/>
      <c r="AF207" s="796"/>
      <c r="AG207" s="796"/>
      <c r="AH207" s="796"/>
      <c r="AI207" s="796"/>
      <c r="AJ207" s="796"/>
      <c r="AK207" s="796"/>
      <c r="AL207" s="796"/>
      <c r="AM207" s="796"/>
      <c r="AN207" s="796"/>
    </row>
    <row r="208" spans="1:40" x14ac:dyDescent="0.25">
      <c r="A208" s="796"/>
      <c r="B208" s="59" t="s">
        <v>754</v>
      </c>
      <c r="C208" s="796"/>
      <c r="D208" s="796"/>
      <c r="E208" s="59" t="s">
        <v>1269</v>
      </c>
      <c r="F208" s="59" t="s">
        <v>754</v>
      </c>
      <c r="G208" s="796"/>
      <c r="H208" s="796"/>
      <c r="I208" s="796"/>
      <c r="J208" s="796"/>
      <c r="K208" s="796"/>
      <c r="L208" s="796"/>
      <c r="M208" s="796"/>
      <c r="N208" s="796"/>
      <c r="O208" s="796"/>
      <c r="P208" s="796"/>
      <c r="Q208" s="796"/>
      <c r="R208" s="796"/>
      <c r="S208" s="796"/>
      <c r="T208" s="796"/>
      <c r="U208" s="796"/>
      <c r="V208" s="796"/>
      <c r="W208" s="796"/>
      <c r="X208" s="796"/>
      <c r="Y208" s="796"/>
      <c r="Z208" s="796"/>
      <c r="AA208" s="796"/>
      <c r="AB208" s="796"/>
      <c r="AC208" s="796"/>
      <c r="AD208" s="796"/>
      <c r="AE208" s="796"/>
      <c r="AF208" s="796"/>
      <c r="AG208" s="796"/>
      <c r="AH208" s="796"/>
      <c r="AI208" s="796"/>
      <c r="AJ208" s="796"/>
      <c r="AK208" s="796"/>
      <c r="AL208" s="796"/>
      <c r="AM208" s="796"/>
      <c r="AN208" s="796"/>
    </row>
    <row r="209" spans="1:40" x14ac:dyDescent="0.25">
      <c r="A209" s="796"/>
      <c r="B209" s="59">
        <v>2</v>
      </c>
      <c r="C209" s="796"/>
      <c r="D209" s="796"/>
      <c r="E209" s="59" t="s">
        <v>528</v>
      </c>
      <c r="F209" s="59">
        <v>2</v>
      </c>
      <c r="G209" s="796"/>
      <c r="H209" s="796"/>
      <c r="I209" s="796"/>
      <c r="J209" s="796"/>
      <c r="K209" s="796"/>
      <c r="L209" s="796"/>
      <c r="M209" s="796"/>
      <c r="N209" s="796"/>
      <c r="O209" s="796"/>
      <c r="P209" s="796"/>
      <c r="Q209" s="796"/>
      <c r="R209" s="796"/>
      <c r="S209" s="796"/>
      <c r="T209" s="796"/>
      <c r="U209" s="796"/>
      <c r="V209" s="796"/>
      <c r="W209" s="796"/>
      <c r="X209" s="796"/>
      <c r="Y209" s="796"/>
      <c r="Z209" s="796"/>
      <c r="AA209" s="796"/>
      <c r="AB209" s="796"/>
      <c r="AC209" s="796"/>
      <c r="AD209" s="796"/>
      <c r="AE209" s="796"/>
      <c r="AF209" s="796"/>
      <c r="AG209" s="796"/>
      <c r="AH209" s="796"/>
      <c r="AI209" s="796"/>
      <c r="AJ209" s="796"/>
      <c r="AK209" s="796"/>
      <c r="AL209" s="796"/>
      <c r="AM209" s="796"/>
      <c r="AN209" s="796"/>
    </row>
    <row r="210" spans="1:40" x14ac:dyDescent="0.25">
      <c r="A210" s="796"/>
      <c r="B210" s="59" t="s">
        <v>621</v>
      </c>
      <c r="C210" s="796"/>
      <c r="D210" s="796"/>
      <c r="E210" s="59" t="s">
        <v>1270</v>
      </c>
      <c r="F210" s="59" t="s">
        <v>621</v>
      </c>
      <c r="G210" s="796"/>
      <c r="H210" s="796"/>
      <c r="I210" s="796"/>
      <c r="J210" s="796"/>
      <c r="K210" s="796"/>
      <c r="L210" s="796"/>
      <c r="M210" s="796"/>
      <c r="N210" s="796"/>
      <c r="O210" s="796"/>
      <c r="P210" s="796"/>
      <c r="Q210" s="796"/>
      <c r="R210" s="796"/>
      <c r="S210" s="796"/>
      <c r="T210" s="796"/>
      <c r="U210" s="796"/>
      <c r="V210" s="796"/>
      <c r="W210" s="796"/>
      <c r="X210" s="796"/>
      <c r="Y210" s="796"/>
      <c r="Z210" s="796"/>
      <c r="AA210" s="796"/>
      <c r="AB210" s="796"/>
      <c r="AC210" s="796"/>
      <c r="AD210" s="796"/>
      <c r="AE210" s="796"/>
      <c r="AF210" s="796"/>
      <c r="AG210" s="796"/>
      <c r="AH210" s="796"/>
      <c r="AI210" s="796"/>
      <c r="AJ210" s="796"/>
      <c r="AK210" s="796"/>
      <c r="AL210" s="796"/>
      <c r="AM210" s="796"/>
      <c r="AN210" s="796"/>
    </row>
    <row r="211" spans="1:40" x14ac:dyDescent="0.25">
      <c r="A211" s="796"/>
      <c r="B211" s="59" t="s">
        <v>639</v>
      </c>
      <c r="C211" s="796"/>
      <c r="D211" s="796"/>
      <c r="E211" s="59" t="s">
        <v>1271</v>
      </c>
      <c r="F211" s="59" t="s">
        <v>639</v>
      </c>
      <c r="G211" s="796"/>
      <c r="H211" s="796"/>
      <c r="I211" s="796"/>
      <c r="J211" s="796"/>
      <c r="K211" s="796"/>
      <c r="L211" s="796"/>
      <c r="M211" s="796"/>
      <c r="N211" s="796"/>
      <c r="O211" s="796"/>
      <c r="P211" s="796"/>
      <c r="Q211" s="796"/>
      <c r="R211" s="796"/>
      <c r="S211" s="796"/>
      <c r="T211" s="796"/>
      <c r="U211" s="796"/>
      <c r="V211" s="796"/>
      <c r="W211" s="796"/>
      <c r="X211" s="796"/>
      <c r="Y211" s="796"/>
      <c r="Z211" s="796"/>
      <c r="AA211" s="796"/>
      <c r="AB211" s="796"/>
      <c r="AC211" s="796"/>
      <c r="AD211" s="796"/>
      <c r="AE211" s="796"/>
      <c r="AF211" s="796"/>
      <c r="AG211" s="796"/>
      <c r="AH211" s="796"/>
      <c r="AI211" s="796"/>
      <c r="AJ211" s="796"/>
      <c r="AK211" s="796"/>
      <c r="AL211" s="796"/>
      <c r="AM211" s="796"/>
      <c r="AN211" s="796"/>
    </row>
    <row r="212" spans="1:40" x14ac:dyDescent="0.25">
      <c r="A212" s="796"/>
      <c r="B212" s="59">
        <v>205878</v>
      </c>
      <c r="C212" s="796"/>
      <c r="D212" s="796"/>
      <c r="E212" s="59" t="s">
        <v>1271</v>
      </c>
      <c r="F212" s="59">
        <v>205878</v>
      </c>
      <c r="G212" s="796"/>
      <c r="H212" s="796"/>
      <c r="I212" s="796"/>
      <c r="J212" s="796"/>
      <c r="K212" s="796"/>
      <c r="L212" s="796"/>
      <c r="M212" s="796"/>
      <c r="N212" s="796"/>
      <c r="O212" s="796"/>
      <c r="P212" s="796"/>
      <c r="Q212" s="796"/>
      <c r="R212" s="796"/>
      <c r="S212" s="796"/>
      <c r="T212" s="796"/>
      <c r="U212" s="796"/>
      <c r="V212" s="796"/>
      <c r="W212" s="796"/>
      <c r="X212" s="796"/>
      <c r="Y212" s="796"/>
      <c r="Z212" s="796"/>
      <c r="AA212" s="796"/>
      <c r="AB212" s="796"/>
      <c r="AC212" s="796"/>
      <c r="AD212" s="796"/>
      <c r="AE212" s="796"/>
      <c r="AF212" s="796"/>
      <c r="AG212" s="796"/>
      <c r="AH212" s="796"/>
      <c r="AI212" s="796"/>
      <c r="AJ212" s="796"/>
      <c r="AK212" s="796"/>
      <c r="AL212" s="796"/>
      <c r="AM212" s="796"/>
      <c r="AN212" s="796"/>
    </row>
    <row r="213" spans="1:40" x14ac:dyDescent="0.25">
      <c r="A213" s="796"/>
      <c r="B213" s="59">
        <v>205956</v>
      </c>
      <c r="C213" s="796"/>
      <c r="D213" s="796"/>
      <c r="E213" s="59" t="s">
        <v>529</v>
      </c>
      <c r="F213" s="59">
        <v>205956</v>
      </c>
      <c r="G213" s="796"/>
      <c r="H213" s="796"/>
      <c r="I213" s="796"/>
      <c r="J213" s="796"/>
      <c r="K213" s="796"/>
      <c r="L213" s="796"/>
      <c r="M213" s="796"/>
      <c r="N213" s="796"/>
      <c r="O213" s="796"/>
      <c r="P213" s="796"/>
      <c r="Q213" s="796"/>
      <c r="R213" s="796"/>
      <c r="S213" s="796"/>
      <c r="T213" s="796"/>
      <c r="U213" s="796"/>
      <c r="V213" s="796"/>
      <c r="W213" s="796"/>
      <c r="X213" s="796"/>
      <c r="Y213" s="796"/>
      <c r="Z213" s="796"/>
      <c r="AA213" s="796"/>
      <c r="AB213" s="796"/>
      <c r="AC213" s="796"/>
      <c r="AD213" s="796"/>
      <c r="AE213" s="796"/>
      <c r="AF213" s="796"/>
      <c r="AG213" s="796"/>
      <c r="AH213" s="796"/>
      <c r="AI213" s="796"/>
      <c r="AJ213" s="796"/>
      <c r="AK213" s="796"/>
      <c r="AL213" s="796"/>
      <c r="AM213" s="796"/>
      <c r="AN213" s="796"/>
    </row>
    <row r="214" spans="1:40" x14ac:dyDescent="0.25">
      <c r="A214" s="796"/>
      <c r="B214" s="59" t="s">
        <v>759</v>
      </c>
      <c r="C214" s="796"/>
      <c r="D214" s="796"/>
      <c r="E214" s="59" t="s">
        <v>1273</v>
      </c>
      <c r="F214" s="59" t="s">
        <v>759</v>
      </c>
      <c r="G214" s="796"/>
      <c r="H214" s="796"/>
      <c r="I214" s="796"/>
      <c r="J214" s="796"/>
      <c r="K214" s="796"/>
      <c r="L214" s="796"/>
      <c r="M214" s="796"/>
      <c r="N214" s="796"/>
      <c r="O214" s="796"/>
      <c r="P214" s="796"/>
      <c r="Q214" s="796"/>
      <c r="R214" s="796"/>
      <c r="S214" s="796"/>
      <c r="T214" s="796"/>
      <c r="U214" s="796"/>
      <c r="V214" s="796"/>
      <c r="W214" s="796"/>
      <c r="X214" s="796"/>
      <c r="Y214" s="796"/>
      <c r="Z214" s="796"/>
      <c r="AA214" s="796"/>
      <c r="AB214" s="796"/>
      <c r="AC214" s="796"/>
      <c r="AD214" s="796"/>
      <c r="AE214" s="796"/>
      <c r="AF214" s="796"/>
      <c r="AG214" s="796"/>
      <c r="AH214" s="796"/>
      <c r="AI214" s="796"/>
      <c r="AJ214" s="796"/>
      <c r="AK214" s="796"/>
      <c r="AL214" s="796"/>
      <c r="AM214" s="796"/>
      <c r="AN214" s="796"/>
    </row>
    <row r="215" spans="1:40" x14ac:dyDescent="0.25">
      <c r="A215" s="796"/>
      <c r="B215" s="59">
        <v>472319</v>
      </c>
      <c r="C215" s="796"/>
      <c r="D215" s="796"/>
      <c r="E215" s="59" t="s">
        <v>1382</v>
      </c>
      <c r="F215" s="59">
        <v>472319</v>
      </c>
      <c r="G215" s="796"/>
      <c r="H215" s="796"/>
      <c r="I215" s="796"/>
      <c r="J215" s="796"/>
      <c r="K215" s="796"/>
      <c r="L215" s="796"/>
      <c r="M215" s="796"/>
      <c r="N215" s="796"/>
      <c r="O215" s="796"/>
      <c r="P215" s="796"/>
      <c r="Q215" s="796"/>
      <c r="R215" s="796"/>
      <c r="S215" s="796"/>
      <c r="T215" s="796"/>
      <c r="U215" s="796"/>
      <c r="V215" s="796"/>
      <c r="W215" s="796"/>
      <c r="X215" s="796"/>
      <c r="Y215" s="796"/>
      <c r="Z215" s="796"/>
      <c r="AA215" s="796"/>
      <c r="AB215" s="796"/>
      <c r="AC215" s="796"/>
      <c r="AD215" s="796"/>
      <c r="AE215" s="796"/>
      <c r="AF215" s="796"/>
      <c r="AG215" s="796"/>
      <c r="AH215" s="796"/>
      <c r="AI215" s="796"/>
      <c r="AJ215" s="796"/>
      <c r="AK215" s="796"/>
      <c r="AL215" s="796"/>
      <c r="AM215" s="796"/>
      <c r="AN215" s="796"/>
    </row>
    <row r="216" spans="1:40" x14ac:dyDescent="0.25">
      <c r="A216" s="796"/>
      <c r="B216" s="59">
        <v>260849</v>
      </c>
      <c r="C216" s="796"/>
      <c r="D216" s="796"/>
      <c r="E216" s="59" t="s">
        <v>1272</v>
      </c>
      <c r="F216" s="59">
        <v>260849</v>
      </c>
      <c r="G216" s="796"/>
      <c r="H216" s="796"/>
      <c r="I216" s="796"/>
      <c r="J216" s="796"/>
      <c r="K216" s="796"/>
      <c r="L216" s="796"/>
      <c r="M216" s="796"/>
      <c r="N216" s="796"/>
      <c r="O216" s="796"/>
      <c r="P216" s="796"/>
      <c r="Q216" s="796"/>
      <c r="R216" s="796"/>
      <c r="S216" s="796"/>
      <c r="T216" s="796"/>
      <c r="U216" s="796"/>
      <c r="V216" s="796"/>
      <c r="W216" s="796"/>
      <c r="X216" s="796"/>
      <c r="Y216" s="796"/>
      <c r="Z216" s="796"/>
      <c r="AA216" s="796"/>
      <c r="AB216" s="796"/>
      <c r="AC216" s="796"/>
      <c r="AD216" s="796"/>
      <c r="AE216" s="796"/>
      <c r="AF216" s="796"/>
      <c r="AG216" s="796"/>
      <c r="AH216" s="796"/>
      <c r="AI216" s="796"/>
      <c r="AJ216" s="796"/>
      <c r="AK216" s="796"/>
      <c r="AL216" s="796"/>
      <c r="AM216" s="796"/>
      <c r="AN216" s="796"/>
    </row>
    <row r="217" spans="1:40" x14ac:dyDescent="0.25">
      <c r="A217" s="796"/>
      <c r="B217" s="59">
        <v>482805</v>
      </c>
      <c r="C217" s="796"/>
      <c r="D217" s="796"/>
      <c r="E217" s="59" t="s">
        <v>1383</v>
      </c>
      <c r="F217" s="59">
        <v>482805</v>
      </c>
      <c r="G217" s="796"/>
      <c r="H217" s="796"/>
      <c r="I217" s="796"/>
      <c r="J217" s="796"/>
      <c r="K217" s="796"/>
      <c r="L217" s="796"/>
      <c r="M217" s="796"/>
      <c r="N217" s="796"/>
      <c r="O217" s="796"/>
      <c r="P217" s="796"/>
      <c r="Q217" s="796"/>
      <c r="R217" s="796"/>
      <c r="S217" s="796"/>
      <c r="T217" s="796"/>
      <c r="U217" s="796"/>
      <c r="V217" s="796"/>
      <c r="W217" s="796"/>
      <c r="X217" s="796"/>
      <c r="Y217" s="796"/>
      <c r="Z217" s="796"/>
      <c r="AA217" s="796"/>
      <c r="AB217" s="796"/>
      <c r="AC217" s="796"/>
      <c r="AD217" s="796"/>
      <c r="AE217" s="796"/>
      <c r="AF217" s="796"/>
      <c r="AG217" s="796"/>
      <c r="AH217" s="796"/>
      <c r="AI217" s="796"/>
      <c r="AJ217" s="796"/>
      <c r="AK217" s="796"/>
      <c r="AL217" s="796"/>
      <c r="AM217" s="796"/>
      <c r="AN217" s="796"/>
    </row>
    <row r="218" spans="1:40" x14ac:dyDescent="0.25">
      <c r="A218" s="796"/>
      <c r="B218" s="59">
        <v>447579</v>
      </c>
      <c r="C218" s="796"/>
      <c r="D218" s="796"/>
      <c r="E218" s="59" t="s">
        <v>1381</v>
      </c>
      <c r="F218" s="59">
        <v>447579</v>
      </c>
      <c r="G218" s="796"/>
      <c r="H218" s="796"/>
      <c r="I218" s="796"/>
      <c r="J218" s="796"/>
      <c r="K218" s="796"/>
      <c r="L218" s="796"/>
      <c r="M218" s="796"/>
      <c r="N218" s="796"/>
      <c r="O218" s="796"/>
      <c r="P218" s="796"/>
      <c r="Q218" s="796"/>
      <c r="R218" s="796"/>
      <c r="S218" s="796"/>
      <c r="T218" s="796"/>
      <c r="U218" s="796"/>
      <c r="V218" s="796"/>
      <c r="W218" s="796"/>
      <c r="X218" s="796"/>
      <c r="Y218" s="796"/>
      <c r="Z218" s="796"/>
      <c r="AA218" s="796"/>
      <c r="AB218" s="796"/>
      <c r="AC218" s="796"/>
      <c r="AD218" s="796"/>
      <c r="AE218" s="796"/>
      <c r="AF218" s="796"/>
      <c r="AG218" s="796"/>
      <c r="AH218" s="796"/>
      <c r="AI218" s="796"/>
      <c r="AJ218" s="796"/>
      <c r="AK218" s="796"/>
      <c r="AL218" s="796"/>
      <c r="AM218" s="796"/>
      <c r="AN218" s="796"/>
    </row>
    <row r="219" spans="1:40" x14ac:dyDescent="0.25">
      <c r="A219" s="796"/>
      <c r="B219" s="59" t="s">
        <v>280</v>
      </c>
      <c r="C219" s="796"/>
      <c r="D219" s="796"/>
      <c r="E219" s="59" t="s">
        <v>1274</v>
      </c>
      <c r="F219" s="59" t="s">
        <v>280</v>
      </c>
      <c r="G219" s="796"/>
      <c r="H219" s="796"/>
      <c r="I219" s="796"/>
      <c r="J219" s="796"/>
      <c r="K219" s="796"/>
      <c r="L219" s="796"/>
      <c r="M219" s="796"/>
      <c r="N219" s="796"/>
      <c r="O219" s="796"/>
      <c r="P219" s="796"/>
      <c r="Q219" s="796"/>
      <c r="R219" s="796"/>
      <c r="S219" s="796"/>
      <c r="T219" s="796"/>
      <c r="U219" s="796"/>
      <c r="V219" s="796"/>
      <c r="W219" s="796"/>
      <c r="X219" s="796"/>
      <c r="Y219" s="796"/>
      <c r="Z219" s="796"/>
      <c r="AA219" s="796"/>
      <c r="AB219" s="796"/>
      <c r="AC219" s="796"/>
      <c r="AD219" s="796"/>
      <c r="AE219" s="796"/>
      <c r="AF219" s="796"/>
      <c r="AG219" s="796"/>
      <c r="AH219" s="796"/>
      <c r="AI219" s="796"/>
      <c r="AJ219" s="796"/>
      <c r="AK219" s="796"/>
      <c r="AL219" s="796"/>
      <c r="AM219" s="796"/>
      <c r="AN219" s="796"/>
    </row>
    <row r="220" spans="1:40" x14ac:dyDescent="0.25">
      <c r="A220" s="796"/>
      <c r="B220" s="59" t="s">
        <v>762</v>
      </c>
      <c r="C220" s="796"/>
      <c r="D220" s="796"/>
      <c r="E220" s="59" t="s">
        <v>1275</v>
      </c>
      <c r="F220" s="59" t="s">
        <v>762</v>
      </c>
      <c r="G220" s="796"/>
      <c r="H220" s="796"/>
      <c r="I220" s="796"/>
      <c r="J220" s="796"/>
      <c r="K220" s="796"/>
      <c r="L220" s="796"/>
      <c r="M220" s="796"/>
      <c r="N220" s="796"/>
      <c r="O220" s="796"/>
      <c r="P220" s="796"/>
      <c r="Q220" s="796"/>
      <c r="R220" s="796"/>
      <c r="S220" s="796"/>
      <c r="T220" s="796"/>
      <c r="U220" s="796"/>
      <c r="V220" s="796"/>
      <c r="W220" s="796"/>
      <c r="X220" s="796"/>
      <c r="Y220" s="796"/>
      <c r="Z220" s="796"/>
      <c r="AA220" s="796"/>
      <c r="AB220" s="796"/>
      <c r="AC220" s="796"/>
      <c r="AD220" s="796"/>
      <c r="AE220" s="796"/>
      <c r="AF220" s="796"/>
      <c r="AG220" s="796"/>
      <c r="AH220" s="796"/>
      <c r="AI220" s="796"/>
      <c r="AJ220" s="796"/>
      <c r="AK220" s="796"/>
      <c r="AL220" s="796"/>
      <c r="AM220" s="796"/>
      <c r="AN220" s="796"/>
    </row>
    <row r="221" spans="1:40" x14ac:dyDescent="0.25">
      <c r="A221" s="796"/>
      <c r="B221" s="59" t="s">
        <v>766</v>
      </c>
      <c r="C221" s="796"/>
      <c r="D221" s="796"/>
      <c r="E221" s="59" t="s">
        <v>1277</v>
      </c>
      <c r="F221" s="59" t="s">
        <v>766</v>
      </c>
      <c r="G221" s="796"/>
      <c r="H221" s="796"/>
      <c r="I221" s="796"/>
      <c r="J221" s="796"/>
      <c r="K221" s="796"/>
      <c r="L221" s="796"/>
      <c r="M221" s="796"/>
      <c r="N221" s="796"/>
      <c r="O221" s="796"/>
      <c r="P221" s="796"/>
      <c r="Q221" s="796"/>
      <c r="R221" s="796"/>
      <c r="S221" s="796"/>
      <c r="T221" s="796"/>
      <c r="U221" s="796"/>
      <c r="V221" s="796"/>
      <c r="W221" s="796"/>
      <c r="X221" s="796"/>
      <c r="Y221" s="796"/>
      <c r="Z221" s="796"/>
      <c r="AA221" s="796"/>
      <c r="AB221" s="796"/>
      <c r="AC221" s="796"/>
      <c r="AD221" s="796"/>
      <c r="AE221" s="796"/>
      <c r="AF221" s="796"/>
      <c r="AG221" s="796"/>
      <c r="AH221" s="796"/>
      <c r="AI221" s="796"/>
      <c r="AJ221" s="796"/>
      <c r="AK221" s="796"/>
      <c r="AL221" s="796"/>
      <c r="AM221" s="796"/>
      <c r="AN221" s="796"/>
    </row>
    <row r="222" spans="1:40" x14ac:dyDescent="0.25">
      <c r="A222" s="796"/>
      <c r="B222" s="59" t="s">
        <v>764</v>
      </c>
      <c r="C222" s="796"/>
      <c r="D222" s="796"/>
      <c r="E222" s="59" t="s">
        <v>1276</v>
      </c>
      <c r="F222" s="59" t="s">
        <v>764</v>
      </c>
      <c r="G222" s="796"/>
      <c r="H222" s="796"/>
      <c r="I222" s="796"/>
      <c r="J222" s="796"/>
      <c r="K222" s="796"/>
      <c r="L222" s="796"/>
      <c r="M222" s="796"/>
      <c r="N222" s="796"/>
      <c r="O222" s="796"/>
      <c r="P222" s="796"/>
      <c r="Q222" s="796"/>
      <c r="R222" s="796"/>
      <c r="S222" s="796"/>
      <c r="T222" s="796"/>
      <c r="U222" s="796"/>
      <c r="V222" s="796"/>
      <c r="W222" s="796"/>
      <c r="X222" s="796"/>
      <c r="Y222" s="796"/>
      <c r="Z222" s="796"/>
      <c r="AA222" s="796"/>
      <c r="AB222" s="796"/>
      <c r="AC222" s="796"/>
      <c r="AD222" s="796"/>
      <c r="AE222" s="796"/>
      <c r="AF222" s="796"/>
      <c r="AG222" s="796"/>
      <c r="AH222" s="796"/>
      <c r="AI222" s="796"/>
      <c r="AJ222" s="796"/>
      <c r="AK222" s="796"/>
      <c r="AL222" s="796"/>
      <c r="AM222" s="796"/>
      <c r="AN222" s="796"/>
    </row>
    <row r="223" spans="1:40" x14ac:dyDescent="0.25">
      <c r="A223" s="796"/>
      <c r="B223" s="59" t="s">
        <v>771</v>
      </c>
      <c r="C223" s="796"/>
      <c r="D223" s="796"/>
      <c r="E223" s="59" t="s">
        <v>1279</v>
      </c>
      <c r="F223" s="59" t="s">
        <v>771</v>
      </c>
      <c r="G223" s="796"/>
      <c r="H223" s="796"/>
      <c r="I223" s="796"/>
      <c r="J223" s="796"/>
      <c r="K223" s="796"/>
      <c r="L223" s="796"/>
      <c r="M223" s="796"/>
      <c r="N223" s="796"/>
      <c r="O223" s="796"/>
      <c r="P223" s="796"/>
      <c r="Q223" s="796"/>
      <c r="R223" s="796"/>
      <c r="S223" s="796"/>
      <c r="T223" s="796"/>
      <c r="U223" s="796"/>
      <c r="V223" s="796"/>
      <c r="W223" s="796"/>
      <c r="X223" s="796"/>
      <c r="Y223" s="796"/>
      <c r="Z223" s="796"/>
      <c r="AA223" s="796"/>
      <c r="AB223" s="796"/>
      <c r="AC223" s="796"/>
      <c r="AD223" s="796"/>
      <c r="AE223" s="796"/>
      <c r="AF223" s="796"/>
      <c r="AG223" s="796"/>
      <c r="AH223" s="796"/>
      <c r="AI223" s="796"/>
      <c r="AJ223" s="796"/>
      <c r="AK223" s="796"/>
      <c r="AL223" s="796"/>
      <c r="AM223" s="796"/>
      <c r="AN223" s="796"/>
    </row>
    <row r="224" spans="1:40" x14ac:dyDescent="0.25">
      <c r="A224" s="796"/>
      <c r="B224" s="529" t="s">
        <v>768</v>
      </c>
      <c r="C224" s="796"/>
      <c r="D224" s="796"/>
      <c r="E224" s="437" t="s">
        <v>1278</v>
      </c>
      <c r="F224" s="529" t="s">
        <v>768</v>
      </c>
      <c r="G224" s="796"/>
      <c r="H224" s="796"/>
      <c r="I224" s="796"/>
      <c r="J224" s="796"/>
      <c r="K224" s="796"/>
      <c r="L224" s="796"/>
      <c r="M224" s="796"/>
      <c r="N224" s="796"/>
      <c r="O224" s="796"/>
      <c r="P224" s="796"/>
      <c r="Q224" s="796"/>
      <c r="R224" s="796"/>
      <c r="S224" s="796"/>
      <c r="T224" s="796"/>
      <c r="U224" s="796"/>
      <c r="V224" s="796"/>
      <c r="W224" s="796"/>
      <c r="X224" s="796"/>
      <c r="Y224" s="796"/>
      <c r="Z224" s="796"/>
      <c r="AA224" s="796"/>
      <c r="AB224" s="796"/>
      <c r="AC224" s="796"/>
      <c r="AD224" s="796"/>
      <c r="AE224" s="796"/>
      <c r="AF224" s="796"/>
      <c r="AG224" s="796"/>
      <c r="AH224" s="796"/>
      <c r="AI224" s="796"/>
      <c r="AJ224" s="796"/>
      <c r="AK224" s="796"/>
      <c r="AL224" s="796"/>
      <c r="AM224" s="796"/>
      <c r="AN224" s="796"/>
    </row>
    <row r="225" spans="1:40" x14ac:dyDescent="0.25">
      <c r="A225" s="796"/>
      <c r="B225" s="529" t="s">
        <v>281</v>
      </c>
      <c r="C225" s="796"/>
      <c r="D225" s="796"/>
      <c r="E225" s="437" t="s">
        <v>564</v>
      </c>
      <c r="F225" s="529" t="s">
        <v>281</v>
      </c>
      <c r="G225" s="796"/>
      <c r="H225" s="796"/>
      <c r="I225" s="796"/>
      <c r="J225" s="796"/>
      <c r="K225" s="796"/>
      <c r="L225" s="796"/>
      <c r="M225" s="796"/>
      <c r="N225" s="796"/>
      <c r="O225" s="796"/>
      <c r="P225" s="796"/>
      <c r="Q225" s="796"/>
      <c r="R225" s="796"/>
      <c r="S225" s="796"/>
      <c r="T225" s="796"/>
      <c r="U225" s="796"/>
      <c r="V225" s="796"/>
      <c r="W225" s="796"/>
      <c r="X225" s="796"/>
      <c r="Y225" s="796"/>
      <c r="Z225" s="796"/>
      <c r="AA225" s="796"/>
      <c r="AB225" s="796"/>
      <c r="AC225" s="796"/>
      <c r="AD225" s="796"/>
      <c r="AE225" s="796"/>
      <c r="AF225" s="796"/>
      <c r="AG225" s="796"/>
      <c r="AH225" s="796"/>
      <c r="AI225" s="796"/>
      <c r="AJ225" s="796"/>
      <c r="AK225" s="796"/>
      <c r="AL225" s="796"/>
      <c r="AM225" s="796"/>
      <c r="AN225" s="796"/>
    </row>
    <row r="226" spans="1:40" x14ac:dyDescent="0.25">
      <c r="A226" s="796"/>
      <c r="B226" s="59" t="s">
        <v>774</v>
      </c>
      <c r="C226" s="796"/>
      <c r="D226" s="796"/>
      <c r="E226" s="59" t="s">
        <v>1284</v>
      </c>
      <c r="F226" s="59" t="s">
        <v>774</v>
      </c>
      <c r="G226" s="796"/>
      <c r="H226" s="796"/>
      <c r="I226" s="796"/>
      <c r="J226" s="796"/>
      <c r="K226" s="796"/>
      <c r="L226" s="796"/>
      <c r="M226" s="796"/>
      <c r="N226" s="796"/>
      <c r="O226" s="796"/>
      <c r="P226" s="796"/>
      <c r="Q226" s="796"/>
      <c r="R226" s="796"/>
      <c r="S226" s="796"/>
      <c r="T226" s="796"/>
      <c r="U226" s="796"/>
      <c r="V226" s="796"/>
      <c r="W226" s="796"/>
      <c r="X226" s="796"/>
      <c r="Y226" s="796"/>
      <c r="Z226" s="796"/>
      <c r="AA226" s="796"/>
      <c r="AB226" s="796"/>
      <c r="AC226" s="796"/>
      <c r="AD226" s="796"/>
      <c r="AE226" s="796"/>
      <c r="AF226" s="796"/>
      <c r="AG226" s="796"/>
      <c r="AH226" s="796"/>
      <c r="AI226" s="796"/>
      <c r="AJ226" s="796"/>
      <c r="AK226" s="796"/>
      <c r="AL226" s="796"/>
      <c r="AM226" s="796"/>
      <c r="AN226" s="796"/>
    </row>
    <row r="227" spans="1:40" x14ac:dyDescent="0.25">
      <c r="A227" s="796"/>
      <c r="B227" s="59">
        <v>484039</v>
      </c>
      <c r="C227" s="796"/>
      <c r="D227" s="796"/>
      <c r="E227" s="59" t="s">
        <v>1384</v>
      </c>
      <c r="F227" s="59">
        <v>484039</v>
      </c>
      <c r="G227" s="796"/>
      <c r="H227" s="796"/>
      <c r="I227" s="796"/>
      <c r="J227" s="796"/>
      <c r="K227" s="796"/>
      <c r="L227" s="796"/>
      <c r="M227" s="796"/>
      <c r="N227" s="796"/>
      <c r="O227" s="796"/>
      <c r="P227" s="796"/>
      <c r="Q227" s="796"/>
      <c r="R227" s="796"/>
      <c r="S227" s="796"/>
      <c r="T227" s="796"/>
      <c r="U227" s="796"/>
      <c r="V227" s="796"/>
      <c r="W227" s="796"/>
      <c r="X227" s="796"/>
      <c r="Y227" s="796"/>
      <c r="Z227" s="796"/>
      <c r="AA227" s="796"/>
      <c r="AB227" s="796"/>
      <c r="AC227" s="796"/>
      <c r="AD227" s="796"/>
      <c r="AE227" s="796"/>
      <c r="AF227" s="796"/>
      <c r="AG227" s="796"/>
      <c r="AH227" s="796"/>
      <c r="AI227" s="796"/>
      <c r="AJ227" s="796"/>
      <c r="AK227" s="796"/>
      <c r="AL227" s="796"/>
      <c r="AM227" s="796"/>
      <c r="AN227" s="796"/>
    </row>
    <row r="228" spans="1:40" x14ac:dyDescent="0.25">
      <c r="A228" s="796"/>
      <c r="B228" s="59" t="s">
        <v>776</v>
      </c>
      <c r="C228" s="796"/>
      <c r="D228" s="796"/>
      <c r="E228" s="59" t="s">
        <v>1285</v>
      </c>
      <c r="F228" s="59" t="s">
        <v>776</v>
      </c>
      <c r="G228" s="796"/>
      <c r="H228" s="796"/>
      <c r="I228" s="796"/>
      <c r="J228" s="796"/>
      <c r="K228" s="796"/>
      <c r="L228" s="796"/>
      <c r="M228" s="796"/>
      <c r="N228" s="796"/>
      <c r="O228" s="796"/>
      <c r="P228" s="796"/>
      <c r="Q228" s="796"/>
      <c r="R228" s="796"/>
      <c r="S228" s="796"/>
      <c r="T228" s="796"/>
      <c r="U228" s="796"/>
      <c r="V228" s="796"/>
      <c r="W228" s="796"/>
      <c r="X228" s="796"/>
      <c r="Y228" s="796"/>
      <c r="Z228" s="796"/>
      <c r="AA228" s="796"/>
      <c r="AB228" s="796"/>
      <c r="AC228" s="796"/>
      <c r="AD228" s="796"/>
      <c r="AE228" s="796"/>
      <c r="AF228" s="796"/>
      <c r="AG228" s="796"/>
      <c r="AH228" s="796"/>
      <c r="AI228" s="796"/>
      <c r="AJ228" s="796"/>
      <c r="AK228" s="796"/>
      <c r="AL228" s="796"/>
      <c r="AM228" s="796"/>
      <c r="AN228" s="796"/>
    </row>
    <row r="229" spans="1:40" x14ac:dyDescent="0.25">
      <c r="A229" s="796"/>
      <c r="B229" s="59">
        <v>343478</v>
      </c>
      <c r="C229" s="796"/>
      <c r="D229" s="796"/>
      <c r="E229" s="59" t="s">
        <v>1385</v>
      </c>
      <c r="F229" s="59">
        <v>343478</v>
      </c>
      <c r="G229" s="796"/>
      <c r="H229" s="796"/>
      <c r="I229" s="796"/>
      <c r="J229" s="796"/>
      <c r="K229" s="796"/>
      <c r="L229" s="796"/>
      <c r="M229" s="796"/>
      <c r="N229" s="796"/>
      <c r="O229" s="796"/>
      <c r="P229" s="796"/>
      <c r="Q229" s="796"/>
      <c r="R229" s="796"/>
      <c r="S229" s="796"/>
      <c r="T229" s="796"/>
      <c r="U229" s="796"/>
      <c r="V229" s="796"/>
      <c r="W229" s="796"/>
      <c r="X229" s="796"/>
      <c r="Y229" s="796"/>
      <c r="Z229" s="796"/>
      <c r="AA229" s="796"/>
      <c r="AB229" s="796"/>
      <c r="AC229" s="796"/>
      <c r="AD229" s="796"/>
      <c r="AE229" s="796"/>
      <c r="AF229" s="796"/>
      <c r="AG229" s="796"/>
      <c r="AH229" s="796"/>
      <c r="AI229" s="796"/>
      <c r="AJ229" s="796"/>
      <c r="AK229" s="796"/>
      <c r="AL229" s="796"/>
      <c r="AM229" s="796"/>
      <c r="AN229" s="796"/>
    </row>
    <row r="230" spans="1:40" x14ac:dyDescent="0.25">
      <c r="A230" s="796"/>
      <c r="B230" s="59" t="s">
        <v>283</v>
      </c>
      <c r="C230" s="796"/>
      <c r="D230" s="796"/>
      <c r="E230" s="59" t="s">
        <v>532</v>
      </c>
      <c r="F230" s="59" t="s">
        <v>283</v>
      </c>
      <c r="G230" s="796"/>
      <c r="H230" s="796"/>
      <c r="I230" s="796"/>
      <c r="J230" s="796"/>
      <c r="K230" s="796"/>
      <c r="L230" s="796"/>
      <c r="M230" s="796"/>
      <c r="N230" s="796"/>
      <c r="O230" s="796"/>
      <c r="P230" s="796"/>
      <c r="Q230" s="796"/>
      <c r="R230" s="796"/>
      <c r="S230" s="796"/>
      <c r="T230" s="796"/>
      <c r="U230" s="796"/>
      <c r="V230" s="796"/>
      <c r="W230" s="796"/>
      <c r="X230" s="796"/>
      <c r="Y230" s="796"/>
      <c r="Z230" s="796"/>
      <c r="AA230" s="796"/>
      <c r="AB230" s="796"/>
      <c r="AC230" s="796"/>
      <c r="AD230" s="796"/>
      <c r="AE230" s="796"/>
      <c r="AF230" s="796"/>
      <c r="AG230" s="796"/>
      <c r="AH230" s="796"/>
      <c r="AI230" s="796"/>
      <c r="AJ230" s="796"/>
      <c r="AK230" s="796"/>
      <c r="AL230" s="796"/>
      <c r="AM230" s="796"/>
      <c r="AN230" s="796"/>
    </row>
    <row r="231" spans="1:40" x14ac:dyDescent="0.25">
      <c r="A231" s="796"/>
      <c r="B231" s="59">
        <v>206031</v>
      </c>
      <c r="C231" s="796"/>
      <c r="D231" s="796"/>
      <c r="E231" s="59" t="s">
        <v>1280</v>
      </c>
      <c r="F231" s="59">
        <v>206031</v>
      </c>
      <c r="G231" s="796"/>
      <c r="H231" s="796"/>
      <c r="I231" s="796"/>
      <c r="J231" s="796"/>
      <c r="K231" s="796"/>
      <c r="L231" s="796"/>
      <c r="M231" s="796"/>
      <c r="N231" s="796"/>
      <c r="O231" s="796"/>
      <c r="P231" s="796"/>
      <c r="Q231" s="796"/>
      <c r="R231" s="796"/>
      <c r="S231" s="796"/>
      <c r="T231" s="796"/>
      <c r="U231" s="796"/>
      <c r="V231" s="796"/>
      <c r="W231" s="796"/>
      <c r="X231" s="796"/>
      <c r="Y231" s="796"/>
      <c r="Z231" s="796"/>
      <c r="AA231" s="796"/>
      <c r="AB231" s="796"/>
      <c r="AC231" s="796"/>
      <c r="AD231" s="796"/>
      <c r="AE231" s="796"/>
      <c r="AF231" s="796"/>
      <c r="AG231" s="796"/>
      <c r="AH231" s="796"/>
      <c r="AI231" s="796"/>
      <c r="AJ231" s="796"/>
      <c r="AK231" s="796"/>
      <c r="AL231" s="796"/>
      <c r="AM231" s="796"/>
      <c r="AN231" s="796"/>
    </row>
    <row r="232" spans="1:40" x14ac:dyDescent="0.25">
      <c r="A232" s="796"/>
      <c r="B232" s="59" t="s">
        <v>284</v>
      </c>
      <c r="C232" s="796"/>
      <c r="D232" s="796"/>
      <c r="E232" s="59" t="s">
        <v>531</v>
      </c>
      <c r="F232" s="59" t="s">
        <v>284</v>
      </c>
      <c r="G232" s="796"/>
      <c r="H232" s="796"/>
      <c r="I232" s="796"/>
      <c r="J232" s="796"/>
      <c r="K232" s="796"/>
      <c r="L232" s="796"/>
      <c r="M232" s="796"/>
      <c r="N232" s="796"/>
      <c r="O232" s="796"/>
      <c r="P232" s="796"/>
      <c r="Q232" s="796"/>
      <c r="R232" s="796"/>
      <c r="S232" s="796"/>
      <c r="T232" s="796"/>
      <c r="U232" s="796"/>
      <c r="V232" s="796"/>
      <c r="W232" s="796"/>
      <c r="X232" s="796"/>
      <c r="Y232" s="796"/>
      <c r="Z232" s="796"/>
      <c r="AA232" s="796"/>
      <c r="AB232" s="796"/>
      <c r="AC232" s="796"/>
      <c r="AD232" s="796"/>
      <c r="AE232" s="796"/>
      <c r="AF232" s="796"/>
      <c r="AG232" s="796"/>
      <c r="AH232" s="796"/>
      <c r="AI232" s="796"/>
      <c r="AJ232" s="796"/>
      <c r="AK232" s="796"/>
      <c r="AL232" s="796"/>
      <c r="AM232" s="796"/>
      <c r="AN232" s="796"/>
    </row>
    <row r="233" spans="1:40" x14ac:dyDescent="0.25">
      <c r="A233" s="796"/>
      <c r="B233" s="59" t="s">
        <v>282</v>
      </c>
      <c r="C233" s="796"/>
      <c r="D233" s="796"/>
      <c r="E233" s="59" t="s">
        <v>530</v>
      </c>
      <c r="F233" s="59" t="s">
        <v>282</v>
      </c>
      <c r="G233" s="796"/>
      <c r="H233" s="796"/>
      <c r="I233" s="796"/>
      <c r="J233" s="796"/>
      <c r="K233" s="796"/>
      <c r="L233" s="796"/>
      <c r="M233" s="796"/>
      <c r="N233" s="796"/>
      <c r="O233" s="796"/>
      <c r="P233" s="796"/>
      <c r="Q233" s="796"/>
      <c r="R233" s="796"/>
      <c r="S233" s="796"/>
      <c r="T233" s="796"/>
      <c r="U233" s="796"/>
      <c r="V233" s="796"/>
      <c r="W233" s="796"/>
      <c r="X233" s="796"/>
      <c r="Y233" s="796"/>
      <c r="Z233" s="796"/>
      <c r="AA233" s="796"/>
      <c r="AB233" s="796"/>
      <c r="AC233" s="796"/>
      <c r="AD233" s="796"/>
      <c r="AE233" s="796"/>
      <c r="AF233" s="796"/>
      <c r="AG233" s="796"/>
      <c r="AH233" s="796"/>
      <c r="AI233" s="796"/>
      <c r="AJ233" s="796"/>
      <c r="AK233" s="796"/>
      <c r="AL233" s="796"/>
      <c r="AM233" s="796"/>
      <c r="AN233" s="796"/>
    </row>
    <row r="234" spans="1:40" x14ac:dyDescent="0.25">
      <c r="A234" s="796"/>
      <c r="B234" s="59" t="s">
        <v>781</v>
      </c>
      <c r="C234" s="796"/>
      <c r="D234" s="796"/>
      <c r="E234" s="59" t="s">
        <v>1281</v>
      </c>
      <c r="F234" s="59" t="s">
        <v>781</v>
      </c>
      <c r="G234" s="796"/>
      <c r="H234" s="796"/>
      <c r="I234" s="796"/>
      <c r="J234" s="796"/>
      <c r="K234" s="796"/>
      <c r="L234" s="796"/>
      <c r="M234" s="796"/>
      <c r="N234" s="796"/>
      <c r="O234" s="796"/>
      <c r="P234" s="796"/>
      <c r="Q234" s="796"/>
      <c r="R234" s="796"/>
      <c r="S234" s="796"/>
      <c r="T234" s="796"/>
      <c r="U234" s="796"/>
      <c r="V234" s="796"/>
      <c r="W234" s="796"/>
      <c r="X234" s="796"/>
      <c r="Y234" s="796"/>
      <c r="Z234" s="796"/>
      <c r="AA234" s="796"/>
      <c r="AB234" s="796"/>
      <c r="AC234" s="796"/>
      <c r="AD234" s="796"/>
      <c r="AE234" s="796"/>
      <c r="AF234" s="796"/>
      <c r="AG234" s="796"/>
      <c r="AH234" s="796"/>
      <c r="AI234" s="796"/>
      <c r="AJ234" s="796"/>
      <c r="AK234" s="796"/>
      <c r="AL234" s="796"/>
      <c r="AM234" s="796"/>
      <c r="AN234" s="796"/>
    </row>
    <row r="235" spans="1:40" x14ac:dyDescent="0.25">
      <c r="A235" s="796"/>
      <c r="B235" s="59" t="s">
        <v>285</v>
      </c>
      <c r="C235" s="796"/>
      <c r="D235" s="796"/>
      <c r="E235" s="59" t="s">
        <v>1255</v>
      </c>
      <c r="F235" s="59" t="s">
        <v>285</v>
      </c>
      <c r="G235" s="796"/>
      <c r="H235" s="796"/>
      <c r="I235" s="796"/>
      <c r="J235" s="796"/>
      <c r="K235" s="796"/>
      <c r="L235" s="796"/>
      <c r="M235" s="796"/>
      <c r="N235" s="796"/>
      <c r="O235" s="796"/>
      <c r="P235" s="796"/>
      <c r="Q235" s="796"/>
      <c r="R235" s="796"/>
      <c r="S235" s="796"/>
      <c r="T235" s="796"/>
      <c r="U235" s="796"/>
      <c r="V235" s="796"/>
      <c r="W235" s="796"/>
      <c r="X235" s="796"/>
      <c r="Y235" s="796"/>
      <c r="Z235" s="796"/>
      <c r="AA235" s="796"/>
      <c r="AB235" s="796"/>
      <c r="AC235" s="796"/>
      <c r="AD235" s="796"/>
      <c r="AE235" s="796"/>
      <c r="AF235" s="796"/>
      <c r="AG235" s="796"/>
      <c r="AH235" s="796"/>
      <c r="AI235" s="796"/>
      <c r="AJ235" s="796"/>
      <c r="AK235" s="796"/>
      <c r="AL235" s="796"/>
      <c r="AM235" s="796"/>
      <c r="AN235" s="796"/>
    </row>
    <row r="236" spans="1:40" x14ac:dyDescent="0.25">
      <c r="A236" s="796"/>
      <c r="B236" s="59">
        <v>260848</v>
      </c>
      <c r="C236" s="796"/>
      <c r="D236" s="796"/>
      <c r="E236" s="59" t="s">
        <v>1289</v>
      </c>
      <c r="F236" s="59">
        <v>260848</v>
      </c>
      <c r="G236" s="796"/>
      <c r="H236" s="796"/>
      <c r="I236" s="796"/>
      <c r="J236" s="796"/>
      <c r="K236" s="796"/>
      <c r="L236" s="796"/>
      <c r="M236" s="796"/>
      <c r="N236" s="796"/>
      <c r="O236" s="796"/>
      <c r="P236" s="796"/>
      <c r="Q236" s="796"/>
      <c r="R236" s="796"/>
      <c r="S236" s="796"/>
      <c r="T236" s="796"/>
      <c r="U236" s="796"/>
      <c r="V236" s="796"/>
      <c r="W236" s="796"/>
      <c r="X236" s="796"/>
      <c r="Y236" s="796"/>
      <c r="Z236" s="796"/>
      <c r="AA236" s="796"/>
      <c r="AB236" s="796"/>
      <c r="AC236" s="796"/>
      <c r="AD236" s="796"/>
      <c r="AE236" s="796"/>
      <c r="AF236" s="796"/>
      <c r="AG236" s="796"/>
      <c r="AH236" s="796"/>
      <c r="AI236" s="796"/>
      <c r="AJ236" s="796"/>
      <c r="AK236" s="796"/>
      <c r="AL236" s="796"/>
      <c r="AM236" s="796"/>
      <c r="AN236" s="796"/>
    </row>
    <row r="237" spans="1:40" x14ac:dyDescent="0.25">
      <c r="A237" s="796"/>
      <c r="B237" s="59">
        <v>206043</v>
      </c>
      <c r="C237" s="796"/>
      <c r="D237" s="796"/>
      <c r="E237" s="59" t="s">
        <v>565</v>
      </c>
      <c r="F237" s="59">
        <v>206043</v>
      </c>
      <c r="G237" s="796"/>
      <c r="H237" s="796"/>
      <c r="I237" s="796"/>
      <c r="J237" s="796"/>
      <c r="K237" s="796"/>
      <c r="L237" s="796"/>
      <c r="M237" s="796"/>
      <c r="N237" s="796"/>
      <c r="O237" s="796"/>
      <c r="P237" s="796"/>
      <c r="Q237" s="796"/>
      <c r="R237" s="796"/>
      <c r="S237" s="796"/>
      <c r="T237" s="796"/>
      <c r="U237" s="796"/>
      <c r="V237" s="796"/>
      <c r="W237" s="796"/>
      <c r="X237" s="796"/>
      <c r="Y237" s="796"/>
      <c r="Z237" s="796"/>
      <c r="AA237" s="796"/>
      <c r="AB237" s="796"/>
      <c r="AC237" s="796"/>
      <c r="AD237" s="796"/>
      <c r="AE237" s="796"/>
      <c r="AF237" s="796"/>
      <c r="AG237" s="796"/>
      <c r="AH237" s="796"/>
      <c r="AI237" s="796"/>
      <c r="AJ237" s="796"/>
      <c r="AK237" s="796"/>
      <c r="AL237" s="796"/>
      <c r="AM237" s="796"/>
      <c r="AN237" s="796"/>
    </row>
    <row r="238" spans="1:40" x14ac:dyDescent="0.25">
      <c r="A238" s="796"/>
      <c r="B238" s="59" t="s">
        <v>286</v>
      </c>
      <c r="C238" s="796"/>
      <c r="D238" s="796"/>
      <c r="E238" s="59" t="s">
        <v>533</v>
      </c>
      <c r="F238" s="59" t="s">
        <v>286</v>
      </c>
      <c r="G238" s="796"/>
      <c r="H238" s="796"/>
      <c r="I238" s="796"/>
      <c r="J238" s="796"/>
      <c r="K238" s="796"/>
      <c r="L238" s="796"/>
      <c r="M238" s="796"/>
      <c r="N238" s="796"/>
      <c r="O238" s="796"/>
      <c r="P238" s="796"/>
      <c r="Q238" s="796"/>
      <c r="R238" s="796"/>
      <c r="S238" s="796"/>
      <c r="T238" s="796"/>
      <c r="U238" s="796"/>
      <c r="V238" s="796"/>
      <c r="W238" s="796"/>
      <c r="X238" s="796"/>
      <c r="Y238" s="796"/>
      <c r="Z238" s="796"/>
      <c r="AA238" s="796"/>
      <c r="AB238" s="796"/>
      <c r="AC238" s="796"/>
      <c r="AD238" s="796"/>
      <c r="AE238" s="796"/>
      <c r="AF238" s="796"/>
      <c r="AG238" s="796"/>
      <c r="AH238" s="796"/>
      <c r="AI238" s="796"/>
      <c r="AJ238" s="796"/>
      <c r="AK238" s="796"/>
      <c r="AL238" s="796"/>
      <c r="AM238" s="796"/>
      <c r="AN238" s="796"/>
    </row>
    <row r="239" spans="1:40" x14ac:dyDescent="0.25">
      <c r="A239" s="796"/>
      <c r="B239" s="59">
        <v>505502</v>
      </c>
      <c r="C239" s="796"/>
      <c r="D239" s="796"/>
      <c r="E239" s="59" t="s">
        <v>533</v>
      </c>
      <c r="F239" s="59">
        <v>505502</v>
      </c>
      <c r="G239" s="796"/>
      <c r="H239" s="796"/>
      <c r="I239" s="796"/>
      <c r="J239" s="796"/>
      <c r="K239" s="796"/>
      <c r="L239" s="796"/>
      <c r="M239" s="796"/>
      <c r="N239" s="796"/>
      <c r="O239" s="796"/>
      <c r="P239" s="796"/>
      <c r="Q239" s="796"/>
      <c r="R239" s="796"/>
      <c r="S239" s="796"/>
      <c r="T239" s="796"/>
      <c r="U239" s="796"/>
      <c r="V239" s="796"/>
      <c r="W239" s="796"/>
      <c r="X239" s="796"/>
      <c r="Y239" s="796"/>
      <c r="Z239" s="796"/>
      <c r="AA239" s="796"/>
      <c r="AB239" s="796"/>
      <c r="AC239" s="796"/>
      <c r="AD239" s="796"/>
      <c r="AE239" s="796"/>
      <c r="AF239" s="796"/>
      <c r="AG239" s="796"/>
      <c r="AH239" s="796"/>
      <c r="AI239" s="796"/>
      <c r="AJ239" s="796"/>
      <c r="AK239" s="796"/>
      <c r="AL239" s="796"/>
      <c r="AM239" s="796"/>
      <c r="AN239" s="796"/>
    </row>
    <row r="240" spans="1:40" x14ac:dyDescent="0.25">
      <c r="A240" s="796"/>
      <c r="B240" s="59">
        <v>205978</v>
      </c>
      <c r="C240" s="796"/>
      <c r="D240" s="796"/>
      <c r="E240" s="59" t="s">
        <v>563</v>
      </c>
      <c r="F240" s="59">
        <v>205978</v>
      </c>
      <c r="G240" s="796"/>
      <c r="H240" s="796"/>
      <c r="I240" s="796"/>
      <c r="J240" s="796"/>
      <c r="K240" s="796"/>
      <c r="L240" s="796"/>
      <c r="M240" s="796"/>
      <c r="N240" s="796"/>
      <c r="O240" s="796"/>
      <c r="P240" s="796"/>
      <c r="Q240" s="796"/>
      <c r="R240" s="796"/>
      <c r="S240" s="796"/>
      <c r="T240" s="796"/>
      <c r="U240" s="796"/>
      <c r="V240" s="796"/>
      <c r="W240" s="796"/>
      <c r="X240" s="796"/>
      <c r="Y240" s="796"/>
      <c r="Z240" s="796"/>
      <c r="AA240" s="796"/>
      <c r="AB240" s="796"/>
      <c r="AC240" s="796"/>
      <c r="AD240" s="796"/>
      <c r="AE240" s="796"/>
      <c r="AF240" s="796"/>
      <c r="AG240" s="796"/>
      <c r="AH240" s="796"/>
      <c r="AI240" s="796"/>
      <c r="AJ240" s="796"/>
      <c r="AK240" s="796"/>
      <c r="AL240" s="796"/>
      <c r="AM240" s="796"/>
      <c r="AN240" s="796"/>
    </row>
    <row r="241" spans="1:40" x14ac:dyDescent="0.25">
      <c r="A241" s="796"/>
      <c r="B241" s="59">
        <v>435150</v>
      </c>
      <c r="C241" s="796"/>
      <c r="D241" s="796"/>
      <c r="E241" s="59" t="s">
        <v>1296</v>
      </c>
      <c r="F241" s="59">
        <v>435150</v>
      </c>
      <c r="G241" s="796"/>
      <c r="H241" s="796"/>
      <c r="I241" s="796"/>
      <c r="J241" s="796"/>
      <c r="K241" s="796"/>
      <c r="L241" s="796"/>
      <c r="M241" s="796"/>
      <c r="N241" s="796"/>
      <c r="O241" s="796"/>
      <c r="P241" s="796"/>
      <c r="Q241" s="796"/>
      <c r="R241" s="796"/>
      <c r="S241" s="796"/>
      <c r="T241" s="796"/>
      <c r="U241" s="796"/>
      <c r="V241" s="796"/>
      <c r="W241" s="796"/>
      <c r="X241" s="796"/>
      <c r="Y241" s="796"/>
      <c r="Z241" s="796"/>
      <c r="AA241" s="796"/>
      <c r="AB241" s="796"/>
      <c r="AC241" s="796"/>
      <c r="AD241" s="796"/>
      <c r="AE241" s="796"/>
      <c r="AF241" s="796"/>
      <c r="AG241" s="796"/>
      <c r="AH241" s="796"/>
      <c r="AI241" s="796"/>
      <c r="AJ241" s="796"/>
      <c r="AK241" s="796"/>
      <c r="AL241" s="796"/>
      <c r="AM241" s="796"/>
      <c r="AN241" s="796"/>
    </row>
    <row r="242" spans="1:40" x14ac:dyDescent="0.25">
      <c r="A242" s="796"/>
      <c r="B242" s="59">
        <v>206067</v>
      </c>
      <c r="C242" s="796"/>
      <c r="D242" s="796"/>
      <c r="E242" s="59" t="s">
        <v>1288</v>
      </c>
      <c r="F242" s="59">
        <v>206067</v>
      </c>
      <c r="G242" s="796"/>
      <c r="H242" s="796"/>
      <c r="I242" s="796"/>
      <c r="J242" s="796"/>
      <c r="K242" s="796"/>
      <c r="L242" s="796"/>
      <c r="M242" s="796"/>
      <c r="N242" s="796"/>
      <c r="O242" s="796"/>
      <c r="P242" s="796"/>
      <c r="Q242" s="796"/>
      <c r="R242" s="796"/>
      <c r="S242" s="796"/>
      <c r="T242" s="796"/>
      <c r="U242" s="796"/>
      <c r="V242" s="796"/>
      <c r="W242" s="796"/>
      <c r="X242" s="796"/>
      <c r="Y242" s="796"/>
      <c r="Z242" s="796"/>
      <c r="AA242" s="796"/>
      <c r="AB242" s="796"/>
      <c r="AC242" s="796"/>
      <c r="AD242" s="796"/>
      <c r="AE242" s="796"/>
      <c r="AF242" s="796"/>
      <c r="AG242" s="796"/>
      <c r="AH242" s="796"/>
      <c r="AI242" s="796"/>
      <c r="AJ242" s="796"/>
      <c r="AK242" s="796"/>
      <c r="AL242" s="796"/>
      <c r="AM242" s="796"/>
      <c r="AN242" s="796"/>
    </row>
    <row r="243" spans="1:40" x14ac:dyDescent="0.25">
      <c r="A243" s="796"/>
      <c r="B243" s="59" t="s">
        <v>287</v>
      </c>
      <c r="C243" s="796"/>
      <c r="D243" s="796"/>
      <c r="E243" s="59" t="s">
        <v>534</v>
      </c>
      <c r="F243" s="59" t="s">
        <v>287</v>
      </c>
      <c r="G243" s="796"/>
      <c r="H243" s="796"/>
      <c r="I243" s="796"/>
      <c r="J243" s="796"/>
      <c r="K243" s="796"/>
      <c r="L243" s="796"/>
      <c r="M243" s="796"/>
      <c r="N243" s="796"/>
      <c r="O243" s="796"/>
      <c r="P243" s="796"/>
      <c r="Q243" s="796"/>
      <c r="R243" s="796"/>
      <c r="S243" s="796"/>
      <c r="T243" s="796"/>
      <c r="U243" s="796"/>
      <c r="V243" s="796"/>
      <c r="W243" s="796"/>
      <c r="X243" s="796"/>
      <c r="Y243" s="796"/>
      <c r="Z243" s="796"/>
      <c r="AA243" s="796"/>
      <c r="AB243" s="796"/>
      <c r="AC243" s="796"/>
      <c r="AD243" s="796"/>
      <c r="AE243" s="796"/>
      <c r="AF243" s="796"/>
      <c r="AG243" s="796"/>
      <c r="AH243" s="796"/>
      <c r="AI243" s="796"/>
      <c r="AJ243" s="796"/>
      <c r="AK243" s="796"/>
      <c r="AL243" s="796"/>
      <c r="AM243" s="796"/>
      <c r="AN243" s="796"/>
    </row>
    <row r="244" spans="1:40" x14ac:dyDescent="0.25">
      <c r="A244" s="796"/>
      <c r="B244" s="59" t="s">
        <v>279</v>
      </c>
      <c r="C244" s="796"/>
      <c r="D244" s="796"/>
      <c r="E244" s="59" t="s">
        <v>1282</v>
      </c>
      <c r="F244" s="59" t="s">
        <v>279</v>
      </c>
      <c r="G244" s="796"/>
      <c r="H244" s="796"/>
      <c r="I244" s="796"/>
      <c r="J244" s="796"/>
      <c r="K244" s="796"/>
      <c r="L244" s="796"/>
      <c r="M244" s="796"/>
      <c r="N244" s="796"/>
      <c r="O244" s="796"/>
      <c r="P244" s="796"/>
      <c r="Q244" s="796"/>
      <c r="R244" s="796"/>
      <c r="S244" s="796"/>
      <c r="T244" s="796"/>
      <c r="U244" s="796"/>
      <c r="V244" s="796"/>
      <c r="W244" s="796"/>
      <c r="X244" s="796"/>
      <c r="Y244" s="796"/>
      <c r="Z244" s="796"/>
      <c r="AA244" s="796"/>
      <c r="AB244" s="796"/>
      <c r="AC244" s="796"/>
      <c r="AD244" s="796"/>
      <c r="AE244" s="796"/>
      <c r="AF244" s="796"/>
      <c r="AG244" s="796"/>
      <c r="AH244" s="796"/>
      <c r="AI244" s="796"/>
      <c r="AJ244" s="796"/>
      <c r="AK244" s="796"/>
      <c r="AL244" s="796"/>
      <c r="AM244" s="796"/>
      <c r="AN244" s="796"/>
    </row>
    <row r="245" spans="1:40" x14ac:dyDescent="0.25">
      <c r="A245" s="796"/>
      <c r="B245" s="59" t="s">
        <v>288</v>
      </c>
      <c r="C245" s="796"/>
      <c r="D245" s="796"/>
      <c r="E245" s="59" t="s">
        <v>535</v>
      </c>
      <c r="F245" s="59" t="s">
        <v>288</v>
      </c>
      <c r="G245" s="796"/>
      <c r="H245" s="796"/>
      <c r="I245" s="796"/>
      <c r="J245" s="796"/>
      <c r="K245" s="796"/>
      <c r="L245" s="796"/>
      <c r="M245" s="796"/>
      <c r="N245" s="796"/>
      <c r="O245" s="796"/>
      <c r="P245" s="796"/>
      <c r="Q245" s="796"/>
      <c r="R245" s="796"/>
      <c r="S245" s="796"/>
      <c r="T245" s="796"/>
      <c r="U245" s="796"/>
      <c r="V245" s="796"/>
      <c r="W245" s="796"/>
      <c r="X245" s="796"/>
      <c r="Y245" s="796"/>
      <c r="Z245" s="796"/>
      <c r="AA245" s="796"/>
      <c r="AB245" s="796"/>
      <c r="AC245" s="796"/>
      <c r="AD245" s="796"/>
      <c r="AE245" s="796"/>
      <c r="AF245" s="796"/>
      <c r="AG245" s="796"/>
      <c r="AH245" s="796"/>
      <c r="AI245" s="796"/>
      <c r="AJ245" s="796"/>
      <c r="AK245" s="796"/>
      <c r="AL245" s="796"/>
      <c r="AM245" s="796"/>
      <c r="AN245" s="796"/>
    </row>
    <row r="246" spans="1:40" x14ac:dyDescent="0.25">
      <c r="A246" s="796"/>
      <c r="B246" s="59" t="s">
        <v>793</v>
      </c>
      <c r="C246" s="796"/>
      <c r="D246" s="796"/>
      <c r="E246" s="59" t="s">
        <v>1286</v>
      </c>
      <c r="F246" s="59" t="s">
        <v>793</v>
      </c>
      <c r="G246" s="796"/>
      <c r="H246" s="796"/>
      <c r="I246" s="796"/>
      <c r="J246" s="796"/>
      <c r="K246" s="796"/>
      <c r="L246" s="796"/>
      <c r="M246" s="796"/>
      <c r="N246" s="796"/>
      <c r="O246" s="796"/>
      <c r="P246" s="796"/>
      <c r="Q246" s="796"/>
      <c r="R246" s="796"/>
      <c r="S246" s="796"/>
      <c r="T246" s="796"/>
      <c r="U246" s="796"/>
      <c r="V246" s="796"/>
      <c r="W246" s="796"/>
      <c r="X246" s="796"/>
      <c r="Y246" s="796"/>
      <c r="Z246" s="796"/>
      <c r="AA246" s="796"/>
      <c r="AB246" s="796"/>
      <c r="AC246" s="796"/>
      <c r="AD246" s="796"/>
      <c r="AE246" s="796"/>
      <c r="AF246" s="796"/>
      <c r="AG246" s="796"/>
      <c r="AH246" s="796"/>
      <c r="AI246" s="796"/>
      <c r="AJ246" s="796"/>
      <c r="AK246" s="796"/>
      <c r="AL246" s="796"/>
      <c r="AM246" s="796"/>
      <c r="AN246" s="796"/>
    </row>
    <row r="247" spans="1:40" x14ac:dyDescent="0.25">
      <c r="A247" s="796"/>
      <c r="B247" s="59">
        <v>414019</v>
      </c>
      <c r="C247" s="796"/>
      <c r="D247" s="796"/>
      <c r="E247" s="59" t="s">
        <v>1386</v>
      </c>
      <c r="F247" s="59">
        <v>414019</v>
      </c>
      <c r="G247" s="796"/>
      <c r="H247" s="796"/>
      <c r="I247" s="796"/>
      <c r="J247" s="796"/>
      <c r="K247" s="796"/>
      <c r="L247" s="796"/>
      <c r="M247" s="796"/>
      <c r="N247" s="796"/>
      <c r="O247" s="796"/>
      <c r="P247" s="796"/>
      <c r="Q247" s="796"/>
      <c r="R247" s="796"/>
      <c r="S247" s="796"/>
      <c r="T247" s="796"/>
      <c r="U247" s="796"/>
      <c r="V247" s="796"/>
      <c r="W247" s="796"/>
      <c r="X247" s="796"/>
      <c r="Y247" s="796"/>
      <c r="Z247" s="796"/>
      <c r="AA247" s="796"/>
      <c r="AB247" s="796"/>
      <c r="AC247" s="796"/>
      <c r="AD247" s="796"/>
      <c r="AE247" s="796"/>
      <c r="AF247" s="796"/>
      <c r="AG247" s="796"/>
      <c r="AH247" s="796"/>
      <c r="AI247" s="796"/>
      <c r="AJ247" s="796"/>
      <c r="AK247" s="796"/>
      <c r="AL247" s="796"/>
      <c r="AM247" s="796"/>
      <c r="AN247" s="796"/>
    </row>
    <row r="248" spans="1:40" x14ac:dyDescent="0.25">
      <c r="A248" s="796"/>
      <c r="B248" s="59" t="s">
        <v>274</v>
      </c>
      <c r="C248" s="796"/>
      <c r="D248" s="796"/>
      <c r="E248" s="59" t="s">
        <v>567</v>
      </c>
      <c r="F248" s="59" t="s">
        <v>274</v>
      </c>
      <c r="G248" s="796"/>
      <c r="H248" s="796"/>
      <c r="I248" s="796"/>
      <c r="J248" s="796"/>
      <c r="K248" s="796"/>
      <c r="L248" s="796"/>
      <c r="M248" s="796"/>
      <c r="N248" s="796"/>
      <c r="O248" s="796"/>
      <c r="P248" s="796"/>
      <c r="Q248" s="796"/>
      <c r="R248" s="796"/>
      <c r="S248" s="796"/>
      <c r="T248" s="796"/>
      <c r="U248" s="796"/>
      <c r="V248" s="796"/>
      <c r="W248" s="796"/>
      <c r="X248" s="796"/>
      <c r="Y248" s="796"/>
      <c r="Z248" s="796"/>
      <c r="AA248" s="796"/>
      <c r="AB248" s="796"/>
      <c r="AC248" s="796"/>
      <c r="AD248" s="796"/>
      <c r="AE248" s="796"/>
      <c r="AF248" s="796"/>
      <c r="AG248" s="796"/>
      <c r="AH248" s="796"/>
      <c r="AI248" s="796"/>
      <c r="AJ248" s="796"/>
      <c r="AK248" s="796"/>
      <c r="AL248" s="796"/>
      <c r="AM248" s="796"/>
      <c r="AN248" s="796"/>
    </row>
    <row r="249" spans="1:40" x14ac:dyDescent="0.25">
      <c r="A249" s="796"/>
      <c r="B249" s="59">
        <v>458078</v>
      </c>
      <c r="C249" s="796"/>
      <c r="D249" s="796"/>
      <c r="E249" s="59" t="s">
        <v>1387</v>
      </c>
      <c r="F249" s="59">
        <v>458078</v>
      </c>
      <c r="G249" s="796"/>
      <c r="H249" s="796"/>
      <c r="I249" s="796"/>
      <c r="J249" s="796"/>
      <c r="K249" s="796"/>
      <c r="L249" s="796"/>
      <c r="M249" s="796"/>
      <c r="N249" s="796"/>
      <c r="O249" s="796"/>
      <c r="P249" s="796"/>
      <c r="Q249" s="796"/>
      <c r="R249" s="796"/>
      <c r="S249" s="796"/>
      <c r="T249" s="796"/>
      <c r="U249" s="796"/>
      <c r="V249" s="796"/>
      <c r="W249" s="796"/>
      <c r="X249" s="796"/>
      <c r="Y249" s="796"/>
      <c r="Z249" s="796"/>
      <c r="AA249" s="796"/>
      <c r="AB249" s="796"/>
      <c r="AC249" s="796"/>
      <c r="AD249" s="796"/>
      <c r="AE249" s="796"/>
      <c r="AF249" s="796"/>
      <c r="AG249" s="796"/>
      <c r="AH249" s="796"/>
      <c r="AI249" s="796"/>
      <c r="AJ249" s="796"/>
      <c r="AK249" s="796"/>
      <c r="AL249" s="796"/>
      <c r="AM249" s="796"/>
      <c r="AN249" s="796"/>
    </row>
    <row r="250" spans="1:40" x14ac:dyDescent="0.25">
      <c r="A250" s="796"/>
      <c r="B250" s="59" t="s">
        <v>795</v>
      </c>
      <c r="C250" s="796"/>
      <c r="D250" s="796"/>
      <c r="E250" s="59" t="s">
        <v>1287</v>
      </c>
      <c r="F250" s="59" t="s">
        <v>795</v>
      </c>
      <c r="G250" s="796"/>
      <c r="H250" s="796"/>
      <c r="I250" s="796"/>
      <c r="J250" s="796"/>
      <c r="K250" s="796"/>
      <c r="L250" s="796"/>
      <c r="M250" s="796"/>
      <c r="N250" s="796"/>
      <c r="O250" s="796"/>
      <c r="P250" s="796"/>
      <c r="Q250" s="796"/>
      <c r="R250" s="796"/>
      <c r="S250" s="796"/>
      <c r="T250" s="796"/>
      <c r="U250" s="796"/>
      <c r="V250" s="796"/>
      <c r="W250" s="796"/>
      <c r="X250" s="796"/>
      <c r="Y250" s="796"/>
      <c r="Z250" s="796"/>
      <c r="AA250" s="796"/>
      <c r="AB250" s="796"/>
      <c r="AC250" s="796"/>
      <c r="AD250" s="796"/>
      <c r="AE250" s="796"/>
      <c r="AF250" s="796"/>
      <c r="AG250" s="796"/>
      <c r="AH250" s="796"/>
      <c r="AI250" s="796"/>
      <c r="AJ250" s="796"/>
      <c r="AK250" s="796"/>
      <c r="AL250" s="796"/>
      <c r="AM250" s="796"/>
      <c r="AN250" s="796"/>
    </row>
    <row r="251" spans="1:40" x14ac:dyDescent="0.25">
      <c r="A251" s="796"/>
      <c r="B251" s="59" t="s">
        <v>290</v>
      </c>
      <c r="C251" s="796"/>
      <c r="D251" s="796"/>
      <c r="E251" s="59" t="s">
        <v>289</v>
      </c>
      <c r="F251" s="59" t="s">
        <v>290</v>
      </c>
      <c r="G251" s="796"/>
      <c r="H251" s="796"/>
      <c r="I251" s="796"/>
      <c r="J251" s="796"/>
      <c r="K251" s="796"/>
      <c r="L251" s="796"/>
      <c r="M251" s="796"/>
      <c r="N251" s="796"/>
      <c r="O251" s="796"/>
      <c r="P251" s="796"/>
      <c r="Q251" s="796"/>
      <c r="R251" s="796"/>
      <c r="S251" s="796"/>
      <c r="T251" s="796"/>
      <c r="U251" s="796"/>
      <c r="V251" s="796"/>
      <c r="W251" s="796"/>
      <c r="X251" s="796"/>
      <c r="Y251" s="796"/>
      <c r="Z251" s="796"/>
      <c r="AA251" s="796"/>
      <c r="AB251" s="796"/>
      <c r="AC251" s="796"/>
      <c r="AD251" s="796"/>
      <c r="AE251" s="796"/>
      <c r="AF251" s="796"/>
      <c r="AG251" s="796"/>
      <c r="AH251" s="796"/>
      <c r="AI251" s="796"/>
      <c r="AJ251" s="796"/>
      <c r="AK251" s="796"/>
      <c r="AL251" s="796"/>
      <c r="AM251" s="796"/>
      <c r="AN251" s="796"/>
    </row>
    <row r="252" spans="1:40" x14ac:dyDescent="0.25">
      <c r="A252" s="796"/>
      <c r="B252" s="59">
        <v>4003</v>
      </c>
      <c r="C252" s="796"/>
      <c r="D252" s="796"/>
      <c r="E252" s="59" t="s">
        <v>1306</v>
      </c>
      <c r="F252" s="59">
        <v>4003</v>
      </c>
      <c r="G252" s="796"/>
      <c r="H252" s="796"/>
      <c r="I252" s="796"/>
      <c r="J252" s="796"/>
      <c r="K252" s="796"/>
      <c r="L252" s="796"/>
      <c r="M252" s="796"/>
      <c r="N252" s="796"/>
      <c r="O252" s="796"/>
      <c r="P252" s="796"/>
      <c r="Q252" s="796"/>
      <c r="R252" s="796"/>
      <c r="S252" s="796"/>
      <c r="T252" s="796"/>
      <c r="U252" s="796"/>
      <c r="V252" s="796"/>
      <c r="W252" s="796"/>
      <c r="X252" s="796"/>
      <c r="Y252" s="796"/>
      <c r="Z252" s="796"/>
      <c r="AA252" s="796"/>
      <c r="AB252" s="796"/>
      <c r="AC252" s="796"/>
      <c r="AD252" s="796"/>
      <c r="AE252" s="796"/>
      <c r="AF252" s="796"/>
      <c r="AG252" s="796"/>
      <c r="AH252" s="796"/>
      <c r="AI252" s="796"/>
      <c r="AJ252" s="796"/>
      <c r="AK252" s="796"/>
      <c r="AL252" s="796"/>
      <c r="AM252" s="796"/>
      <c r="AN252" s="796"/>
    </row>
    <row r="253" spans="1:40" x14ac:dyDescent="0.25">
      <c r="A253" s="796"/>
      <c r="B253" s="59" t="s">
        <v>798</v>
      </c>
      <c r="C253" s="796"/>
      <c r="D253" s="796"/>
      <c r="E253" s="59" t="s">
        <v>797</v>
      </c>
      <c r="F253" s="59" t="s">
        <v>798</v>
      </c>
      <c r="G253" s="796"/>
      <c r="H253" s="796"/>
      <c r="I253" s="796"/>
      <c r="J253" s="796"/>
      <c r="K253" s="796"/>
      <c r="L253" s="796"/>
      <c r="M253" s="796"/>
      <c r="N253" s="796"/>
      <c r="O253" s="796"/>
      <c r="P253" s="796"/>
      <c r="Q253" s="796"/>
      <c r="R253" s="796"/>
      <c r="S253" s="796"/>
      <c r="T253" s="796"/>
      <c r="U253" s="796"/>
      <c r="V253" s="796"/>
      <c r="W253" s="796"/>
      <c r="X253" s="796"/>
      <c r="Y253" s="796"/>
      <c r="Z253" s="796"/>
      <c r="AA253" s="796"/>
      <c r="AB253" s="796"/>
      <c r="AC253" s="796"/>
      <c r="AD253" s="796"/>
      <c r="AE253" s="796"/>
      <c r="AF253" s="796"/>
      <c r="AG253" s="796"/>
      <c r="AH253" s="796"/>
      <c r="AI253" s="796"/>
      <c r="AJ253" s="796"/>
      <c r="AK253" s="796"/>
      <c r="AL253" s="796"/>
      <c r="AM253" s="796"/>
      <c r="AN253" s="796"/>
    </row>
    <row r="254" spans="1:40" x14ac:dyDescent="0.25">
      <c r="A254" s="796"/>
      <c r="B254" s="59" t="s">
        <v>293</v>
      </c>
      <c r="C254" s="796"/>
      <c r="D254" s="796"/>
      <c r="E254" s="59" t="s">
        <v>291</v>
      </c>
      <c r="F254" s="59" t="s">
        <v>293</v>
      </c>
      <c r="G254" s="796"/>
      <c r="H254" s="796"/>
      <c r="I254" s="796"/>
      <c r="J254" s="796"/>
      <c r="K254" s="796"/>
      <c r="L254" s="796"/>
      <c r="M254" s="796"/>
      <c r="N254" s="796"/>
      <c r="O254" s="796"/>
      <c r="P254" s="796"/>
      <c r="Q254" s="796"/>
      <c r="R254" s="796"/>
      <c r="S254" s="796"/>
      <c r="T254" s="796"/>
      <c r="U254" s="796"/>
      <c r="V254" s="796"/>
      <c r="W254" s="796"/>
      <c r="X254" s="796"/>
      <c r="Y254" s="796"/>
      <c r="Z254" s="796"/>
      <c r="AA254" s="796"/>
      <c r="AB254" s="796"/>
      <c r="AC254" s="796"/>
      <c r="AD254" s="796"/>
      <c r="AE254" s="796"/>
      <c r="AF254" s="796"/>
      <c r="AG254" s="796"/>
      <c r="AH254" s="796"/>
      <c r="AI254" s="796"/>
      <c r="AJ254" s="796"/>
      <c r="AK254" s="796"/>
      <c r="AL254" s="796"/>
      <c r="AM254" s="796"/>
      <c r="AN254" s="796"/>
    </row>
    <row r="255" spans="1:40" x14ac:dyDescent="0.25">
      <c r="A255" s="796"/>
      <c r="B255" s="59">
        <v>4178</v>
      </c>
      <c r="C255" s="796"/>
      <c r="D255" s="796"/>
      <c r="E255" s="59" t="s">
        <v>111</v>
      </c>
      <c r="F255" s="59">
        <v>4178</v>
      </c>
      <c r="G255" s="796"/>
      <c r="H255" s="796"/>
      <c r="I255" s="796"/>
      <c r="J255" s="796"/>
      <c r="K255" s="796"/>
      <c r="L255" s="796"/>
      <c r="M255" s="796"/>
      <c r="N255" s="796"/>
      <c r="O255" s="796"/>
      <c r="P255" s="796"/>
      <c r="Q255" s="796"/>
      <c r="R255" s="796"/>
      <c r="S255" s="796"/>
      <c r="T255" s="796"/>
      <c r="U255" s="796"/>
      <c r="V255" s="796"/>
      <c r="W255" s="796"/>
      <c r="X255" s="796"/>
      <c r="Y255" s="796"/>
      <c r="Z255" s="796"/>
      <c r="AA255" s="796"/>
      <c r="AB255" s="796"/>
      <c r="AC255" s="796"/>
      <c r="AD255" s="796"/>
      <c r="AE255" s="796"/>
      <c r="AF255" s="796"/>
      <c r="AG255" s="796"/>
      <c r="AH255" s="796"/>
      <c r="AI255" s="796"/>
      <c r="AJ255" s="796"/>
      <c r="AK255" s="796"/>
      <c r="AL255" s="796"/>
      <c r="AM255" s="796"/>
      <c r="AN255" s="796"/>
    </row>
    <row r="256" spans="1:40" x14ac:dyDescent="0.25">
      <c r="A256" s="796"/>
      <c r="B256" s="59">
        <v>3158</v>
      </c>
      <c r="C256" s="796"/>
      <c r="D256" s="796"/>
      <c r="E256" s="59" t="s">
        <v>98</v>
      </c>
      <c r="F256" s="59">
        <v>3158</v>
      </c>
      <c r="G256" s="796"/>
      <c r="H256" s="796"/>
      <c r="I256" s="796"/>
      <c r="J256" s="796"/>
      <c r="K256" s="796"/>
      <c r="L256" s="796"/>
      <c r="M256" s="796"/>
      <c r="N256" s="796"/>
      <c r="O256" s="796"/>
      <c r="P256" s="796"/>
      <c r="Q256" s="796"/>
      <c r="R256" s="796"/>
      <c r="S256" s="796"/>
      <c r="T256" s="796"/>
      <c r="U256" s="796"/>
      <c r="V256" s="796"/>
      <c r="W256" s="796"/>
      <c r="X256" s="796"/>
      <c r="Y256" s="796"/>
      <c r="Z256" s="796"/>
      <c r="AA256" s="796"/>
      <c r="AB256" s="796"/>
      <c r="AC256" s="796"/>
      <c r="AD256" s="796"/>
      <c r="AE256" s="796"/>
      <c r="AF256" s="796"/>
      <c r="AG256" s="796"/>
      <c r="AH256" s="796"/>
      <c r="AI256" s="796"/>
      <c r="AJ256" s="796"/>
      <c r="AK256" s="796"/>
      <c r="AL256" s="796"/>
      <c r="AM256" s="796"/>
      <c r="AN256" s="796"/>
    </row>
    <row r="257" spans="1:40" x14ac:dyDescent="0.25">
      <c r="A257" s="796"/>
      <c r="B257" s="59">
        <v>2619</v>
      </c>
      <c r="C257" s="796"/>
      <c r="D257" s="796"/>
      <c r="E257" s="59" t="s">
        <v>32</v>
      </c>
      <c r="F257" s="59">
        <v>2619</v>
      </c>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row>
    <row r="258" spans="1:40" x14ac:dyDescent="0.25">
      <c r="A258" s="796"/>
      <c r="B258" s="59">
        <v>479542</v>
      </c>
      <c r="C258" s="796"/>
      <c r="D258" s="796"/>
      <c r="E258" s="59" t="s">
        <v>1388</v>
      </c>
      <c r="F258" s="59">
        <v>479542</v>
      </c>
      <c r="G258" s="796"/>
      <c r="H258" s="796"/>
      <c r="I258" s="796"/>
      <c r="J258" s="796"/>
      <c r="K258" s="796"/>
      <c r="L258" s="796"/>
      <c r="M258" s="796"/>
      <c r="N258" s="796"/>
      <c r="O258" s="796"/>
      <c r="P258" s="796"/>
      <c r="Q258" s="796"/>
      <c r="R258" s="796"/>
      <c r="S258" s="796"/>
      <c r="T258" s="796"/>
      <c r="U258" s="796"/>
      <c r="V258" s="796"/>
      <c r="W258" s="796"/>
      <c r="X258" s="796"/>
      <c r="Y258" s="796"/>
      <c r="Z258" s="796"/>
      <c r="AA258" s="796"/>
      <c r="AB258" s="796"/>
      <c r="AC258" s="796"/>
      <c r="AD258" s="796"/>
      <c r="AE258" s="796"/>
      <c r="AF258" s="796"/>
      <c r="AG258" s="796"/>
      <c r="AH258" s="796"/>
      <c r="AI258" s="796"/>
      <c r="AJ258" s="796"/>
      <c r="AK258" s="796"/>
      <c r="AL258" s="796"/>
      <c r="AM258" s="796"/>
      <c r="AN258" s="796"/>
    </row>
    <row r="259" spans="1:40" x14ac:dyDescent="0.25">
      <c r="A259" s="796"/>
      <c r="B259" s="59" t="s">
        <v>1390</v>
      </c>
      <c r="C259" s="796"/>
      <c r="D259" s="796"/>
      <c r="E259" s="59" t="s">
        <v>1389</v>
      </c>
      <c r="F259" s="59" t="s">
        <v>1390</v>
      </c>
      <c r="G259" s="796"/>
      <c r="H259" s="796"/>
      <c r="I259" s="796"/>
      <c r="J259" s="796"/>
      <c r="K259" s="796"/>
      <c r="L259" s="796"/>
      <c r="M259" s="796"/>
      <c r="N259" s="796"/>
      <c r="O259" s="796"/>
      <c r="P259" s="796"/>
      <c r="Q259" s="796"/>
      <c r="R259" s="796"/>
      <c r="S259" s="796"/>
      <c r="T259" s="796"/>
      <c r="U259" s="796"/>
      <c r="V259" s="796"/>
      <c r="W259" s="796"/>
      <c r="X259" s="796"/>
      <c r="Y259" s="796"/>
      <c r="Z259" s="796"/>
      <c r="AA259" s="796"/>
      <c r="AB259" s="796"/>
      <c r="AC259" s="796"/>
      <c r="AD259" s="796"/>
      <c r="AE259" s="796"/>
      <c r="AF259" s="796"/>
      <c r="AG259" s="796"/>
      <c r="AH259" s="796"/>
      <c r="AI259" s="796"/>
      <c r="AJ259" s="796"/>
      <c r="AK259" s="796"/>
      <c r="AL259" s="796"/>
      <c r="AM259" s="796"/>
      <c r="AN259" s="796"/>
    </row>
    <row r="260" spans="1:40" x14ac:dyDescent="0.25">
      <c r="A260" s="796"/>
      <c r="B260" s="59" t="s">
        <v>800</v>
      </c>
      <c r="C260" s="796"/>
      <c r="D260" s="796"/>
      <c r="E260" s="59" t="s">
        <v>799</v>
      </c>
      <c r="F260" s="59" t="s">
        <v>800</v>
      </c>
      <c r="G260" s="796"/>
      <c r="H260" s="796"/>
      <c r="I260" s="796"/>
      <c r="J260" s="796"/>
      <c r="K260" s="796"/>
      <c r="L260" s="796"/>
      <c r="M260" s="796"/>
      <c r="N260" s="796"/>
      <c r="O260" s="796"/>
      <c r="P260" s="796"/>
      <c r="Q260" s="796"/>
      <c r="R260" s="796"/>
      <c r="S260" s="796"/>
      <c r="T260" s="796"/>
      <c r="U260" s="796"/>
      <c r="V260" s="796"/>
      <c r="W260" s="796"/>
      <c r="X260" s="796"/>
      <c r="Y260" s="796"/>
      <c r="Z260" s="796"/>
      <c r="AA260" s="796"/>
      <c r="AB260" s="796"/>
      <c r="AC260" s="796"/>
      <c r="AD260" s="796"/>
      <c r="AE260" s="796"/>
      <c r="AF260" s="796"/>
      <c r="AG260" s="796"/>
      <c r="AH260" s="796"/>
      <c r="AI260" s="796"/>
      <c r="AJ260" s="796"/>
      <c r="AK260" s="796"/>
      <c r="AL260" s="796"/>
      <c r="AM260" s="796"/>
      <c r="AN260" s="796"/>
    </row>
    <row r="261" spans="1:40" x14ac:dyDescent="0.25">
      <c r="A261" s="796"/>
      <c r="B261" s="59">
        <v>487369</v>
      </c>
      <c r="C261" s="796"/>
      <c r="D261" s="796"/>
      <c r="E261" s="59" t="s">
        <v>1391</v>
      </c>
      <c r="F261" s="59">
        <v>487369</v>
      </c>
      <c r="G261" s="796"/>
      <c r="H261" s="796"/>
      <c r="I261" s="796"/>
      <c r="J261" s="796"/>
      <c r="K261" s="796"/>
      <c r="L261" s="796"/>
      <c r="M261" s="796"/>
      <c r="N261" s="796"/>
      <c r="O261" s="796"/>
      <c r="P261" s="796"/>
      <c r="Q261" s="796"/>
      <c r="R261" s="796"/>
      <c r="S261" s="796"/>
      <c r="T261" s="796"/>
      <c r="U261" s="796"/>
      <c r="V261" s="796"/>
      <c r="W261" s="796"/>
      <c r="X261" s="796"/>
      <c r="Y261" s="796"/>
      <c r="Z261" s="796"/>
      <c r="AA261" s="796"/>
      <c r="AB261" s="796"/>
      <c r="AC261" s="796"/>
      <c r="AD261" s="796"/>
      <c r="AE261" s="796"/>
      <c r="AF261" s="796"/>
      <c r="AG261" s="796"/>
      <c r="AH261" s="796"/>
      <c r="AI261" s="796"/>
      <c r="AJ261" s="796"/>
      <c r="AK261" s="796"/>
      <c r="AL261" s="796"/>
      <c r="AM261" s="796"/>
      <c r="AN261" s="796"/>
    </row>
    <row r="262" spans="1:40" x14ac:dyDescent="0.25">
      <c r="A262" s="796"/>
      <c r="B262" s="59">
        <v>477763</v>
      </c>
      <c r="C262" s="796"/>
      <c r="D262" s="796"/>
      <c r="E262" s="59" t="s">
        <v>1392</v>
      </c>
      <c r="F262" s="59">
        <v>477763</v>
      </c>
      <c r="G262" s="796"/>
      <c r="H262" s="796"/>
      <c r="I262" s="796"/>
      <c r="J262" s="796"/>
      <c r="K262" s="796"/>
      <c r="L262" s="796"/>
      <c r="M262" s="796"/>
      <c r="N262" s="796"/>
      <c r="O262" s="796"/>
      <c r="P262" s="796"/>
      <c r="Q262" s="796"/>
      <c r="R262" s="796"/>
      <c r="S262" s="796"/>
      <c r="T262" s="796"/>
      <c r="U262" s="796"/>
      <c r="V262" s="796"/>
      <c r="W262" s="796"/>
      <c r="X262" s="796"/>
      <c r="Y262" s="796"/>
      <c r="Z262" s="796"/>
      <c r="AA262" s="796"/>
      <c r="AB262" s="796"/>
      <c r="AC262" s="796"/>
      <c r="AD262" s="796"/>
      <c r="AE262" s="796"/>
      <c r="AF262" s="796"/>
      <c r="AG262" s="796"/>
      <c r="AH262" s="796"/>
      <c r="AI262" s="796"/>
      <c r="AJ262" s="796"/>
      <c r="AK262" s="796"/>
      <c r="AL262" s="796"/>
      <c r="AM262" s="796"/>
      <c r="AN262" s="796"/>
    </row>
    <row r="263" spans="1:40" x14ac:dyDescent="0.25">
      <c r="A263" s="796"/>
      <c r="B263" s="59" t="s">
        <v>295</v>
      </c>
      <c r="C263" s="796"/>
      <c r="D263" s="796"/>
      <c r="E263" s="59" t="s">
        <v>294</v>
      </c>
      <c r="F263" s="59" t="s">
        <v>295</v>
      </c>
      <c r="G263" s="796"/>
      <c r="H263" s="796"/>
      <c r="I263" s="796"/>
      <c r="J263" s="796"/>
      <c r="K263" s="796"/>
      <c r="L263" s="796"/>
      <c r="M263" s="796"/>
      <c r="N263" s="796"/>
      <c r="O263" s="796"/>
      <c r="P263" s="796"/>
      <c r="Q263" s="796"/>
      <c r="R263" s="796"/>
      <c r="S263" s="796"/>
      <c r="T263" s="796"/>
      <c r="U263" s="796"/>
      <c r="V263" s="796"/>
      <c r="W263" s="796"/>
      <c r="X263" s="796"/>
      <c r="Y263" s="796"/>
      <c r="Z263" s="796"/>
      <c r="AA263" s="796"/>
      <c r="AB263" s="796"/>
      <c r="AC263" s="796"/>
      <c r="AD263" s="796"/>
      <c r="AE263" s="796"/>
      <c r="AF263" s="796"/>
      <c r="AG263" s="796"/>
      <c r="AH263" s="796"/>
      <c r="AI263" s="796"/>
      <c r="AJ263" s="796"/>
      <c r="AK263" s="796"/>
      <c r="AL263" s="796"/>
      <c r="AM263" s="796"/>
      <c r="AN263" s="796"/>
    </row>
    <row r="264" spans="1:40" x14ac:dyDescent="0.25">
      <c r="A264" s="796"/>
      <c r="B264" s="59">
        <v>258417</v>
      </c>
      <c r="C264" s="796"/>
      <c r="D264" s="796"/>
      <c r="E264" s="59" t="s">
        <v>296</v>
      </c>
      <c r="F264" s="59">
        <v>258417</v>
      </c>
      <c r="G264" s="796"/>
      <c r="H264" s="796"/>
      <c r="I264" s="796"/>
      <c r="J264" s="796"/>
      <c r="K264" s="796"/>
      <c r="L264" s="796"/>
      <c r="M264" s="796"/>
      <c r="N264" s="796"/>
      <c r="O264" s="796"/>
      <c r="P264" s="796"/>
      <c r="Q264" s="796"/>
      <c r="R264" s="796"/>
      <c r="S264" s="796"/>
      <c r="T264" s="796"/>
      <c r="U264" s="796"/>
      <c r="V264" s="796"/>
      <c r="W264" s="796"/>
      <c r="X264" s="796"/>
      <c r="Y264" s="796"/>
      <c r="Z264" s="796"/>
      <c r="AA264" s="796"/>
      <c r="AB264" s="796"/>
      <c r="AC264" s="796"/>
      <c r="AD264" s="796"/>
      <c r="AE264" s="796"/>
      <c r="AF264" s="796"/>
      <c r="AG264" s="796"/>
      <c r="AH264" s="796"/>
      <c r="AI264" s="796"/>
      <c r="AJ264" s="796"/>
      <c r="AK264" s="796"/>
      <c r="AL264" s="796"/>
      <c r="AM264" s="796"/>
      <c r="AN264" s="796"/>
    </row>
    <row r="265" spans="1:40" x14ac:dyDescent="0.25">
      <c r="A265" s="796"/>
      <c r="B265" s="59" t="s">
        <v>300</v>
      </c>
      <c r="C265" s="796"/>
      <c r="D265" s="796"/>
      <c r="E265" s="59" t="s">
        <v>298</v>
      </c>
      <c r="F265" s="59" t="s">
        <v>300</v>
      </c>
      <c r="G265" s="796"/>
      <c r="H265" s="796"/>
      <c r="I265" s="796"/>
      <c r="J265" s="796"/>
      <c r="K265" s="796"/>
      <c r="L265" s="796"/>
      <c r="M265" s="796"/>
      <c r="N265" s="796"/>
      <c r="O265" s="796"/>
      <c r="P265" s="796"/>
      <c r="Q265" s="796"/>
      <c r="R265" s="796"/>
      <c r="S265" s="796"/>
      <c r="T265" s="796"/>
      <c r="U265" s="796"/>
      <c r="V265" s="796"/>
      <c r="W265" s="796"/>
      <c r="X265" s="796"/>
      <c r="Y265" s="796"/>
      <c r="Z265" s="796"/>
      <c r="AA265" s="796"/>
      <c r="AB265" s="796"/>
      <c r="AC265" s="796"/>
      <c r="AD265" s="796"/>
      <c r="AE265" s="796"/>
      <c r="AF265" s="796"/>
      <c r="AG265" s="796"/>
      <c r="AH265" s="796"/>
      <c r="AI265" s="796"/>
      <c r="AJ265" s="796"/>
      <c r="AK265" s="796"/>
      <c r="AL265" s="796"/>
      <c r="AM265" s="796"/>
      <c r="AN265" s="796"/>
    </row>
    <row r="266" spans="1:40" x14ac:dyDescent="0.25">
      <c r="A266" s="796"/>
      <c r="B266" s="59" t="s">
        <v>303</v>
      </c>
      <c r="C266" s="796"/>
      <c r="D266" s="796"/>
      <c r="E266" s="59" t="s">
        <v>301</v>
      </c>
      <c r="F266" s="59" t="s">
        <v>303</v>
      </c>
      <c r="G266" s="796"/>
      <c r="H266" s="796"/>
      <c r="I266" s="796"/>
      <c r="J266" s="796"/>
      <c r="K266" s="796"/>
      <c r="L266" s="796"/>
      <c r="M266" s="796"/>
      <c r="N266" s="796"/>
      <c r="O266" s="796"/>
      <c r="P266" s="796"/>
      <c r="Q266" s="796"/>
      <c r="R266" s="796"/>
      <c r="S266" s="796"/>
      <c r="T266" s="796"/>
      <c r="U266" s="796"/>
      <c r="V266" s="796"/>
      <c r="W266" s="796"/>
      <c r="X266" s="796"/>
      <c r="Y266" s="796"/>
      <c r="Z266" s="796"/>
      <c r="AA266" s="796"/>
      <c r="AB266" s="796"/>
      <c r="AC266" s="796"/>
      <c r="AD266" s="796"/>
      <c r="AE266" s="796"/>
      <c r="AF266" s="796"/>
      <c r="AG266" s="796"/>
      <c r="AH266" s="796"/>
      <c r="AI266" s="796"/>
      <c r="AJ266" s="796"/>
      <c r="AK266" s="796"/>
      <c r="AL266" s="796"/>
      <c r="AM266" s="796"/>
      <c r="AN266" s="796"/>
    </row>
    <row r="267" spans="1:40" x14ac:dyDescent="0.25">
      <c r="A267" s="796"/>
      <c r="B267" s="59">
        <v>2518</v>
      </c>
      <c r="C267" s="796"/>
      <c r="D267" s="796"/>
      <c r="E267" s="59" t="s">
        <v>33</v>
      </c>
      <c r="F267" s="59">
        <v>2518</v>
      </c>
      <c r="G267" s="796"/>
      <c r="H267" s="796"/>
      <c r="I267" s="796"/>
      <c r="J267" s="796"/>
      <c r="K267" s="796"/>
      <c r="L267" s="796"/>
      <c r="M267" s="796"/>
      <c r="N267" s="796"/>
      <c r="O267" s="796"/>
      <c r="P267" s="796"/>
      <c r="Q267" s="796"/>
      <c r="R267" s="796"/>
      <c r="S267" s="796"/>
      <c r="T267" s="796"/>
      <c r="U267" s="796"/>
      <c r="V267" s="796"/>
      <c r="W267" s="796"/>
      <c r="X267" s="796"/>
      <c r="Y267" s="796"/>
      <c r="Z267" s="796"/>
      <c r="AA267" s="796"/>
      <c r="AB267" s="796"/>
      <c r="AC267" s="796"/>
      <c r="AD267" s="796"/>
      <c r="AE267" s="796"/>
      <c r="AF267" s="796"/>
      <c r="AG267" s="796"/>
      <c r="AH267" s="796"/>
      <c r="AI267" s="796"/>
      <c r="AJ267" s="796"/>
      <c r="AK267" s="796"/>
      <c r="AL267" s="796"/>
      <c r="AM267" s="796"/>
      <c r="AN267" s="796"/>
    </row>
    <row r="268" spans="1:40" x14ac:dyDescent="0.25">
      <c r="A268" s="796"/>
      <c r="B268" s="59" t="s">
        <v>802</v>
      </c>
      <c r="C268" s="796"/>
      <c r="D268" s="796"/>
      <c r="E268" s="59" t="s">
        <v>801</v>
      </c>
      <c r="F268" s="59" t="s">
        <v>802</v>
      </c>
      <c r="G268" s="796"/>
      <c r="H268" s="796"/>
      <c r="I268" s="796"/>
      <c r="J268" s="796"/>
      <c r="K268" s="796"/>
      <c r="L268" s="796"/>
      <c r="M268" s="796"/>
      <c r="N268" s="796"/>
      <c r="O268" s="796"/>
      <c r="P268" s="796"/>
      <c r="Q268" s="796"/>
      <c r="R268" s="796"/>
      <c r="S268" s="796"/>
      <c r="T268" s="796"/>
      <c r="U268" s="796"/>
      <c r="V268" s="796"/>
      <c r="W268" s="796"/>
      <c r="X268" s="796"/>
      <c r="Y268" s="796"/>
      <c r="Z268" s="796"/>
      <c r="AA268" s="796"/>
      <c r="AB268" s="796"/>
      <c r="AC268" s="796"/>
      <c r="AD268" s="796"/>
      <c r="AE268" s="796"/>
      <c r="AF268" s="796"/>
      <c r="AG268" s="796"/>
      <c r="AH268" s="796"/>
      <c r="AI268" s="796"/>
      <c r="AJ268" s="796"/>
      <c r="AK268" s="796"/>
      <c r="AL268" s="796"/>
      <c r="AM268" s="796"/>
      <c r="AN268" s="796"/>
    </row>
    <row r="269" spans="1:40" x14ac:dyDescent="0.25">
      <c r="A269" s="796"/>
      <c r="B269" s="59">
        <v>206106</v>
      </c>
      <c r="C269" s="796"/>
      <c r="D269" s="796"/>
      <c r="E269" s="59" t="s">
        <v>304</v>
      </c>
      <c r="F269" s="59">
        <v>206106</v>
      </c>
      <c r="G269" s="796"/>
      <c r="H269" s="796"/>
      <c r="I269" s="796"/>
      <c r="J269" s="796"/>
      <c r="K269" s="796"/>
      <c r="L269" s="796"/>
      <c r="M269" s="796"/>
      <c r="N269" s="796"/>
      <c r="O269" s="796"/>
      <c r="P269" s="796"/>
      <c r="Q269" s="796"/>
      <c r="R269" s="796"/>
      <c r="S269" s="796"/>
      <c r="T269" s="796"/>
      <c r="U269" s="796"/>
      <c r="V269" s="796"/>
      <c r="W269" s="796"/>
      <c r="X269" s="796"/>
      <c r="Y269" s="796"/>
      <c r="Z269" s="796"/>
      <c r="AA269" s="796"/>
      <c r="AB269" s="796"/>
      <c r="AC269" s="796"/>
      <c r="AD269" s="796"/>
      <c r="AE269" s="796"/>
      <c r="AF269" s="796"/>
      <c r="AG269" s="796"/>
      <c r="AH269" s="796"/>
      <c r="AI269" s="796"/>
      <c r="AJ269" s="796"/>
      <c r="AK269" s="796"/>
      <c r="AL269" s="796"/>
      <c r="AM269" s="796"/>
      <c r="AN269" s="796"/>
    </row>
    <row r="270" spans="1:40" x14ac:dyDescent="0.25">
      <c r="A270" s="796"/>
      <c r="B270" s="59" t="s">
        <v>307</v>
      </c>
      <c r="C270" s="796"/>
      <c r="D270" s="796"/>
      <c r="E270" s="59" t="s">
        <v>306</v>
      </c>
      <c r="F270" s="59" t="s">
        <v>307</v>
      </c>
      <c r="G270" s="796"/>
      <c r="H270" s="796"/>
      <c r="I270" s="796"/>
      <c r="J270" s="796"/>
      <c r="K270" s="796"/>
      <c r="L270" s="796"/>
      <c r="M270" s="796"/>
      <c r="N270" s="796"/>
      <c r="O270" s="796"/>
      <c r="P270" s="796"/>
      <c r="Q270" s="796"/>
      <c r="R270" s="796"/>
      <c r="S270" s="796"/>
      <c r="T270" s="796"/>
      <c r="U270" s="796"/>
      <c r="V270" s="796"/>
      <c r="W270" s="796"/>
      <c r="X270" s="796"/>
      <c r="Y270" s="796"/>
      <c r="Z270" s="796"/>
      <c r="AA270" s="796"/>
      <c r="AB270" s="796"/>
      <c r="AC270" s="796"/>
      <c r="AD270" s="796"/>
      <c r="AE270" s="796"/>
      <c r="AF270" s="796"/>
      <c r="AG270" s="796"/>
      <c r="AH270" s="796"/>
      <c r="AI270" s="796"/>
      <c r="AJ270" s="796"/>
      <c r="AK270" s="796"/>
      <c r="AL270" s="796"/>
      <c r="AM270" s="796"/>
      <c r="AN270" s="796"/>
    </row>
    <row r="271" spans="1:40" x14ac:dyDescent="0.25">
      <c r="A271" s="796"/>
      <c r="B271" s="59" t="s">
        <v>804</v>
      </c>
      <c r="C271" s="796"/>
      <c r="D271" s="796"/>
      <c r="E271" s="59" t="s">
        <v>803</v>
      </c>
      <c r="F271" s="59" t="s">
        <v>804</v>
      </c>
      <c r="G271" s="796"/>
      <c r="H271" s="796"/>
      <c r="I271" s="796"/>
      <c r="J271" s="796"/>
      <c r="K271" s="796"/>
      <c r="L271" s="796"/>
      <c r="M271" s="796"/>
      <c r="N271" s="796"/>
      <c r="O271" s="796"/>
      <c r="P271" s="796"/>
      <c r="Q271" s="796"/>
      <c r="R271" s="796"/>
      <c r="S271" s="796"/>
      <c r="T271" s="796"/>
      <c r="U271" s="796"/>
      <c r="V271" s="796"/>
      <c r="W271" s="796"/>
      <c r="X271" s="796"/>
      <c r="Y271" s="796"/>
      <c r="Z271" s="796"/>
      <c r="AA271" s="796"/>
      <c r="AB271" s="796"/>
      <c r="AC271" s="796"/>
      <c r="AD271" s="796"/>
      <c r="AE271" s="796"/>
      <c r="AF271" s="796"/>
      <c r="AG271" s="796"/>
      <c r="AH271" s="796"/>
      <c r="AI271" s="796"/>
      <c r="AJ271" s="796"/>
      <c r="AK271" s="796"/>
      <c r="AL271" s="796"/>
      <c r="AM271" s="796"/>
      <c r="AN271" s="796"/>
    </row>
    <row r="272" spans="1:40" x14ac:dyDescent="0.25">
      <c r="A272" s="796"/>
      <c r="B272" s="59">
        <v>2457</v>
      </c>
      <c r="C272" s="796"/>
      <c r="D272" s="796"/>
      <c r="E272" s="59" t="s">
        <v>34</v>
      </c>
      <c r="F272" s="59">
        <v>2457</v>
      </c>
      <c r="G272" s="796"/>
      <c r="H272" s="796"/>
      <c r="I272" s="796"/>
      <c r="J272" s="796"/>
      <c r="K272" s="796"/>
      <c r="L272" s="796"/>
      <c r="M272" s="796"/>
      <c r="N272" s="796"/>
      <c r="O272" s="796"/>
      <c r="P272" s="796"/>
      <c r="Q272" s="796"/>
      <c r="R272" s="796"/>
      <c r="S272" s="796"/>
      <c r="T272" s="796"/>
      <c r="U272" s="796"/>
      <c r="V272" s="796"/>
      <c r="W272" s="796"/>
      <c r="X272" s="796"/>
      <c r="Y272" s="796"/>
      <c r="Z272" s="796"/>
      <c r="AA272" s="796"/>
      <c r="AB272" s="796"/>
      <c r="AC272" s="796"/>
      <c r="AD272" s="796"/>
      <c r="AE272" s="796"/>
      <c r="AF272" s="796"/>
      <c r="AG272" s="796"/>
      <c r="AH272" s="796"/>
      <c r="AI272" s="796"/>
      <c r="AJ272" s="796"/>
      <c r="AK272" s="796"/>
      <c r="AL272" s="796"/>
      <c r="AM272" s="796"/>
      <c r="AN272" s="796"/>
    </row>
    <row r="273" spans="1:40" x14ac:dyDescent="0.25">
      <c r="A273" s="796"/>
      <c r="B273" s="59">
        <v>2010</v>
      </c>
      <c r="C273" s="796"/>
      <c r="D273" s="796"/>
      <c r="E273" s="59" t="s">
        <v>99</v>
      </c>
      <c r="F273" s="59">
        <v>2010</v>
      </c>
      <c r="G273" s="796"/>
      <c r="H273" s="796"/>
      <c r="I273" s="796"/>
      <c r="J273" s="796"/>
      <c r="K273" s="796"/>
      <c r="L273" s="796"/>
      <c r="M273" s="796"/>
      <c r="N273" s="796"/>
      <c r="O273" s="796"/>
      <c r="P273" s="796"/>
      <c r="Q273" s="796"/>
      <c r="R273" s="796"/>
      <c r="S273" s="796"/>
      <c r="T273" s="796"/>
      <c r="U273" s="796"/>
      <c r="V273" s="796"/>
      <c r="W273" s="796"/>
      <c r="X273" s="796"/>
      <c r="Y273" s="796"/>
      <c r="Z273" s="796"/>
      <c r="AA273" s="796"/>
      <c r="AB273" s="796"/>
      <c r="AC273" s="796"/>
      <c r="AD273" s="796"/>
      <c r="AE273" s="796"/>
      <c r="AF273" s="796"/>
      <c r="AG273" s="796"/>
      <c r="AH273" s="796"/>
      <c r="AI273" s="796"/>
      <c r="AJ273" s="796"/>
      <c r="AK273" s="796"/>
      <c r="AL273" s="796"/>
      <c r="AM273" s="796"/>
      <c r="AN273" s="796"/>
    </row>
    <row r="274" spans="1:40" x14ac:dyDescent="0.25">
      <c r="A274" s="796"/>
      <c r="B274" s="59">
        <v>2002</v>
      </c>
      <c r="C274" s="796"/>
      <c r="D274" s="796"/>
      <c r="E274" s="59" t="s">
        <v>35</v>
      </c>
      <c r="F274" s="59">
        <v>2002</v>
      </c>
      <c r="G274" s="796"/>
      <c r="H274" s="796"/>
      <c r="I274" s="796"/>
      <c r="J274" s="796"/>
      <c r="K274" s="796"/>
      <c r="L274" s="796"/>
      <c r="M274" s="796"/>
      <c r="N274" s="796"/>
      <c r="O274" s="796"/>
      <c r="P274" s="796"/>
      <c r="Q274" s="796"/>
      <c r="R274" s="796"/>
      <c r="S274" s="796"/>
      <c r="T274" s="796"/>
      <c r="U274" s="796"/>
      <c r="V274" s="796"/>
      <c r="W274" s="796"/>
      <c r="X274" s="796"/>
      <c r="Y274" s="796"/>
      <c r="Z274" s="796"/>
      <c r="AA274" s="796"/>
      <c r="AB274" s="796"/>
      <c r="AC274" s="796"/>
      <c r="AD274" s="796"/>
      <c r="AE274" s="796"/>
      <c r="AF274" s="796"/>
      <c r="AG274" s="796"/>
      <c r="AH274" s="796"/>
      <c r="AI274" s="796"/>
      <c r="AJ274" s="796"/>
      <c r="AK274" s="796"/>
      <c r="AL274" s="796"/>
      <c r="AM274" s="796"/>
      <c r="AN274" s="796"/>
    </row>
    <row r="275" spans="1:40" x14ac:dyDescent="0.25">
      <c r="A275" s="796"/>
      <c r="B275" s="59">
        <v>3544</v>
      </c>
      <c r="C275" s="796"/>
      <c r="D275" s="796"/>
      <c r="E275" s="59" t="s">
        <v>36</v>
      </c>
      <c r="F275" s="59">
        <v>3544</v>
      </c>
      <c r="G275" s="796"/>
      <c r="H275" s="796"/>
      <c r="I275" s="796"/>
      <c r="J275" s="796"/>
      <c r="K275" s="796"/>
      <c r="L275" s="796"/>
      <c r="M275" s="796"/>
      <c r="N275" s="796"/>
      <c r="O275" s="796"/>
      <c r="P275" s="796"/>
      <c r="Q275" s="796"/>
      <c r="R275" s="796"/>
      <c r="S275" s="796"/>
      <c r="T275" s="796"/>
      <c r="U275" s="796"/>
      <c r="V275" s="796"/>
      <c r="W275" s="796"/>
      <c r="X275" s="796"/>
      <c r="Y275" s="796"/>
      <c r="Z275" s="796"/>
      <c r="AA275" s="796"/>
      <c r="AB275" s="796"/>
      <c r="AC275" s="796"/>
      <c r="AD275" s="796"/>
      <c r="AE275" s="796"/>
      <c r="AF275" s="796"/>
      <c r="AG275" s="796"/>
      <c r="AH275" s="796"/>
      <c r="AI275" s="796"/>
      <c r="AJ275" s="796"/>
      <c r="AK275" s="796"/>
      <c r="AL275" s="796"/>
      <c r="AM275" s="796"/>
      <c r="AN275" s="796"/>
    </row>
    <row r="276" spans="1:40" x14ac:dyDescent="0.25">
      <c r="A276" s="796"/>
      <c r="B276" s="59">
        <v>1008</v>
      </c>
      <c r="C276" s="796"/>
      <c r="D276" s="796"/>
      <c r="E276" s="59" t="s">
        <v>5</v>
      </c>
      <c r="F276" s="59">
        <v>1008</v>
      </c>
      <c r="G276" s="796"/>
      <c r="H276" s="796"/>
      <c r="I276" s="796"/>
      <c r="J276" s="796"/>
      <c r="K276" s="796"/>
      <c r="L276" s="796"/>
      <c r="M276" s="796"/>
      <c r="N276" s="796"/>
      <c r="O276" s="796"/>
      <c r="P276" s="796"/>
      <c r="Q276" s="796"/>
      <c r="R276" s="796"/>
      <c r="S276" s="796"/>
      <c r="T276" s="796"/>
      <c r="U276" s="796"/>
      <c r="V276" s="796"/>
      <c r="W276" s="796"/>
      <c r="X276" s="796"/>
      <c r="Y276" s="796"/>
      <c r="Z276" s="796"/>
      <c r="AA276" s="796"/>
      <c r="AB276" s="796"/>
      <c r="AC276" s="796"/>
      <c r="AD276" s="796"/>
      <c r="AE276" s="796"/>
      <c r="AF276" s="796"/>
      <c r="AG276" s="796"/>
      <c r="AH276" s="796"/>
      <c r="AI276" s="796"/>
      <c r="AJ276" s="796"/>
      <c r="AK276" s="796"/>
      <c r="AL276" s="796"/>
      <c r="AM276" s="796"/>
      <c r="AN276" s="796"/>
    </row>
    <row r="277" spans="1:40" x14ac:dyDescent="0.25">
      <c r="A277" s="796"/>
      <c r="B277" s="59" t="s">
        <v>309</v>
      </c>
      <c r="C277" s="796"/>
      <c r="D277" s="796"/>
      <c r="E277" s="59" t="s">
        <v>308</v>
      </c>
      <c r="F277" s="59" t="s">
        <v>309</v>
      </c>
      <c r="G277" s="796"/>
      <c r="H277" s="796"/>
      <c r="I277" s="796"/>
      <c r="J277" s="796"/>
      <c r="K277" s="796"/>
      <c r="L277" s="796"/>
      <c r="M277" s="796"/>
      <c r="N277" s="796"/>
      <c r="O277" s="796"/>
      <c r="P277" s="796"/>
      <c r="Q277" s="796"/>
      <c r="R277" s="796"/>
      <c r="S277" s="796"/>
      <c r="T277" s="796"/>
      <c r="U277" s="796"/>
      <c r="V277" s="796"/>
      <c r="W277" s="796"/>
      <c r="X277" s="796"/>
      <c r="Y277" s="796"/>
      <c r="Z277" s="796"/>
      <c r="AA277" s="796"/>
      <c r="AB277" s="796"/>
      <c r="AC277" s="796"/>
      <c r="AD277" s="796"/>
      <c r="AE277" s="796"/>
      <c r="AF277" s="796"/>
      <c r="AG277" s="796"/>
      <c r="AH277" s="796"/>
      <c r="AI277" s="796"/>
      <c r="AJ277" s="796"/>
      <c r="AK277" s="796"/>
      <c r="AL277" s="796"/>
      <c r="AM277" s="796"/>
      <c r="AN277" s="796"/>
    </row>
    <row r="278" spans="1:40" x14ac:dyDescent="0.25">
      <c r="A278" s="796"/>
      <c r="B278" s="59">
        <v>2006</v>
      </c>
      <c r="C278" s="796"/>
      <c r="D278" s="796"/>
      <c r="E278" s="59" t="s">
        <v>100</v>
      </c>
      <c r="F278" s="59">
        <v>2006</v>
      </c>
      <c r="G278" s="796"/>
      <c r="H278" s="796"/>
      <c r="I278" s="796"/>
      <c r="J278" s="796"/>
      <c r="K278" s="796"/>
      <c r="L278" s="796"/>
      <c r="M278" s="796"/>
      <c r="N278" s="796"/>
      <c r="O278" s="796"/>
      <c r="P278" s="796"/>
      <c r="Q278" s="796"/>
      <c r="R278" s="796"/>
      <c r="S278" s="796"/>
      <c r="T278" s="796"/>
      <c r="U278" s="796"/>
      <c r="V278" s="796"/>
      <c r="W278" s="796"/>
      <c r="X278" s="796"/>
      <c r="Y278" s="796"/>
      <c r="Z278" s="796"/>
      <c r="AA278" s="796"/>
      <c r="AB278" s="796"/>
      <c r="AC278" s="796"/>
      <c r="AD278" s="796"/>
      <c r="AE278" s="796"/>
      <c r="AF278" s="796"/>
      <c r="AG278" s="796"/>
      <c r="AH278" s="796"/>
      <c r="AI278" s="796"/>
      <c r="AJ278" s="796"/>
      <c r="AK278" s="796"/>
      <c r="AL278" s="796"/>
      <c r="AM278" s="796"/>
      <c r="AN278" s="796"/>
    </row>
    <row r="279" spans="1:40" x14ac:dyDescent="0.25">
      <c r="A279" s="796"/>
      <c r="B279" s="59" t="s">
        <v>311</v>
      </c>
      <c r="C279" s="796"/>
      <c r="D279" s="796"/>
      <c r="E279" s="59" t="s">
        <v>310</v>
      </c>
      <c r="F279" s="59" t="s">
        <v>311</v>
      </c>
      <c r="G279" s="796"/>
      <c r="H279" s="796"/>
      <c r="I279" s="796"/>
      <c r="J279" s="796"/>
      <c r="K279" s="796"/>
      <c r="L279" s="796"/>
      <c r="M279" s="796"/>
      <c r="N279" s="796"/>
      <c r="O279" s="796"/>
      <c r="P279" s="796"/>
      <c r="Q279" s="796"/>
      <c r="R279" s="796"/>
      <c r="S279" s="796"/>
      <c r="T279" s="796"/>
      <c r="U279" s="796"/>
      <c r="V279" s="796"/>
      <c r="W279" s="796"/>
      <c r="X279" s="796"/>
      <c r="Y279" s="796"/>
      <c r="Z279" s="796"/>
      <c r="AA279" s="796"/>
      <c r="AB279" s="796"/>
      <c r="AC279" s="796"/>
      <c r="AD279" s="796"/>
      <c r="AE279" s="796"/>
      <c r="AF279" s="796"/>
      <c r="AG279" s="796"/>
      <c r="AH279" s="796"/>
      <c r="AI279" s="796"/>
      <c r="AJ279" s="796"/>
      <c r="AK279" s="796"/>
      <c r="AL279" s="796"/>
      <c r="AM279" s="796"/>
      <c r="AN279" s="796"/>
    </row>
    <row r="280" spans="1:40" x14ac:dyDescent="0.25">
      <c r="A280" s="796"/>
      <c r="B280" s="59">
        <v>206133</v>
      </c>
      <c r="C280" s="796"/>
      <c r="D280" s="796"/>
      <c r="E280" s="59" t="s">
        <v>312</v>
      </c>
      <c r="F280" s="59">
        <v>206133</v>
      </c>
      <c r="G280" s="796"/>
      <c r="H280" s="796"/>
      <c r="I280" s="796"/>
      <c r="J280" s="796"/>
      <c r="K280" s="796"/>
      <c r="L280" s="796"/>
      <c r="M280" s="796"/>
      <c r="N280" s="796"/>
      <c r="O280" s="796"/>
      <c r="P280" s="796"/>
      <c r="Q280" s="796"/>
      <c r="R280" s="796"/>
      <c r="S280" s="796"/>
      <c r="T280" s="796"/>
      <c r="U280" s="796"/>
      <c r="V280" s="796"/>
      <c r="W280" s="796"/>
      <c r="X280" s="796"/>
      <c r="Y280" s="796"/>
      <c r="Z280" s="796"/>
      <c r="AA280" s="796"/>
      <c r="AB280" s="796"/>
      <c r="AC280" s="796"/>
      <c r="AD280" s="796"/>
      <c r="AE280" s="796"/>
      <c r="AF280" s="796"/>
      <c r="AG280" s="796"/>
      <c r="AH280" s="796"/>
      <c r="AI280" s="796"/>
      <c r="AJ280" s="796"/>
      <c r="AK280" s="796"/>
      <c r="AL280" s="796"/>
      <c r="AM280" s="796"/>
      <c r="AN280" s="796"/>
    </row>
    <row r="281" spans="1:40" x14ac:dyDescent="0.25">
      <c r="A281" s="796"/>
      <c r="B281" s="59" t="s">
        <v>807</v>
      </c>
      <c r="C281" s="796"/>
      <c r="D281" s="796"/>
      <c r="E281" s="59" t="s">
        <v>806</v>
      </c>
      <c r="F281" s="59" t="s">
        <v>807</v>
      </c>
      <c r="G281" s="796"/>
      <c r="H281" s="796"/>
      <c r="I281" s="796"/>
      <c r="J281" s="796"/>
      <c r="K281" s="796"/>
      <c r="L281" s="796"/>
      <c r="M281" s="796"/>
      <c r="N281" s="796"/>
      <c r="O281" s="796"/>
      <c r="P281" s="796"/>
      <c r="Q281" s="796"/>
      <c r="R281" s="796"/>
      <c r="S281" s="796"/>
      <c r="T281" s="796"/>
      <c r="U281" s="796"/>
      <c r="V281" s="796"/>
      <c r="W281" s="796"/>
      <c r="X281" s="796"/>
      <c r="Y281" s="796"/>
      <c r="Z281" s="796"/>
      <c r="AA281" s="796"/>
      <c r="AB281" s="796"/>
      <c r="AC281" s="796"/>
      <c r="AD281" s="796"/>
      <c r="AE281" s="796"/>
      <c r="AF281" s="796"/>
      <c r="AG281" s="796"/>
      <c r="AH281" s="796"/>
      <c r="AI281" s="796"/>
      <c r="AJ281" s="796"/>
      <c r="AK281" s="796"/>
      <c r="AL281" s="796"/>
      <c r="AM281" s="796"/>
      <c r="AN281" s="796"/>
    </row>
    <row r="282" spans="1:40" x14ac:dyDescent="0.25">
      <c r="A282" s="796"/>
      <c r="B282" s="59" t="s">
        <v>316</v>
      </c>
      <c r="C282" s="796"/>
      <c r="D282" s="796"/>
      <c r="E282" s="59" t="s">
        <v>314</v>
      </c>
      <c r="F282" s="59" t="s">
        <v>316</v>
      </c>
      <c r="G282" s="796"/>
      <c r="H282" s="796"/>
      <c r="I282" s="796"/>
      <c r="J282" s="796"/>
      <c r="K282" s="796"/>
      <c r="L282" s="796"/>
      <c r="M282" s="796"/>
      <c r="N282" s="796"/>
      <c r="O282" s="796"/>
      <c r="P282" s="796"/>
      <c r="Q282" s="796"/>
      <c r="R282" s="796"/>
      <c r="S282" s="796"/>
      <c r="T282" s="796"/>
      <c r="U282" s="796"/>
      <c r="V282" s="796"/>
      <c r="W282" s="796"/>
      <c r="X282" s="796"/>
      <c r="Y282" s="796"/>
      <c r="Z282" s="796"/>
      <c r="AA282" s="796"/>
      <c r="AB282" s="796"/>
      <c r="AC282" s="796"/>
      <c r="AD282" s="796"/>
      <c r="AE282" s="796"/>
      <c r="AF282" s="796"/>
      <c r="AG282" s="796"/>
      <c r="AH282" s="796"/>
      <c r="AI282" s="796"/>
      <c r="AJ282" s="796"/>
      <c r="AK282" s="796"/>
      <c r="AL282" s="796"/>
      <c r="AM282" s="796"/>
      <c r="AN282" s="796"/>
    </row>
    <row r="283" spans="1:40" x14ac:dyDescent="0.25">
      <c r="A283" s="796"/>
      <c r="B283" s="59">
        <v>206134</v>
      </c>
      <c r="C283" s="796"/>
      <c r="D283" s="796"/>
      <c r="E283" s="59" t="s">
        <v>317</v>
      </c>
      <c r="F283" s="59">
        <v>206134</v>
      </c>
      <c r="G283" s="796"/>
      <c r="H283" s="796"/>
      <c r="I283" s="796"/>
      <c r="J283" s="796"/>
      <c r="K283" s="796"/>
      <c r="L283" s="796"/>
      <c r="M283" s="796"/>
      <c r="N283" s="796"/>
      <c r="O283" s="796"/>
      <c r="P283" s="796"/>
      <c r="Q283" s="796"/>
      <c r="R283" s="796"/>
      <c r="S283" s="796"/>
      <c r="T283" s="796"/>
      <c r="U283" s="796"/>
      <c r="V283" s="796"/>
      <c r="W283" s="796"/>
      <c r="X283" s="796"/>
      <c r="Y283" s="796"/>
      <c r="Z283" s="796"/>
      <c r="AA283" s="796"/>
      <c r="AB283" s="796"/>
      <c r="AC283" s="796"/>
      <c r="AD283" s="796"/>
      <c r="AE283" s="796"/>
      <c r="AF283" s="796"/>
      <c r="AG283" s="796"/>
      <c r="AH283" s="796"/>
      <c r="AI283" s="796"/>
      <c r="AJ283" s="796"/>
      <c r="AK283" s="796"/>
      <c r="AL283" s="796"/>
      <c r="AM283" s="796"/>
      <c r="AN283" s="796"/>
    </row>
    <row r="284" spans="1:40" x14ac:dyDescent="0.25">
      <c r="A284" s="796"/>
      <c r="B284" s="59" t="s">
        <v>322</v>
      </c>
      <c r="C284" s="796"/>
      <c r="D284" s="796"/>
      <c r="E284" s="59" t="s">
        <v>321</v>
      </c>
      <c r="F284" s="59" t="s">
        <v>322</v>
      </c>
      <c r="G284" s="796"/>
      <c r="H284" s="796"/>
      <c r="I284" s="796"/>
      <c r="J284" s="796"/>
      <c r="K284" s="796"/>
      <c r="L284" s="796"/>
      <c r="M284" s="796"/>
      <c r="N284" s="796"/>
      <c r="O284" s="796"/>
      <c r="P284" s="796"/>
      <c r="Q284" s="796"/>
      <c r="R284" s="796"/>
      <c r="S284" s="796"/>
      <c r="T284" s="796"/>
      <c r="U284" s="796"/>
      <c r="V284" s="796"/>
      <c r="W284" s="796"/>
      <c r="X284" s="796"/>
      <c r="Y284" s="796"/>
      <c r="Z284" s="796"/>
      <c r="AA284" s="796"/>
      <c r="AB284" s="796"/>
      <c r="AC284" s="796"/>
      <c r="AD284" s="796"/>
      <c r="AE284" s="796"/>
      <c r="AF284" s="796"/>
      <c r="AG284" s="796"/>
      <c r="AH284" s="796"/>
      <c r="AI284" s="796"/>
      <c r="AJ284" s="796"/>
      <c r="AK284" s="796"/>
      <c r="AL284" s="796"/>
      <c r="AM284" s="796"/>
      <c r="AN284" s="796"/>
    </row>
    <row r="285" spans="1:40" x14ac:dyDescent="0.25">
      <c r="A285" s="796"/>
      <c r="B285" s="59" t="s">
        <v>320</v>
      </c>
      <c r="C285" s="796"/>
      <c r="D285" s="796"/>
      <c r="E285" s="59" t="s">
        <v>319</v>
      </c>
      <c r="F285" s="59" t="s">
        <v>320</v>
      </c>
      <c r="G285" s="796"/>
      <c r="H285" s="796"/>
      <c r="I285" s="796"/>
      <c r="J285" s="796"/>
      <c r="K285" s="796"/>
      <c r="L285" s="796"/>
      <c r="M285" s="796"/>
      <c r="N285" s="796"/>
      <c r="O285" s="796"/>
      <c r="P285" s="796"/>
      <c r="Q285" s="796"/>
      <c r="R285" s="796"/>
      <c r="S285" s="796"/>
      <c r="T285" s="796"/>
      <c r="U285" s="796"/>
      <c r="V285" s="796"/>
      <c r="W285" s="796"/>
      <c r="X285" s="796"/>
      <c r="Y285" s="796"/>
      <c r="Z285" s="796"/>
      <c r="AA285" s="796"/>
      <c r="AB285" s="796"/>
      <c r="AC285" s="796"/>
      <c r="AD285" s="796"/>
      <c r="AE285" s="796"/>
      <c r="AF285" s="796"/>
      <c r="AG285" s="796"/>
      <c r="AH285" s="796"/>
      <c r="AI285" s="796"/>
      <c r="AJ285" s="796"/>
      <c r="AK285" s="796"/>
      <c r="AL285" s="796"/>
      <c r="AM285" s="796"/>
      <c r="AN285" s="796"/>
    </row>
    <row r="286" spans="1:40" x14ac:dyDescent="0.25">
      <c r="A286" s="796"/>
      <c r="B286" s="59" t="s">
        <v>324</v>
      </c>
      <c r="C286" s="796"/>
      <c r="D286" s="796"/>
      <c r="E286" s="59" t="s">
        <v>323</v>
      </c>
      <c r="F286" s="59" t="s">
        <v>324</v>
      </c>
      <c r="G286" s="796"/>
      <c r="H286" s="796"/>
      <c r="I286" s="796"/>
      <c r="J286" s="796"/>
      <c r="K286" s="796"/>
      <c r="L286" s="796"/>
      <c r="M286" s="796"/>
      <c r="N286" s="796"/>
      <c r="O286" s="796"/>
      <c r="P286" s="796"/>
      <c r="Q286" s="796"/>
      <c r="R286" s="796"/>
      <c r="S286" s="796"/>
      <c r="T286" s="796"/>
      <c r="U286" s="796"/>
      <c r="V286" s="796"/>
      <c r="W286" s="796"/>
      <c r="X286" s="796"/>
      <c r="Y286" s="796"/>
      <c r="Z286" s="796"/>
      <c r="AA286" s="796"/>
      <c r="AB286" s="796"/>
      <c r="AC286" s="796"/>
      <c r="AD286" s="796"/>
      <c r="AE286" s="796"/>
      <c r="AF286" s="796"/>
      <c r="AG286" s="796"/>
      <c r="AH286" s="796"/>
      <c r="AI286" s="796"/>
      <c r="AJ286" s="796"/>
      <c r="AK286" s="796"/>
      <c r="AL286" s="796"/>
      <c r="AM286" s="796"/>
      <c r="AN286" s="796"/>
    </row>
    <row r="287" spans="1:40" x14ac:dyDescent="0.25">
      <c r="A287" s="796"/>
      <c r="B287" s="59">
        <v>206109</v>
      </c>
      <c r="C287" s="796"/>
      <c r="D287" s="796"/>
      <c r="E287" s="59" t="s">
        <v>325</v>
      </c>
      <c r="F287" s="59">
        <v>206109</v>
      </c>
      <c r="G287" s="796"/>
      <c r="H287" s="796"/>
      <c r="I287" s="796"/>
      <c r="J287" s="796"/>
      <c r="K287" s="796"/>
      <c r="L287" s="796"/>
      <c r="M287" s="796"/>
      <c r="N287" s="796"/>
      <c r="O287" s="796"/>
      <c r="P287" s="796"/>
      <c r="Q287" s="796"/>
      <c r="R287" s="796"/>
      <c r="S287" s="796"/>
      <c r="T287" s="796"/>
      <c r="U287" s="796"/>
      <c r="V287" s="796"/>
      <c r="W287" s="796"/>
      <c r="X287" s="796"/>
      <c r="Y287" s="796"/>
      <c r="Z287" s="796"/>
      <c r="AA287" s="796"/>
      <c r="AB287" s="796"/>
      <c r="AC287" s="796"/>
      <c r="AD287" s="796"/>
      <c r="AE287" s="796"/>
      <c r="AF287" s="796"/>
      <c r="AG287" s="796"/>
      <c r="AH287" s="796"/>
      <c r="AI287" s="796"/>
      <c r="AJ287" s="796"/>
      <c r="AK287" s="796"/>
      <c r="AL287" s="796"/>
      <c r="AM287" s="796"/>
      <c r="AN287" s="796"/>
    </row>
    <row r="288" spans="1:40" x14ac:dyDescent="0.25">
      <c r="A288" s="796"/>
      <c r="B288" s="59">
        <v>2434</v>
      </c>
      <c r="C288" s="796"/>
      <c r="D288" s="796"/>
      <c r="E288" s="59" t="s">
        <v>37</v>
      </c>
      <c r="F288" s="59">
        <v>2434</v>
      </c>
      <c r="G288" s="796"/>
      <c r="H288" s="796"/>
      <c r="I288" s="796"/>
      <c r="J288" s="796"/>
      <c r="K288" s="796"/>
      <c r="L288" s="796"/>
      <c r="M288" s="796"/>
      <c r="N288" s="796"/>
      <c r="O288" s="796"/>
      <c r="P288" s="796"/>
      <c r="Q288" s="796"/>
      <c r="R288" s="796"/>
      <c r="S288" s="796"/>
      <c r="T288" s="796"/>
      <c r="U288" s="796"/>
      <c r="V288" s="796"/>
      <c r="W288" s="796"/>
      <c r="X288" s="796"/>
      <c r="Y288" s="796"/>
      <c r="Z288" s="796"/>
      <c r="AA288" s="796"/>
      <c r="AB288" s="796"/>
      <c r="AC288" s="796"/>
      <c r="AD288" s="796"/>
      <c r="AE288" s="796"/>
      <c r="AF288" s="796"/>
      <c r="AG288" s="796"/>
      <c r="AH288" s="796"/>
      <c r="AI288" s="796"/>
      <c r="AJ288" s="796"/>
      <c r="AK288" s="796"/>
      <c r="AL288" s="796"/>
      <c r="AM288" s="796"/>
      <c r="AN288" s="796"/>
    </row>
    <row r="289" spans="1:40" x14ac:dyDescent="0.25">
      <c r="A289" s="796"/>
      <c r="B289" s="59">
        <v>2009</v>
      </c>
      <c r="C289" s="796"/>
      <c r="D289" s="796"/>
      <c r="E289" s="59" t="s">
        <v>42</v>
      </c>
      <c r="F289" s="59">
        <v>2009</v>
      </c>
      <c r="G289" s="796"/>
      <c r="H289" s="796"/>
      <c r="I289" s="796"/>
      <c r="J289" s="796"/>
      <c r="K289" s="796"/>
      <c r="L289" s="796"/>
      <c r="M289" s="796"/>
      <c r="N289" s="796"/>
      <c r="O289" s="796"/>
      <c r="P289" s="796"/>
      <c r="Q289" s="796"/>
      <c r="R289" s="796"/>
      <c r="S289" s="796"/>
      <c r="T289" s="796"/>
      <c r="U289" s="796"/>
      <c r="V289" s="796"/>
      <c r="W289" s="796"/>
      <c r="X289" s="796"/>
      <c r="Y289" s="796"/>
      <c r="Z289" s="796"/>
      <c r="AA289" s="796"/>
      <c r="AB289" s="796"/>
      <c r="AC289" s="796"/>
      <c r="AD289" s="796"/>
      <c r="AE289" s="796"/>
      <c r="AF289" s="796"/>
      <c r="AG289" s="796"/>
      <c r="AH289" s="796"/>
      <c r="AI289" s="796"/>
      <c r="AJ289" s="796"/>
      <c r="AK289" s="796"/>
      <c r="AL289" s="796"/>
      <c r="AM289" s="796"/>
      <c r="AN289" s="796"/>
    </row>
    <row r="290" spans="1:40" x14ac:dyDescent="0.25">
      <c r="A290" s="796"/>
      <c r="B290" s="59">
        <v>6905</v>
      </c>
      <c r="C290" s="796"/>
      <c r="D290" s="796"/>
      <c r="E290" s="59" t="s">
        <v>569</v>
      </c>
      <c r="F290" s="59">
        <v>6905</v>
      </c>
      <c r="G290" s="796"/>
      <c r="H290" s="796"/>
      <c r="I290" s="796"/>
      <c r="J290" s="796"/>
      <c r="K290" s="796"/>
      <c r="L290" s="796"/>
      <c r="M290" s="796"/>
      <c r="N290" s="796"/>
      <c r="O290" s="796"/>
      <c r="P290" s="796"/>
      <c r="Q290" s="796"/>
      <c r="R290" s="796"/>
      <c r="S290" s="796"/>
      <c r="T290" s="796"/>
      <c r="U290" s="796"/>
      <c r="V290" s="796"/>
      <c r="W290" s="796"/>
      <c r="X290" s="796"/>
      <c r="Y290" s="796"/>
      <c r="Z290" s="796"/>
      <c r="AA290" s="796"/>
      <c r="AB290" s="796"/>
      <c r="AC290" s="796"/>
      <c r="AD290" s="796"/>
      <c r="AE290" s="796"/>
      <c r="AF290" s="796"/>
      <c r="AG290" s="796"/>
      <c r="AH290" s="796"/>
      <c r="AI290" s="796"/>
      <c r="AJ290" s="796"/>
      <c r="AK290" s="796"/>
      <c r="AL290" s="796"/>
      <c r="AM290" s="796"/>
      <c r="AN290" s="796"/>
    </row>
    <row r="291" spans="1:40" x14ac:dyDescent="0.25">
      <c r="A291" s="796"/>
      <c r="B291" s="59">
        <v>2522</v>
      </c>
      <c r="C291" s="796"/>
      <c r="D291" s="796"/>
      <c r="E291" s="59" t="s">
        <v>38</v>
      </c>
      <c r="F291" s="59">
        <v>2522</v>
      </c>
      <c r="G291" s="796"/>
      <c r="H291" s="796"/>
      <c r="I291" s="796"/>
      <c r="J291" s="796"/>
      <c r="K291" s="796"/>
      <c r="L291" s="796"/>
      <c r="M291" s="796"/>
      <c r="N291" s="796"/>
      <c r="O291" s="796"/>
      <c r="P291" s="796"/>
      <c r="Q291" s="796"/>
      <c r="R291" s="796"/>
      <c r="S291" s="796"/>
      <c r="T291" s="796"/>
      <c r="U291" s="796"/>
      <c r="V291" s="796"/>
      <c r="W291" s="796"/>
      <c r="X291" s="796"/>
      <c r="Y291" s="796"/>
      <c r="Z291" s="796"/>
      <c r="AA291" s="796"/>
      <c r="AB291" s="796"/>
      <c r="AC291" s="796"/>
      <c r="AD291" s="796"/>
      <c r="AE291" s="796"/>
      <c r="AF291" s="796"/>
      <c r="AG291" s="796"/>
      <c r="AH291" s="796"/>
      <c r="AI291" s="796"/>
      <c r="AJ291" s="796"/>
      <c r="AK291" s="796"/>
      <c r="AL291" s="796"/>
      <c r="AM291" s="796"/>
      <c r="AN291" s="796"/>
    </row>
    <row r="292" spans="1:40" x14ac:dyDescent="0.25">
      <c r="A292" s="796"/>
      <c r="B292" s="59">
        <v>206110</v>
      </c>
      <c r="C292" s="796"/>
      <c r="D292" s="796"/>
      <c r="E292" s="59" t="s">
        <v>327</v>
      </c>
      <c r="F292" s="59">
        <v>206110</v>
      </c>
      <c r="G292" s="796"/>
      <c r="H292" s="796"/>
      <c r="I292" s="796"/>
      <c r="J292" s="796"/>
      <c r="K292" s="796"/>
      <c r="L292" s="796"/>
      <c r="M292" s="796"/>
      <c r="N292" s="796"/>
      <c r="O292" s="796"/>
      <c r="P292" s="796"/>
      <c r="Q292" s="796"/>
      <c r="R292" s="796"/>
      <c r="S292" s="796"/>
      <c r="T292" s="796"/>
      <c r="U292" s="796"/>
      <c r="V292" s="796"/>
      <c r="W292" s="796"/>
      <c r="X292" s="796"/>
      <c r="Y292" s="796"/>
      <c r="Z292" s="796"/>
      <c r="AA292" s="796"/>
      <c r="AB292" s="796"/>
      <c r="AC292" s="796"/>
      <c r="AD292" s="796"/>
      <c r="AE292" s="796"/>
      <c r="AF292" s="796"/>
      <c r="AG292" s="796"/>
      <c r="AH292" s="796"/>
      <c r="AI292" s="796"/>
      <c r="AJ292" s="796"/>
      <c r="AK292" s="796"/>
      <c r="AL292" s="796"/>
      <c r="AM292" s="796"/>
      <c r="AN292" s="796"/>
    </row>
    <row r="293" spans="1:40" x14ac:dyDescent="0.25">
      <c r="A293" s="796"/>
      <c r="B293" s="59">
        <v>206135</v>
      </c>
      <c r="C293" s="796"/>
      <c r="D293" s="796"/>
      <c r="E293" s="59" t="s">
        <v>329</v>
      </c>
      <c r="F293" s="59">
        <v>206135</v>
      </c>
      <c r="G293" s="796"/>
      <c r="H293" s="796"/>
      <c r="I293" s="796"/>
      <c r="J293" s="796"/>
      <c r="K293" s="796"/>
      <c r="L293" s="796"/>
      <c r="M293" s="796"/>
      <c r="N293" s="796"/>
      <c r="O293" s="796"/>
      <c r="P293" s="796"/>
      <c r="Q293" s="796"/>
      <c r="R293" s="796"/>
      <c r="S293" s="796"/>
      <c r="T293" s="796"/>
      <c r="U293" s="796"/>
      <c r="V293" s="796"/>
      <c r="W293" s="796"/>
      <c r="X293" s="796"/>
      <c r="Y293" s="796"/>
      <c r="Z293" s="796"/>
      <c r="AA293" s="796"/>
      <c r="AB293" s="796"/>
      <c r="AC293" s="796"/>
      <c r="AD293" s="796"/>
      <c r="AE293" s="796"/>
      <c r="AF293" s="796"/>
      <c r="AG293" s="796"/>
      <c r="AH293" s="796"/>
      <c r="AI293" s="796"/>
      <c r="AJ293" s="796"/>
      <c r="AK293" s="796"/>
      <c r="AL293" s="796"/>
      <c r="AM293" s="796"/>
      <c r="AN293" s="796"/>
    </row>
    <row r="294" spans="1:40" x14ac:dyDescent="0.25">
      <c r="A294" s="796"/>
      <c r="B294" s="59">
        <v>4181</v>
      </c>
      <c r="C294" s="796"/>
      <c r="D294" s="796"/>
      <c r="E294" s="59" t="s">
        <v>69</v>
      </c>
      <c r="F294" s="59">
        <v>4181</v>
      </c>
      <c r="G294" s="796"/>
      <c r="H294" s="796"/>
      <c r="I294" s="796"/>
      <c r="J294" s="796"/>
      <c r="K294" s="796"/>
      <c r="L294" s="796"/>
      <c r="M294" s="796"/>
      <c r="N294" s="796"/>
      <c r="O294" s="796"/>
      <c r="P294" s="796"/>
      <c r="Q294" s="796"/>
      <c r="R294" s="796"/>
      <c r="S294" s="796"/>
      <c r="T294" s="796"/>
      <c r="U294" s="796"/>
      <c r="V294" s="796"/>
      <c r="W294" s="796"/>
      <c r="X294" s="796"/>
      <c r="Y294" s="796"/>
      <c r="Z294" s="796"/>
      <c r="AA294" s="796"/>
      <c r="AB294" s="796"/>
      <c r="AC294" s="796"/>
      <c r="AD294" s="796"/>
      <c r="AE294" s="796"/>
      <c r="AF294" s="796"/>
      <c r="AG294" s="796"/>
      <c r="AH294" s="796"/>
      <c r="AI294" s="796"/>
      <c r="AJ294" s="796"/>
      <c r="AK294" s="796"/>
      <c r="AL294" s="796"/>
      <c r="AM294" s="796"/>
      <c r="AN294" s="796"/>
    </row>
    <row r="295" spans="1:40" x14ac:dyDescent="0.25">
      <c r="A295" s="796"/>
      <c r="B295" s="59">
        <v>509195</v>
      </c>
      <c r="C295" s="796"/>
      <c r="D295" s="796"/>
      <c r="E295" s="59" t="s">
        <v>331</v>
      </c>
      <c r="F295" s="59">
        <v>509195</v>
      </c>
      <c r="G295" s="796"/>
      <c r="H295" s="796"/>
      <c r="I295" s="796"/>
      <c r="J295" s="796"/>
      <c r="K295" s="796"/>
      <c r="L295" s="796"/>
      <c r="M295" s="796"/>
      <c r="N295" s="796"/>
      <c r="O295" s="796"/>
      <c r="P295" s="796"/>
      <c r="Q295" s="796"/>
      <c r="R295" s="796"/>
      <c r="S295" s="796"/>
      <c r="T295" s="796"/>
      <c r="U295" s="796"/>
      <c r="V295" s="796"/>
      <c r="W295" s="796"/>
      <c r="X295" s="796"/>
      <c r="Y295" s="796"/>
      <c r="Z295" s="796"/>
      <c r="AA295" s="796"/>
      <c r="AB295" s="796"/>
      <c r="AC295" s="796"/>
      <c r="AD295" s="796"/>
      <c r="AE295" s="796"/>
      <c r="AF295" s="796"/>
      <c r="AG295" s="796"/>
      <c r="AH295" s="796"/>
      <c r="AI295" s="796"/>
      <c r="AJ295" s="796"/>
      <c r="AK295" s="796"/>
      <c r="AL295" s="796"/>
      <c r="AM295" s="796"/>
      <c r="AN295" s="796"/>
    </row>
    <row r="296" spans="1:40" x14ac:dyDescent="0.25">
      <c r="A296" s="796"/>
      <c r="B296" s="59">
        <v>480857</v>
      </c>
      <c r="C296" s="796"/>
      <c r="D296" s="796"/>
      <c r="E296" s="59" t="s">
        <v>1393</v>
      </c>
      <c r="F296" s="59">
        <v>480857</v>
      </c>
      <c r="G296" s="796"/>
      <c r="H296" s="796"/>
      <c r="I296" s="796"/>
      <c r="J296" s="796"/>
      <c r="K296" s="796"/>
      <c r="L296" s="796"/>
      <c r="M296" s="796"/>
      <c r="N296" s="796"/>
      <c r="O296" s="796"/>
      <c r="P296" s="796"/>
      <c r="Q296" s="796"/>
      <c r="R296" s="796"/>
      <c r="S296" s="796"/>
      <c r="T296" s="796"/>
      <c r="U296" s="796"/>
      <c r="V296" s="796"/>
      <c r="W296" s="796"/>
      <c r="X296" s="796"/>
      <c r="Y296" s="796"/>
      <c r="Z296" s="796"/>
      <c r="AA296" s="796"/>
      <c r="AB296" s="796"/>
      <c r="AC296" s="796"/>
      <c r="AD296" s="796"/>
      <c r="AE296" s="796"/>
      <c r="AF296" s="796"/>
      <c r="AG296" s="796"/>
      <c r="AH296" s="796"/>
      <c r="AI296" s="796"/>
      <c r="AJ296" s="796"/>
      <c r="AK296" s="796"/>
      <c r="AL296" s="796"/>
      <c r="AM296" s="796"/>
      <c r="AN296" s="796"/>
    </row>
    <row r="297" spans="1:40" x14ac:dyDescent="0.25">
      <c r="A297" s="796"/>
      <c r="B297" s="59" t="s">
        <v>334</v>
      </c>
      <c r="C297" s="796"/>
      <c r="D297" s="796"/>
      <c r="E297" s="59" t="s">
        <v>333</v>
      </c>
      <c r="F297" s="59" t="s">
        <v>334</v>
      </c>
      <c r="G297" s="796"/>
      <c r="H297" s="796"/>
      <c r="I297" s="796"/>
      <c r="J297" s="796"/>
      <c r="K297" s="796"/>
      <c r="L297" s="796"/>
      <c r="M297" s="796"/>
      <c r="N297" s="796"/>
      <c r="O297" s="796"/>
      <c r="P297" s="796"/>
      <c r="Q297" s="796"/>
      <c r="R297" s="796"/>
      <c r="S297" s="796"/>
      <c r="T297" s="796"/>
      <c r="U297" s="796"/>
      <c r="V297" s="796"/>
      <c r="W297" s="796"/>
      <c r="X297" s="796"/>
      <c r="Y297" s="796"/>
      <c r="Z297" s="796"/>
      <c r="AA297" s="796"/>
      <c r="AB297" s="796"/>
      <c r="AC297" s="796"/>
      <c r="AD297" s="796"/>
      <c r="AE297" s="796"/>
      <c r="AF297" s="796"/>
      <c r="AG297" s="796"/>
      <c r="AH297" s="796"/>
      <c r="AI297" s="796"/>
      <c r="AJ297" s="796"/>
      <c r="AK297" s="796"/>
      <c r="AL297" s="796"/>
      <c r="AM297" s="796"/>
      <c r="AN297" s="796"/>
    </row>
    <row r="298" spans="1:40" x14ac:dyDescent="0.25">
      <c r="A298" s="796"/>
      <c r="B298" s="59" t="s">
        <v>336</v>
      </c>
      <c r="C298" s="796"/>
      <c r="D298" s="796"/>
      <c r="E298" s="59" t="s">
        <v>335</v>
      </c>
      <c r="F298" s="59" t="s">
        <v>336</v>
      </c>
      <c r="G298" s="796"/>
      <c r="H298" s="796"/>
      <c r="I298" s="796"/>
      <c r="J298" s="796"/>
      <c r="K298" s="796"/>
      <c r="L298" s="796"/>
      <c r="M298" s="796"/>
      <c r="N298" s="796"/>
      <c r="O298" s="796"/>
      <c r="P298" s="796"/>
      <c r="Q298" s="796"/>
      <c r="R298" s="796"/>
      <c r="S298" s="796"/>
      <c r="T298" s="796"/>
      <c r="U298" s="796"/>
      <c r="V298" s="796"/>
      <c r="W298" s="796"/>
      <c r="X298" s="796"/>
      <c r="Y298" s="796"/>
      <c r="Z298" s="796"/>
      <c r="AA298" s="796"/>
      <c r="AB298" s="796"/>
      <c r="AC298" s="796"/>
      <c r="AD298" s="796"/>
      <c r="AE298" s="796"/>
      <c r="AF298" s="796"/>
      <c r="AG298" s="796"/>
      <c r="AH298" s="796"/>
      <c r="AI298" s="796"/>
      <c r="AJ298" s="796"/>
      <c r="AK298" s="796"/>
      <c r="AL298" s="796"/>
      <c r="AM298" s="796"/>
      <c r="AN298" s="796"/>
    </row>
    <row r="299" spans="1:40" x14ac:dyDescent="0.25">
      <c r="A299" s="796"/>
      <c r="B299" s="59">
        <v>492973</v>
      </c>
      <c r="C299" s="796"/>
      <c r="D299" s="796"/>
      <c r="E299" s="59" t="s">
        <v>1394</v>
      </c>
      <c r="F299" s="59">
        <v>492973</v>
      </c>
      <c r="G299" s="796"/>
      <c r="H299" s="796"/>
      <c r="I299" s="796"/>
      <c r="J299" s="796"/>
      <c r="K299" s="796"/>
      <c r="L299" s="796"/>
      <c r="M299" s="796"/>
      <c r="N299" s="796"/>
      <c r="O299" s="796"/>
      <c r="P299" s="796"/>
      <c r="Q299" s="796"/>
      <c r="R299" s="796"/>
      <c r="S299" s="796"/>
      <c r="T299" s="796"/>
      <c r="U299" s="796"/>
      <c r="V299" s="796"/>
      <c r="W299" s="796"/>
      <c r="X299" s="796"/>
      <c r="Y299" s="796"/>
      <c r="Z299" s="796"/>
      <c r="AA299" s="796"/>
      <c r="AB299" s="796"/>
      <c r="AC299" s="796"/>
      <c r="AD299" s="796"/>
      <c r="AE299" s="796"/>
      <c r="AF299" s="796"/>
      <c r="AG299" s="796"/>
      <c r="AH299" s="796"/>
      <c r="AI299" s="796"/>
      <c r="AJ299" s="796"/>
      <c r="AK299" s="796"/>
      <c r="AL299" s="796"/>
      <c r="AM299" s="796"/>
      <c r="AN299" s="796"/>
    </row>
    <row r="300" spans="1:40" x14ac:dyDescent="0.25">
      <c r="A300" s="796"/>
      <c r="B300" s="59" t="s">
        <v>339</v>
      </c>
      <c r="C300" s="796"/>
      <c r="D300" s="796"/>
      <c r="E300" s="59" t="s">
        <v>337</v>
      </c>
      <c r="F300" s="59" t="s">
        <v>339</v>
      </c>
      <c r="G300" s="796"/>
      <c r="H300" s="796"/>
      <c r="I300" s="796"/>
      <c r="J300" s="796"/>
      <c r="K300" s="796"/>
      <c r="L300" s="796"/>
      <c r="M300" s="796"/>
      <c r="N300" s="796"/>
      <c r="O300" s="796"/>
      <c r="P300" s="796"/>
      <c r="Q300" s="796"/>
      <c r="R300" s="796"/>
      <c r="S300" s="796"/>
      <c r="T300" s="796"/>
      <c r="U300" s="796"/>
      <c r="V300" s="796"/>
      <c r="W300" s="796"/>
      <c r="X300" s="796"/>
      <c r="Y300" s="796"/>
      <c r="Z300" s="796"/>
      <c r="AA300" s="796"/>
      <c r="AB300" s="796"/>
      <c r="AC300" s="796"/>
      <c r="AD300" s="796"/>
      <c r="AE300" s="796"/>
      <c r="AF300" s="796"/>
      <c r="AG300" s="796"/>
      <c r="AH300" s="796"/>
      <c r="AI300" s="796"/>
      <c r="AJ300" s="796"/>
      <c r="AK300" s="796"/>
      <c r="AL300" s="796"/>
      <c r="AM300" s="796"/>
      <c r="AN300" s="796"/>
    </row>
    <row r="301" spans="1:40" x14ac:dyDescent="0.25">
      <c r="A301" s="796"/>
      <c r="B301" s="59">
        <v>509199</v>
      </c>
      <c r="C301" s="796"/>
      <c r="D301" s="796"/>
      <c r="E301" s="59" t="s">
        <v>340</v>
      </c>
      <c r="F301" s="59">
        <v>509199</v>
      </c>
      <c r="G301" s="796"/>
      <c r="H301" s="796"/>
      <c r="I301" s="796"/>
      <c r="J301" s="796"/>
      <c r="K301" s="796"/>
      <c r="L301" s="796"/>
      <c r="M301" s="796"/>
      <c r="N301" s="796"/>
      <c r="O301" s="796"/>
      <c r="P301" s="796"/>
      <c r="Q301" s="796"/>
      <c r="R301" s="796"/>
      <c r="S301" s="796"/>
      <c r="T301" s="796"/>
      <c r="U301" s="796"/>
      <c r="V301" s="796"/>
      <c r="W301" s="796"/>
      <c r="X301" s="796"/>
      <c r="Y301" s="796"/>
      <c r="Z301" s="796"/>
      <c r="AA301" s="796"/>
      <c r="AB301" s="796"/>
      <c r="AC301" s="796"/>
      <c r="AD301" s="796"/>
      <c r="AE301" s="796"/>
      <c r="AF301" s="796"/>
      <c r="AG301" s="796"/>
      <c r="AH301" s="796"/>
      <c r="AI301" s="796"/>
      <c r="AJ301" s="796"/>
      <c r="AK301" s="796"/>
      <c r="AL301" s="796"/>
      <c r="AM301" s="796"/>
      <c r="AN301" s="796"/>
    </row>
    <row r="302" spans="1:40" x14ac:dyDescent="0.25">
      <c r="A302" s="796"/>
      <c r="B302" s="59">
        <v>509197</v>
      </c>
      <c r="C302" s="796"/>
      <c r="D302" s="796"/>
      <c r="E302" s="59" t="s">
        <v>342</v>
      </c>
      <c r="F302" s="59">
        <v>509197</v>
      </c>
      <c r="G302" s="796"/>
      <c r="H302" s="796"/>
      <c r="I302" s="796"/>
      <c r="J302" s="796"/>
      <c r="K302" s="796"/>
      <c r="L302" s="796"/>
      <c r="M302" s="796"/>
      <c r="N302" s="796"/>
      <c r="O302" s="796"/>
      <c r="P302" s="796"/>
      <c r="Q302" s="796"/>
      <c r="R302" s="796"/>
      <c r="S302" s="796"/>
      <c r="T302" s="796"/>
      <c r="U302" s="796"/>
      <c r="V302" s="796"/>
      <c r="W302" s="796"/>
      <c r="X302" s="796"/>
      <c r="Y302" s="796"/>
      <c r="Z302" s="796"/>
      <c r="AA302" s="796"/>
      <c r="AB302" s="796"/>
      <c r="AC302" s="796"/>
      <c r="AD302" s="796"/>
      <c r="AE302" s="796"/>
      <c r="AF302" s="796"/>
      <c r="AG302" s="796"/>
      <c r="AH302" s="796"/>
      <c r="AI302" s="796"/>
      <c r="AJ302" s="796"/>
      <c r="AK302" s="796"/>
      <c r="AL302" s="796"/>
      <c r="AM302" s="796"/>
      <c r="AN302" s="796"/>
    </row>
    <row r="303" spans="1:40" x14ac:dyDescent="0.25">
      <c r="A303" s="796"/>
      <c r="B303" s="59">
        <v>479383</v>
      </c>
      <c r="C303" s="796"/>
      <c r="D303" s="796"/>
      <c r="E303" s="59" t="s">
        <v>808</v>
      </c>
      <c r="F303" s="59">
        <v>479383</v>
      </c>
      <c r="G303" s="796"/>
      <c r="H303" s="796"/>
      <c r="I303" s="796"/>
      <c r="J303" s="796"/>
      <c r="K303" s="796"/>
      <c r="L303" s="796"/>
      <c r="M303" s="796"/>
      <c r="N303" s="796"/>
      <c r="O303" s="796"/>
      <c r="P303" s="796"/>
      <c r="Q303" s="796"/>
      <c r="R303" s="796"/>
      <c r="S303" s="796"/>
      <c r="T303" s="796"/>
      <c r="U303" s="796"/>
      <c r="V303" s="796"/>
      <c r="W303" s="796"/>
      <c r="X303" s="796"/>
      <c r="Y303" s="796"/>
      <c r="Z303" s="796"/>
      <c r="AA303" s="796"/>
      <c r="AB303" s="796"/>
      <c r="AC303" s="796"/>
      <c r="AD303" s="796"/>
      <c r="AE303" s="796"/>
      <c r="AF303" s="796"/>
      <c r="AG303" s="796"/>
      <c r="AH303" s="796"/>
      <c r="AI303" s="796"/>
      <c r="AJ303" s="796"/>
      <c r="AK303" s="796"/>
      <c r="AL303" s="796"/>
      <c r="AM303" s="796"/>
      <c r="AN303" s="796"/>
    </row>
    <row r="304" spans="1:40" x14ac:dyDescent="0.25">
      <c r="A304" s="796"/>
      <c r="B304" s="59" t="s">
        <v>348</v>
      </c>
      <c r="C304" s="796"/>
      <c r="D304" s="796"/>
      <c r="E304" s="59" t="s">
        <v>347</v>
      </c>
      <c r="F304" s="59" t="s">
        <v>348</v>
      </c>
      <c r="G304" s="796"/>
      <c r="H304" s="796"/>
      <c r="I304" s="796"/>
      <c r="J304" s="796"/>
      <c r="K304" s="796"/>
      <c r="L304" s="796"/>
      <c r="M304" s="796"/>
      <c r="N304" s="796"/>
      <c r="O304" s="796"/>
      <c r="P304" s="796"/>
      <c r="Q304" s="796"/>
      <c r="R304" s="796"/>
      <c r="S304" s="796"/>
      <c r="T304" s="796"/>
      <c r="U304" s="796"/>
      <c r="V304" s="796"/>
      <c r="W304" s="796"/>
      <c r="X304" s="796"/>
      <c r="Y304" s="796"/>
      <c r="Z304" s="796"/>
      <c r="AA304" s="796"/>
      <c r="AB304" s="796"/>
      <c r="AC304" s="796"/>
      <c r="AD304" s="796"/>
      <c r="AE304" s="796"/>
      <c r="AF304" s="796"/>
      <c r="AG304" s="796"/>
      <c r="AH304" s="796"/>
      <c r="AI304" s="796"/>
      <c r="AJ304" s="796"/>
      <c r="AK304" s="796"/>
      <c r="AL304" s="796"/>
      <c r="AM304" s="796"/>
      <c r="AN304" s="796"/>
    </row>
    <row r="305" spans="1:40" x14ac:dyDescent="0.25">
      <c r="A305" s="796"/>
      <c r="B305" s="59">
        <v>4182</v>
      </c>
      <c r="C305" s="796"/>
      <c r="D305" s="796"/>
      <c r="E305" s="59" t="s">
        <v>70</v>
      </c>
      <c r="F305" s="59">
        <v>4182</v>
      </c>
      <c r="G305" s="796"/>
      <c r="H305" s="796"/>
      <c r="I305" s="796"/>
      <c r="J305" s="796"/>
      <c r="K305" s="796"/>
      <c r="L305" s="796"/>
      <c r="M305" s="796"/>
      <c r="N305" s="796"/>
      <c r="O305" s="796"/>
      <c r="P305" s="796"/>
      <c r="Q305" s="796"/>
      <c r="R305" s="796"/>
      <c r="S305" s="796"/>
      <c r="T305" s="796"/>
      <c r="U305" s="796"/>
      <c r="V305" s="796"/>
      <c r="W305" s="796"/>
      <c r="X305" s="796"/>
      <c r="Y305" s="796"/>
      <c r="Z305" s="796"/>
      <c r="AA305" s="796"/>
      <c r="AB305" s="796"/>
      <c r="AC305" s="796"/>
      <c r="AD305" s="796"/>
      <c r="AE305" s="796"/>
      <c r="AF305" s="796"/>
      <c r="AG305" s="796"/>
      <c r="AH305" s="796"/>
      <c r="AI305" s="796"/>
      <c r="AJ305" s="796"/>
      <c r="AK305" s="796"/>
      <c r="AL305" s="796"/>
      <c r="AM305" s="796"/>
      <c r="AN305" s="796"/>
    </row>
    <row r="306" spans="1:40" x14ac:dyDescent="0.25">
      <c r="A306" s="796"/>
      <c r="B306" s="59" t="s">
        <v>346</v>
      </c>
      <c r="C306" s="796"/>
      <c r="D306" s="796"/>
      <c r="E306" s="59" t="s">
        <v>344</v>
      </c>
      <c r="F306" s="59" t="s">
        <v>346</v>
      </c>
      <c r="G306" s="796"/>
      <c r="H306" s="796"/>
      <c r="I306" s="796"/>
      <c r="J306" s="796"/>
      <c r="K306" s="796"/>
      <c r="L306" s="796"/>
      <c r="M306" s="796"/>
      <c r="N306" s="796"/>
      <c r="O306" s="796"/>
      <c r="P306" s="796"/>
      <c r="Q306" s="796"/>
      <c r="R306" s="796"/>
      <c r="S306" s="796"/>
      <c r="T306" s="796"/>
      <c r="U306" s="796"/>
      <c r="V306" s="796"/>
      <c r="W306" s="796"/>
      <c r="X306" s="796"/>
      <c r="Y306" s="796"/>
      <c r="Z306" s="796"/>
      <c r="AA306" s="796"/>
      <c r="AB306" s="796"/>
      <c r="AC306" s="796"/>
      <c r="AD306" s="796"/>
      <c r="AE306" s="796"/>
      <c r="AF306" s="796"/>
      <c r="AG306" s="796"/>
      <c r="AH306" s="796"/>
      <c r="AI306" s="796"/>
      <c r="AJ306" s="796"/>
      <c r="AK306" s="796"/>
      <c r="AL306" s="796"/>
      <c r="AM306" s="796"/>
      <c r="AN306" s="796"/>
    </row>
    <row r="307" spans="1:40" x14ac:dyDescent="0.25">
      <c r="A307" s="796"/>
      <c r="B307" s="59">
        <v>1005</v>
      </c>
      <c r="C307" s="796"/>
      <c r="D307" s="796"/>
      <c r="E307" s="59" t="s">
        <v>6</v>
      </c>
      <c r="F307" s="59">
        <v>1005</v>
      </c>
      <c r="G307" s="796"/>
      <c r="H307" s="796"/>
      <c r="I307" s="796"/>
      <c r="J307" s="796"/>
      <c r="K307" s="796"/>
      <c r="L307" s="796"/>
      <c r="M307" s="796"/>
      <c r="N307" s="796"/>
      <c r="O307" s="796"/>
      <c r="P307" s="796"/>
      <c r="Q307" s="796"/>
      <c r="R307" s="796"/>
      <c r="S307" s="796"/>
      <c r="T307" s="796"/>
      <c r="U307" s="796"/>
      <c r="V307" s="796"/>
      <c r="W307" s="796"/>
      <c r="X307" s="796"/>
      <c r="Y307" s="796"/>
      <c r="Z307" s="796"/>
      <c r="AA307" s="796"/>
      <c r="AB307" s="796"/>
      <c r="AC307" s="796"/>
      <c r="AD307" s="796"/>
      <c r="AE307" s="796"/>
      <c r="AF307" s="796"/>
      <c r="AG307" s="796"/>
      <c r="AH307" s="796"/>
      <c r="AI307" s="796"/>
      <c r="AJ307" s="796"/>
      <c r="AK307" s="796"/>
      <c r="AL307" s="796"/>
      <c r="AM307" s="796"/>
      <c r="AN307" s="796"/>
    </row>
    <row r="308" spans="1:40" x14ac:dyDescent="0.25">
      <c r="A308" s="796"/>
      <c r="B308" s="59" t="s">
        <v>810</v>
      </c>
      <c r="C308" s="796"/>
      <c r="D308" s="796"/>
      <c r="E308" s="59" t="s">
        <v>809</v>
      </c>
      <c r="F308" s="59" t="s">
        <v>810</v>
      </c>
      <c r="G308" s="796"/>
      <c r="H308" s="796"/>
      <c r="I308" s="796"/>
      <c r="J308" s="796"/>
      <c r="K308" s="796"/>
      <c r="L308" s="796"/>
      <c r="M308" s="796"/>
      <c r="N308" s="796"/>
      <c r="O308" s="796"/>
      <c r="P308" s="796"/>
      <c r="Q308" s="796"/>
      <c r="R308" s="796"/>
      <c r="S308" s="796"/>
      <c r="T308" s="796"/>
      <c r="U308" s="796"/>
      <c r="V308" s="796"/>
      <c r="W308" s="796"/>
      <c r="X308" s="796"/>
      <c r="Y308" s="796"/>
      <c r="Z308" s="796"/>
      <c r="AA308" s="796"/>
      <c r="AB308" s="796"/>
      <c r="AC308" s="796"/>
      <c r="AD308" s="796"/>
      <c r="AE308" s="796"/>
      <c r="AF308" s="796"/>
      <c r="AG308" s="796"/>
      <c r="AH308" s="796"/>
      <c r="AI308" s="796"/>
      <c r="AJ308" s="796"/>
      <c r="AK308" s="796"/>
      <c r="AL308" s="796"/>
      <c r="AM308" s="796"/>
      <c r="AN308" s="796"/>
    </row>
    <row r="309" spans="1:40" x14ac:dyDescent="0.25">
      <c r="A309" s="796"/>
      <c r="B309" s="59">
        <v>2436</v>
      </c>
      <c r="C309" s="796"/>
      <c r="D309" s="796"/>
      <c r="E309" s="59" t="s">
        <v>39</v>
      </c>
      <c r="F309" s="59">
        <v>2436</v>
      </c>
      <c r="G309" s="796"/>
      <c r="H309" s="796"/>
      <c r="I309" s="796"/>
      <c r="J309" s="796"/>
      <c r="K309" s="796"/>
      <c r="L309" s="796"/>
      <c r="M309" s="796"/>
      <c r="N309" s="796"/>
      <c r="O309" s="796"/>
      <c r="P309" s="796"/>
      <c r="Q309" s="796"/>
      <c r="R309" s="796"/>
      <c r="S309" s="796"/>
      <c r="T309" s="796"/>
      <c r="U309" s="796"/>
      <c r="V309" s="796"/>
      <c r="W309" s="796"/>
      <c r="X309" s="796"/>
      <c r="Y309" s="796"/>
      <c r="Z309" s="796"/>
      <c r="AA309" s="796"/>
      <c r="AB309" s="796"/>
      <c r="AC309" s="796"/>
      <c r="AD309" s="796"/>
      <c r="AE309" s="796"/>
      <c r="AF309" s="796"/>
      <c r="AG309" s="796"/>
      <c r="AH309" s="796"/>
      <c r="AI309" s="796"/>
      <c r="AJ309" s="796"/>
      <c r="AK309" s="796"/>
      <c r="AL309" s="796"/>
      <c r="AM309" s="796"/>
      <c r="AN309" s="796"/>
    </row>
    <row r="310" spans="1:40" x14ac:dyDescent="0.25">
      <c r="A310" s="796"/>
      <c r="B310" s="59">
        <v>206117</v>
      </c>
      <c r="C310" s="796"/>
      <c r="D310" s="796"/>
      <c r="E310" s="59" t="s">
        <v>349</v>
      </c>
      <c r="F310" s="59">
        <v>206117</v>
      </c>
      <c r="G310" s="796"/>
      <c r="H310" s="796"/>
      <c r="I310" s="796"/>
      <c r="J310" s="796"/>
      <c r="K310" s="796"/>
      <c r="L310" s="796"/>
      <c r="M310" s="796"/>
      <c r="N310" s="796"/>
      <c r="O310" s="796"/>
      <c r="P310" s="796"/>
      <c r="Q310" s="796"/>
      <c r="R310" s="796"/>
      <c r="S310" s="796"/>
      <c r="T310" s="796"/>
      <c r="U310" s="796"/>
      <c r="V310" s="796"/>
      <c r="W310" s="796"/>
      <c r="X310" s="796"/>
      <c r="Y310" s="796"/>
      <c r="Z310" s="796"/>
      <c r="AA310" s="796"/>
      <c r="AB310" s="796"/>
      <c r="AC310" s="796"/>
      <c r="AD310" s="796"/>
      <c r="AE310" s="796"/>
      <c r="AF310" s="796"/>
      <c r="AG310" s="796"/>
      <c r="AH310" s="796"/>
      <c r="AI310" s="796"/>
      <c r="AJ310" s="796"/>
      <c r="AK310" s="796"/>
      <c r="AL310" s="796"/>
      <c r="AM310" s="796"/>
      <c r="AN310" s="796"/>
    </row>
    <row r="311" spans="1:40" x14ac:dyDescent="0.25">
      <c r="A311" s="796"/>
      <c r="B311" s="59">
        <v>2452</v>
      </c>
      <c r="C311" s="796"/>
      <c r="D311" s="796"/>
      <c r="E311" s="59" t="s">
        <v>40</v>
      </c>
      <c r="F311" s="59">
        <v>2452</v>
      </c>
      <c r="G311" s="796"/>
      <c r="H311" s="796"/>
      <c r="I311" s="796"/>
      <c r="J311" s="796"/>
      <c r="K311" s="796"/>
      <c r="L311" s="796"/>
      <c r="M311" s="796"/>
      <c r="N311" s="796"/>
      <c r="O311" s="796"/>
      <c r="P311" s="796"/>
      <c r="Q311" s="796"/>
      <c r="R311" s="796"/>
      <c r="S311" s="796"/>
      <c r="T311" s="796"/>
      <c r="U311" s="796"/>
      <c r="V311" s="796"/>
      <c r="W311" s="796"/>
      <c r="X311" s="796"/>
      <c r="Y311" s="796"/>
      <c r="Z311" s="796"/>
      <c r="AA311" s="796"/>
      <c r="AB311" s="796"/>
      <c r="AC311" s="796"/>
      <c r="AD311" s="796"/>
      <c r="AE311" s="796"/>
      <c r="AF311" s="796"/>
      <c r="AG311" s="796"/>
      <c r="AH311" s="796"/>
      <c r="AI311" s="796"/>
      <c r="AJ311" s="796"/>
      <c r="AK311" s="796"/>
      <c r="AL311" s="796"/>
      <c r="AM311" s="796"/>
      <c r="AN311" s="796"/>
    </row>
    <row r="312" spans="1:40" x14ac:dyDescent="0.25">
      <c r="A312" s="796"/>
      <c r="B312" s="59">
        <v>4001</v>
      </c>
      <c r="C312" s="796"/>
      <c r="D312" s="796"/>
      <c r="E312" s="59" t="s">
        <v>71</v>
      </c>
      <c r="F312" s="59">
        <v>4001</v>
      </c>
      <c r="G312" s="796"/>
      <c r="H312" s="796"/>
      <c r="I312" s="796"/>
      <c r="J312" s="796"/>
      <c r="K312" s="796"/>
      <c r="L312" s="796"/>
      <c r="M312" s="796"/>
      <c r="N312" s="796"/>
      <c r="O312" s="796"/>
      <c r="P312" s="796"/>
      <c r="Q312" s="796"/>
      <c r="R312" s="796"/>
      <c r="S312" s="796"/>
      <c r="T312" s="796"/>
      <c r="U312" s="796"/>
      <c r="V312" s="796"/>
      <c r="W312" s="796"/>
      <c r="X312" s="796"/>
      <c r="Y312" s="796"/>
      <c r="Z312" s="796"/>
      <c r="AA312" s="796"/>
      <c r="AB312" s="796"/>
      <c r="AC312" s="796"/>
      <c r="AD312" s="796"/>
      <c r="AE312" s="796"/>
      <c r="AF312" s="796"/>
      <c r="AG312" s="796"/>
      <c r="AH312" s="796"/>
      <c r="AI312" s="796"/>
      <c r="AJ312" s="796"/>
      <c r="AK312" s="796"/>
      <c r="AL312" s="796"/>
      <c r="AM312" s="796"/>
      <c r="AN312" s="796"/>
    </row>
    <row r="313" spans="1:40" x14ac:dyDescent="0.25">
      <c r="A313" s="796"/>
      <c r="B313" s="59">
        <v>206141</v>
      </c>
      <c r="C313" s="796"/>
      <c r="D313" s="796"/>
      <c r="E313" s="59" t="s">
        <v>351</v>
      </c>
      <c r="F313" s="59">
        <v>206141</v>
      </c>
      <c r="G313" s="796"/>
      <c r="H313" s="796"/>
      <c r="I313" s="796"/>
      <c r="J313" s="796"/>
      <c r="K313" s="796"/>
      <c r="L313" s="796"/>
      <c r="M313" s="796"/>
      <c r="N313" s="796"/>
      <c r="O313" s="796"/>
      <c r="P313" s="796"/>
      <c r="Q313" s="796"/>
      <c r="R313" s="796"/>
      <c r="S313" s="796"/>
      <c r="T313" s="796"/>
      <c r="U313" s="796"/>
      <c r="V313" s="796"/>
      <c r="W313" s="796"/>
      <c r="X313" s="796"/>
      <c r="Y313" s="796"/>
      <c r="Z313" s="796"/>
      <c r="AA313" s="796"/>
      <c r="AB313" s="796"/>
      <c r="AC313" s="796"/>
      <c r="AD313" s="796"/>
      <c r="AE313" s="796"/>
      <c r="AF313" s="796"/>
      <c r="AG313" s="796"/>
      <c r="AH313" s="796"/>
      <c r="AI313" s="796"/>
      <c r="AJ313" s="796"/>
      <c r="AK313" s="796"/>
      <c r="AL313" s="796"/>
      <c r="AM313" s="796"/>
      <c r="AN313" s="796"/>
    </row>
    <row r="314" spans="1:40" x14ac:dyDescent="0.25">
      <c r="A314" s="796"/>
      <c r="B314" s="59">
        <v>2627</v>
      </c>
      <c r="C314" s="796"/>
      <c r="D314" s="796"/>
      <c r="E314" s="59" t="s">
        <v>41</v>
      </c>
      <c r="F314" s="59">
        <v>2627</v>
      </c>
      <c r="G314" s="796"/>
      <c r="H314" s="796"/>
      <c r="I314" s="796"/>
      <c r="J314" s="796"/>
      <c r="K314" s="796"/>
      <c r="L314" s="796"/>
      <c r="M314" s="796"/>
      <c r="N314" s="796"/>
      <c r="O314" s="796"/>
      <c r="P314" s="796"/>
      <c r="Q314" s="796"/>
      <c r="R314" s="796"/>
      <c r="S314" s="796"/>
      <c r="T314" s="796"/>
      <c r="U314" s="796"/>
      <c r="V314" s="796"/>
      <c r="W314" s="796"/>
      <c r="X314" s="796"/>
      <c r="Y314" s="796"/>
      <c r="Z314" s="796"/>
      <c r="AA314" s="796"/>
      <c r="AB314" s="796"/>
      <c r="AC314" s="796"/>
      <c r="AD314" s="796"/>
      <c r="AE314" s="796"/>
      <c r="AF314" s="796"/>
      <c r="AG314" s="796"/>
      <c r="AH314" s="796"/>
      <c r="AI314" s="796"/>
      <c r="AJ314" s="796"/>
      <c r="AK314" s="796"/>
      <c r="AL314" s="796"/>
      <c r="AM314" s="796"/>
      <c r="AN314" s="796"/>
    </row>
    <row r="315" spans="1:40" x14ac:dyDescent="0.25">
      <c r="A315" s="796"/>
      <c r="B315" s="59">
        <v>5406</v>
      </c>
      <c r="C315" s="796"/>
      <c r="D315" s="796"/>
      <c r="E315" s="59" t="s">
        <v>112</v>
      </c>
      <c r="F315" s="59">
        <v>5406</v>
      </c>
      <c r="G315" s="796"/>
      <c r="H315" s="796"/>
      <c r="I315" s="796"/>
      <c r="J315" s="796"/>
      <c r="K315" s="796"/>
      <c r="L315" s="796"/>
      <c r="M315" s="796"/>
      <c r="N315" s="796"/>
      <c r="O315" s="796"/>
      <c r="P315" s="796"/>
      <c r="Q315" s="796"/>
      <c r="R315" s="796"/>
      <c r="S315" s="796"/>
      <c r="T315" s="796"/>
      <c r="U315" s="796"/>
      <c r="V315" s="796"/>
      <c r="W315" s="796"/>
      <c r="X315" s="796"/>
      <c r="Y315" s="796"/>
      <c r="Z315" s="796"/>
      <c r="AA315" s="796"/>
      <c r="AB315" s="796"/>
      <c r="AC315" s="796"/>
      <c r="AD315" s="796"/>
      <c r="AE315" s="796"/>
      <c r="AF315" s="796"/>
      <c r="AG315" s="796"/>
      <c r="AH315" s="796"/>
      <c r="AI315" s="796"/>
      <c r="AJ315" s="796"/>
      <c r="AK315" s="796"/>
      <c r="AL315" s="796"/>
      <c r="AM315" s="796"/>
      <c r="AN315" s="796"/>
    </row>
    <row r="316" spans="1:40" x14ac:dyDescent="0.25">
      <c r="A316" s="796"/>
      <c r="B316" s="59">
        <v>5407</v>
      </c>
      <c r="C316" s="796"/>
      <c r="D316" s="796"/>
      <c r="E316" s="59" t="s">
        <v>113</v>
      </c>
      <c r="F316" s="59">
        <v>5407</v>
      </c>
      <c r="G316" s="796"/>
      <c r="H316" s="796"/>
      <c r="I316" s="796"/>
      <c r="J316" s="796"/>
      <c r="K316" s="796"/>
      <c r="L316" s="796"/>
      <c r="M316" s="796"/>
      <c r="N316" s="796"/>
      <c r="O316" s="796"/>
      <c r="P316" s="796"/>
      <c r="Q316" s="796"/>
      <c r="R316" s="796"/>
      <c r="S316" s="796"/>
      <c r="T316" s="796"/>
      <c r="U316" s="796"/>
      <c r="V316" s="796"/>
      <c r="W316" s="796"/>
      <c r="X316" s="796"/>
      <c r="Y316" s="796"/>
      <c r="Z316" s="796"/>
      <c r="AA316" s="796"/>
      <c r="AB316" s="796"/>
      <c r="AC316" s="796"/>
      <c r="AD316" s="796"/>
      <c r="AE316" s="796"/>
      <c r="AF316" s="796"/>
      <c r="AG316" s="796"/>
      <c r="AH316" s="796"/>
      <c r="AI316" s="796"/>
      <c r="AJ316" s="796"/>
      <c r="AK316" s="796"/>
      <c r="AL316" s="796"/>
      <c r="AM316" s="796"/>
      <c r="AN316" s="796"/>
    </row>
    <row r="317" spans="1:40" x14ac:dyDescent="0.25">
      <c r="A317" s="796"/>
      <c r="B317" s="59" t="s">
        <v>355</v>
      </c>
      <c r="C317" s="796"/>
      <c r="D317" s="796"/>
      <c r="E317" s="59" t="s">
        <v>353</v>
      </c>
      <c r="F317" s="59" t="s">
        <v>355</v>
      </c>
      <c r="G317" s="796"/>
      <c r="H317" s="796"/>
      <c r="I317" s="796"/>
      <c r="J317" s="796"/>
      <c r="K317" s="796"/>
      <c r="L317" s="796"/>
      <c r="M317" s="796"/>
      <c r="N317" s="796"/>
      <c r="O317" s="796"/>
      <c r="P317" s="796"/>
      <c r="Q317" s="796"/>
      <c r="R317" s="796"/>
      <c r="S317" s="796"/>
      <c r="T317" s="796"/>
      <c r="U317" s="796"/>
      <c r="V317" s="796"/>
      <c r="W317" s="796"/>
      <c r="X317" s="796"/>
      <c r="Y317" s="796"/>
      <c r="Z317" s="796"/>
      <c r="AA317" s="796"/>
      <c r="AB317" s="796"/>
      <c r="AC317" s="796"/>
      <c r="AD317" s="796"/>
      <c r="AE317" s="796"/>
      <c r="AF317" s="796"/>
      <c r="AG317" s="796"/>
      <c r="AH317" s="796"/>
      <c r="AI317" s="796"/>
      <c r="AJ317" s="796"/>
      <c r="AK317" s="796"/>
      <c r="AL317" s="796"/>
      <c r="AM317" s="796"/>
      <c r="AN317" s="796"/>
    </row>
    <row r="318" spans="1:40" x14ac:dyDescent="0.25">
      <c r="A318" s="796"/>
      <c r="B318" s="59">
        <v>258404</v>
      </c>
      <c r="C318" s="796"/>
      <c r="D318" s="796"/>
      <c r="E318" s="59" t="s">
        <v>356</v>
      </c>
      <c r="F318" s="59">
        <v>258404</v>
      </c>
      <c r="G318" s="796"/>
      <c r="H318" s="796"/>
      <c r="I318" s="796"/>
      <c r="J318" s="796"/>
      <c r="K318" s="796"/>
      <c r="L318" s="796"/>
      <c r="M318" s="796"/>
      <c r="N318" s="796"/>
      <c r="O318" s="796"/>
      <c r="P318" s="796"/>
      <c r="Q318" s="796"/>
      <c r="R318" s="796"/>
      <c r="S318" s="796"/>
      <c r="T318" s="796"/>
      <c r="U318" s="796"/>
      <c r="V318" s="796"/>
      <c r="W318" s="796"/>
      <c r="X318" s="796"/>
      <c r="Y318" s="796"/>
      <c r="Z318" s="796"/>
      <c r="AA318" s="796"/>
      <c r="AB318" s="796"/>
      <c r="AC318" s="796"/>
      <c r="AD318" s="796"/>
      <c r="AE318" s="796"/>
      <c r="AF318" s="796"/>
      <c r="AG318" s="796"/>
      <c r="AH318" s="796"/>
      <c r="AI318" s="796"/>
      <c r="AJ318" s="796"/>
      <c r="AK318" s="796"/>
      <c r="AL318" s="796"/>
      <c r="AM318" s="796"/>
      <c r="AN318" s="796"/>
    </row>
    <row r="319" spans="1:40" x14ac:dyDescent="0.25">
      <c r="A319" s="796"/>
      <c r="B319" s="59">
        <v>2473</v>
      </c>
      <c r="C319" s="796"/>
      <c r="D319" s="796"/>
      <c r="E319" s="59" t="s">
        <v>101</v>
      </c>
      <c r="F319" s="59">
        <v>2473</v>
      </c>
      <c r="G319" s="796"/>
      <c r="H319" s="796"/>
      <c r="I319" s="796"/>
      <c r="J319" s="796"/>
      <c r="K319" s="796"/>
      <c r="L319" s="796"/>
      <c r="M319" s="796"/>
      <c r="N319" s="796"/>
      <c r="O319" s="796"/>
      <c r="P319" s="796"/>
      <c r="Q319" s="796"/>
      <c r="R319" s="796"/>
      <c r="S319" s="796"/>
      <c r="T319" s="796"/>
      <c r="U319" s="796"/>
      <c r="V319" s="796"/>
      <c r="W319" s="796"/>
      <c r="X319" s="796"/>
      <c r="Y319" s="796"/>
      <c r="Z319" s="796"/>
      <c r="AA319" s="796"/>
      <c r="AB319" s="796"/>
      <c r="AC319" s="796"/>
      <c r="AD319" s="796"/>
      <c r="AE319" s="796"/>
      <c r="AF319" s="796"/>
      <c r="AG319" s="796"/>
      <c r="AH319" s="796"/>
      <c r="AI319" s="796"/>
      <c r="AJ319" s="796"/>
      <c r="AK319" s="796"/>
      <c r="AL319" s="796"/>
      <c r="AM319" s="796"/>
      <c r="AN319" s="796"/>
    </row>
    <row r="320" spans="1:40" x14ac:dyDescent="0.25">
      <c r="A320" s="796"/>
      <c r="B320" s="59">
        <v>2471</v>
      </c>
      <c r="C320" s="796"/>
      <c r="D320" s="796"/>
      <c r="E320" s="59" t="s">
        <v>44</v>
      </c>
      <c r="F320" s="59">
        <v>2471</v>
      </c>
      <c r="G320" s="796"/>
      <c r="H320" s="796"/>
      <c r="I320" s="796"/>
      <c r="J320" s="796"/>
      <c r="K320" s="796"/>
      <c r="L320" s="796"/>
      <c r="M320" s="796"/>
      <c r="N320" s="796"/>
      <c r="O320" s="796"/>
      <c r="P320" s="796"/>
      <c r="Q320" s="796"/>
      <c r="R320" s="796"/>
      <c r="S320" s="796"/>
      <c r="T320" s="796"/>
      <c r="U320" s="796"/>
      <c r="V320" s="796"/>
      <c r="W320" s="796"/>
      <c r="X320" s="796"/>
      <c r="Y320" s="796"/>
      <c r="Z320" s="796"/>
      <c r="AA320" s="796"/>
      <c r="AB320" s="796"/>
      <c r="AC320" s="796"/>
      <c r="AD320" s="796"/>
      <c r="AE320" s="796"/>
      <c r="AF320" s="796"/>
      <c r="AG320" s="796"/>
      <c r="AH320" s="796"/>
      <c r="AI320" s="796"/>
      <c r="AJ320" s="796"/>
      <c r="AK320" s="796"/>
      <c r="AL320" s="796"/>
      <c r="AM320" s="796"/>
      <c r="AN320" s="796"/>
    </row>
    <row r="321" spans="1:40" x14ac:dyDescent="0.25">
      <c r="A321" s="796"/>
      <c r="B321" s="59">
        <v>258405</v>
      </c>
      <c r="C321" s="796"/>
      <c r="D321" s="796"/>
      <c r="E321" s="59" t="s">
        <v>358</v>
      </c>
      <c r="F321" s="59">
        <v>258405</v>
      </c>
      <c r="G321" s="796"/>
      <c r="H321" s="796"/>
      <c r="I321" s="796"/>
      <c r="J321" s="796"/>
      <c r="K321" s="796"/>
      <c r="L321" s="796"/>
      <c r="M321" s="796"/>
      <c r="N321" s="796"/>
      <c r="O321" s="796"/>
      <c r="P321" s="796"/>
      <c r="Q321" s="796"/>
      <c r="R321" s="796"/>
      <c r="S321" s="796"/>
      <c r="T321" s="796"/>
      <c r="U321" s="796"/>
      <c r="V321" s="796"/>
      <c r="W321" s="796"/>
      <c r="X321" s="796"/>
      <c r="Y321" s="796"/>
      <c r="Z321" s="796"/>
      <c r="AA321" s="796"/>
      <c r="AB321" s="796"/>
      <c r="AC321" s="796"/>
      <c r="AD321" s="796"/>
      <c r="AE321" s="796"/>
      <c r="AF321" s="796"/>
      <c r="AG321" s="796"/>
      <c r="AH321" s="796"/>
      <c r="AI321" s="796"/>
      <c r="AJ321" s="796"/>
      <c r="AK321" s="796"/>
      <c r="AL321" s="796"/>
      <c r="AM321" s="796"/>
      <c r="AN321" s="796"/>
    </row>
    <row r="322" spans="1:40" x14ac:dyDescent="0.25">
      <c r="A322" s="796"/>
      <c r="B322" s="59">
        <v>258406</v>
      </c>
      <c r="C322" s="796"/>
      <c r="D322" s="796"/>
      <c r="E322" s="59" t="s">
        <v>360</v>
      </c>
      <c r="F322" s="59">
        <v>258406</v>
      </c>
      <c r="G322" s="796"/>
      <c r="H322" s="796"/>
      <c r="I322" s="796"/>
      <c r="J322" s="796"/>
      <c r="K322" s="796"/>
      <c r="L322" s="796"/>
      <c r="M322" s="796"/>
      <c r="N322" s="796"/>
      <c r="O322" s="796"/>
      <c r="P322" s="796"/>
      <c r="Q322" s="796"/>
      <c r="R322" s="796"/>
      <c r="S322" s="796"/>
      <c r="T322" s="796"/>
      <c r="U322" s="796"/>
      <c r="V322" s="796"/>
      <c r="W322" s="796"/>
      <c r="X322" s="796"/>
      <c r="Y322" s="796"/>
      <c r="Z322" s="796"/>
      <c r="AA322" s="796"/>
      <c r="AB322" s="796"/>
      <c r="AC322" s="796"/>
      <c r="AD322" s="796"/>
      <c r="AE322" s="796"/>
      <c r="AF322" s="796"/>
      <c r="AG322" s="796"/>
      <c r="AH322" s="796"/>
      <c r="AI322" s="796"/>
      <c r="AJ322" s="796"/>
      <c r="AK322" s="796"/>
      <c r="AL322" s="796"/>
      <c r="AM322" s="796"/>
      <c r="AN322" s="796"/>
    </row>
    <row r="323" spans="1:40" x14ac:dyDescent="0.25">
      <c r="A323" s="796"/>
      <c r="B323" s="59">
        <v>206145</v>
      </c>
      <c r="C323" s="796"/>
      <c r="D323" s="796"/>
      <c r="E323" s="59" t="s">
        <v>1395</v>
      </c>
      <c r="F323" s="59">
        <v>206145</v>
      </c>
      <c r="G323" s="796"/>
      <c r="H323" s="796"/>
      <c r="I323" s="796"/>
      <c r="J323" s="796"/>
      <c r="K323" s="796"/>
      <c r="L323" s="796"/>
      <c r="M323" s="796"/>
      <c r="N323" s="796"/>
      <c r="O323" s="796"/>
      <c r="P323" s="796"/>
      <c r="Q323" s="796"/>
      <c r="R323" s="796"/>
      <c r="S323" s="796"/>
      <c r="T323" s="796"/>
      <c r="U323" s="796"/>
      <c r="V323" s="796"/>
      <c r="W323" s="796"/>
      <c r="X323" s="796"/>
      <c r="Y323" s="796"/>
      <c r="Z323" s="796"/>
      <c r="AA323" s="796"/>
      <c r="AB323" s="796"/>
      <c r="AC323" s="796"/>
      <c r="AD323" s="796"/>
      <c r="AE323" s="796"/>
      <c r="AF323" s="796"/>
      <c r="AG323" s="796"/>
      <c r="AH323" s="796"/>
      <c r="AI323" s="796"/>
      <c r="AJ323" s="796"/>
      <c r="AK323" s="796"/>
      <c r="AL323" s="796"/>
      <c r="AM323" s="796"/>
      <c r="AN323" s="796"/>
    </row>
    <row r="324" spans="1:40" x14ac:dyDescent="0.25">
      <c r="A324" s="796"/>
      <c r="B324" s="59">
        <v>2420</v>
      </c>
      <c r="C324" s="796"/>
      <c r="D324" s="796"/>
      <c r="E324" s="59" t="s">
        <v>43</v>
      </c>
      <c r="F324" s="59">
        <v>2420</v>
      </c>
      <c r="G324" s="796"/>
      <c r="H324" s="796"/>
      <c r="I324" s="796"/>
      <c r="J324" s="796"/>
      <c r="K324" s="796"/>
      <c r="L324" s="796"/>
      <c r="M324" s="796"/>
      <c r="N324" s="796"/>
      <c r="O324" s="796"/>
      <c r="P324" s="796"/>
      <c r="Q324" s="796"/>
      <c r="R324" s="796"/>
      <c r="S324" s="796"/>
      <c r="T324" s="796"/>
      <c r="U324" s="796"/>
      <c r="V324" s="796"/>
      <c r="W324" s="796"/>
      <c r="X324" s="796"/>
      <c r="Y324" s="796"/>
      <c r="Z324" s="796"/>
      <c r="AA324" s="796"/>
      <c r="AB324" s="796"/>
      <c r="AC324" s="796"/>
      <c r="AD324" s="796"/>
      <c r="AE324" s="796"/>
      <c r="AF324" s="796"/>
      <c r="AG324" s="796"/>
      <c r="AH324" s="796"/>
      <c r="AI324" s="796"/>
      <c r="AJ324" s="796"/>
      <c r="AK324" s="796"/>
      <c r="AL324" s="796"/>
      <c r="AM324" s="796"/>
      <c r="AN324" s="796"/>
    </row>
    <row r="325" spans="1:40" x14ac:dyDescent="0.25">
      <c r="A325" s="796"/>
      <c r="B325" s="59">
        <v>206160</v>
      </c>
      <c r="C325" s="796"/>
      <c r="D325" s="796"/>
      <c r="E325" s="59" t="s">
        <v>362</v>
      </c>
      <c r="F325" s="59">
        <v>206160</v>
      </c>
      <c r="G325" s="796"/>
      <c r="H325" s="796"/>
      <c r="I325" s="796"/>
      <c r="J325" s="796"/>
      <c r="K325" s="796"/>
      <c r="L325" s="796"/>
      <c r="M325" s="796"/>
      <c r="N325" s="796"/>
      <c r="O325" s="796"/>
      <c r="P325" s="796"/>
      <c r="Q325" s="796"/>
      <c r="R325" s="796"/>
      <c r="S325" s="796"/>
      <c r="T325" s="796"/>
      <c r="U325" s="796"/>
      <c r="V325" s="796"/>
      <c r="W325" s="796"/>
      <c r="X325" s="796"/>
      <c r="Y325" s="796"/>
      <c r="Z325" s="796"/>
      <c r="AA325" s="796"/>
      <c r="AB325" s="796"/>
      <c r="AC325" s="796"/>
      <c r="AD325" s="796"/>
      <c r="AE325" s="796"/>
      <c r="AF325" s="796"/>
      <c r="AG325" s="796"/>
      <c r="AH325" s="796"/>
      <c r="AI325" s="796"/>
      <c r="AJ325" s="796"/>
      <c r="AK325" s="796"/>
      <c r="AL325" s="796"/>
      <c r="AM325" s="796"/>
      <c r="AN325" s="796"/>
    </row>
    <row r="326" spans="1:40" x14ac:dyDescent="0.25">
      <c r="A326" s="796"/>
      <c r="B326" s="59">
        <v>2003</v>
      </c>
      <c r="C326" s="796"/>
      <c r="D326" s="796"/>
      <c r="E326" s="59" t="s">
        <v>45</v>
      </c>
      <c r="F326" s="59">
        <v>2003</v>
      </c>
      <c r="G326" s="796"/>
      <c r="H326" s="796"/>
      <c r="I326" s="796"/>
      <c r="J326" s="796"/>
      <c r="K326" s="796"/>
      <c r="L326" s="796"/>
      <c r="M326" s="796"/>
      <c r="N326" s="796"/>
      <c r="O326" s="796"/>
      <c r="P326" s="796"/>
      <c r="Q326" s="796"/>
      <c r="R326" s="796"/>
      <c r="S326" s="796"/>
      <c r="T326" s="796"/>
      <c r="U326" s="796"/>
      <c r="V326" s="796"/>
      <c r="W326" s="796"/>
      <c r="X326" s="796"/>
      <c r="Y326" s="796"/>
      <c r="Z326" s="796"/>
      <c r="AA326" s="796"/>
      <c r="AB326" s="796"/>
      <c r="AC326" s="796"/>
      <c r="AD326" s="796"/>
      <c r="AE326" s="796"/>
      <c r="AF326" s="796"/>
      <c r="AG326" s="796"/>
      <c r="AH326" s="796"/>
      <c r="AI326" s="796"/>
      <c r="AJ326" s="796"/>
      <c r="AK326" s="796"/>
      <c r="AL326" s="796"/>
      <c r="AM326" s="796"/>
      <c r="AN326" s="796"/>
    </row>
    <row r="327" spans="1:40" x14ac:dyDescent="0.25">
      <c r="A327" s="796"/>
      <c r="B327" s="59">
        <v>2423</v>
      </c>
      <c r="C327" s="796"/>
      <c r="D327" s="796"/>
      <c r="E327" s="59" t="s">
        <v>46</v>
      </c>
      <c r="F327" s="59">
        <v>2423</v>
      </c>
      <c r="G327" s="796"/>
      <c r="H327" s="796"/>
      <c r="I327" s="796"/>
      <c r="J327" s="796"/>
      <c r="K327" s="796"/>
      <c r="L327" s="796"/>
      <c r="M327" s="796"/>
      <c r="N327" s="796"/>
      <c r="O327" s="796"/>
      <c r="P327" s="796"/>
      <c r="Q327" s="796"/>
      <c r="R327" s="796"/>
      <c r="S327" s="796"/>
      <c r="T327" s="796"/>
      <c r="U327" s="796"/>
      <c r="V327" s="796"/>
      <c r="W327" s="796"/>
      <c r="X327" s="796"/>
      <c r="Y327" s="796"/>
      <c r="Z327" s="796"/>
      <c r="AA327" s="796"/>
      <c r="AB327" s="796"/>
      <c r="AC327" s="796"/>
      <c r="AD327" s="796"/>
      <c r="AE327" s="796"/>
      <c r="AF327" s="796"/>
      <c r="AG327" s="796"/>
      <c r="AH327" s="796"/>
      <c r="AI327" s="796"/>
      <c r="AJ327" s="796"/>
      <c r="AK327" s="796"/>
      <c r="AL327" s="796"/>
      <c r="AM327" s="796"/>
      <c r="AN327" s="796"/>
    </row>
    <row r="328" spans="1:40" x14ac:dyDescent="0.25">
      <c r="A328" s="796"/>
      <c r="B328" s="59">
        <v>2424</v>
      </c>
      <c r="C328" s="796"/>
      <c r="D328" s="796"/>
      <c r="E328" s="59" t="s">
        <v>47</v>
      </c>
      <c r="F328" s="59">
        <v>2424</v>
      </c>
      <c r="G328" s="796"/>
      <c r="H328" s="796"/>
      <c r="I328" s="796"/>
      <c r="J328" s="796"/>
      <c r="K328" s="796"/>
      <c r="L328" s="796"/>
      <c r="M328" s="796"/>
      <c r="N328" s="796"/>
      <c r="O328" s="796"/>
      <c r="P328" s="796"/>
      <c r="Q328" s="796"/>
      <c r="R328" s="796"/>
      <c r="S328" s="796"/>
      <c r="T328" s="796"/>
      <c r="U328" s="796"/>
      <c r="V328" s="796"/>
      <c r="W328" s="796"/>
      <c r="X328" s="796"/>
      <c r="Y328" s="796"/>
      <c r="Z328" s="796"/>
      <c r="AA328" s="796"/>
      <c r="AB328" s="796"/>
      <c r="AC328" s="796"/>
      <c r="AD328" s="796"/>
      <c r="AE328" s="796"/>
      <c r="AF328" s="796"/>
      <c r="AG328" s="796"/>
      <c r="AH328" s="796"/>
      <c r="AI328" s="796"/>
      <c r="AJ328" s="796"/>
      <c r="AK328" s="796"/>
      <c r="AL328" s="796"/>
      <c r="AM328" s="796"/>
      <c r="AN328" s="796"/>
    </row>
    <row r="329" spans="1:40" x14ac:dyDescent="0.25">
      <c r="A329" s="796"/>
      <c r="B329" s="59" t="s">
        <v>366</v>
      </c>
      <c r="C329" s="796"/>
      <c r="D329" s="796"/>
      <c r="E329" s="59" t="s">
        <v>364</v>
      </c>
      <c r="F329" s="59" t="s">
        <v>366</v>
      </c>
      <c r="G329" s="796"/>
      <c r="H329" s="796"/>
      <c r="I329" s="796"/>
      <c r="J329" s="796"/>
      <c r="K329" s="796"/>
      <c r="L329" s="796"/>
      <c r="M329" s="796"/>
      <c r="N329" s="796"/>
      <c r="O329" s="796"/>
      <c r="P329" s="796"/>
      <c r="Q329" s="796"/>
      <c r="R329" s="796"/>
      <c r="S329" s="796"/>
      <c r="T329" s="796"/>
      <c r="U329" s="796"/>
      <c r="V329" s="796"/>
      <c r="W329" s="796"/>
      <c r="X329" s="796"/>
      <c r="Y329" s="796"/>
      <c r="Z329" s="796"/>
      <c r="AA329" s="796"/>
      <c r="AB329" s="796"/>
      <c r="AC329" s="796"/>
      <c r="AD329" s="796"/>
      <c r="AE329" s="796"/>
      <c r="AF329" s="796"/>
      <c r="AG329" s="796"/>
      <c r="AH329" s="796"/>
      <c r="AI329" s="796"/>
      <c r="AJ329" s="796"/>
      <c r="AK329" s="796"/>
      <c r="AL329" s="796"/>
      <c r="AM329" s="796"/>
      <c r="AN329" s="796"/>
    </row>
    <row r="330" spans="1:40" x14ac:dyDescent="0.25">
      <c r="A330" s="796"/>
      <c r="B330" s="59" t="s">
        <v>368</v>
      </c>
      <c r="C330" s="796"/>
      <c r="D330" s="796"/>
      <c r="E330" s="59" t="s">
        <v>367</v>
      </c>
      <c r="F330" s="59" t="s">
        <v>368</v>
      </c>
      <c r="G330" s="796"/>
      <c r="H330" s="796"/>
      <c r="I330" s="796"/>
      <c r="J330" s="796"/>
      <c r="K330" s="796"/>
      <c r="L330" s="796"/>
      <c r="M330" s="796"/>
      <c r="N330" s="796"/>
      <c r="O330" s="796"/>
      <c r="P330" s="796"/>
      <c r="Q330" s="796"/>
      <c r="R330" s="796"/>
      <c r="S330" s="796"/>
      <c r="T330" s="796"/>
      <c r="U330" s="796"/>
      <c r="V330" s="796"/>
      <c r="W330" s="796"/>
      <c r="X330" s="796"/>
      <c r="Y330" s="796"/>
      <c r="Z330" s="796"/>
      <c r="AA330" s="796"/>
      <c r="AB330" s="796"/>
      <c r="AC330" s="796"/>
      <c r="AD330" s="796"/>
      <c r="AE330" s="796"/>
      <c r="AF330" s="796"/>
      <c r="AG330" s="796"/>
      <c r="AH330" s="796"/>
      <c r="AI330" s="796"/>
      <c r="AJ330" s="796"/>
      <c r="AK330" s="796"/>
      <c r="AL330" s="796"/>
      <c r="AM330" s="796"/>
      <c r="AN330" s="796"/>
    </row>
    <row r="331" spans="1:40" x14ac:dyDescent="0.25">
      <c r="A331" s="796"/>
      <c r="B331" s="59" t="s">
        <v>371</v>
      </c>
      <c r="C331" s="796"/>
      <c r="D331" s="796"/>
      <c r="E331" s="59" t="s">
        <v>369</v>
      </c>
      <c r="F331" s="59" t="s">
        <v>371</v>
      </c>
      <c r="G331" s="796"/>
      <c r="H331" s="796"/>
      <c r="I331" s="796"/>
      <c r="J331" s="796"/>
      <c r="K331" s="796"/>
      <c r="L331" s="796"/>
      <c r="M331" s="796"/>
      <c r="N331" s="796"/>
      <c r="O331" s="796"/>
      <c r="P331" s="796"/>
      <c r="Q331" s="796"/>
      <c r="R331" s="796"/>
      <c r="S331" s="796"/>
      <c r="T331" s="796"/>
      <c r="U331" s="796"/>
      <c r="V331" s="796"/>
      <c r="W331" s="796"/>
      <c r="X331" s="796"/>
      <c r="Y331" s="796"/>
      <c r="Z331" s="796"/>
      <c r="AA331" s="796"/>
      <c r="AB331" s="796"/>
      <c r="AC331" s="796"/>
      <c r="AD331" s="796"/>
      <c r="AE331" s="796"/>
      <c r="AF331" s="796"/>
      <c r="AG331" s="796"/>
      <c r="AH331" s="796"/>
      <c r="AI331" s="796"/>
      <c r="AJ331" s="796"/>
      <c r="AK331" s="796"/>
      <c r="AL331" s="796"/>
      <c r="AM331" s="796"/>
      <c r="AN331" s="796"/>
    </row>
    <row r="332" spans="1:40" x14ac:dyDescent="0.25">
      <c r="A332" s="796"/>
      <c r="B332" s="59" t="s">
        <v>812</v>
      </c>
      <c r="C332" s="796"/>
      <c r="D332" s="796"/>
      <c r="E332" s="59" t="s">
        <v>811</v>
      </c>
      <c r="F332" s="59" t="s">
        <v>812</v>
      </c>
      <c r="G332" s="796"/>
      <c r="H332" s="796"/>
      <c r="I332" s="796"/>
      <c r="J332" s="796"/>
      <c r="K332" s="796"/>
      <c r="L332" s="796"/>
      <c r="M332" s="796"/>
      <c r="N332" s="796"/>
      <c r="O332" s="796"/>
      <c r="P332" s="796"/>
      <c r="Q332" s="796"/>
      <c r="R332" s="796"/>
      <c r="S332" s="796"/>
      <c r="T332" s="796"/>
      <c r="U332" s="796"/>
      <c r="V332" s="796"/>
      <c r="W332" s="796"/>
      <c r="X332" s="796"/>
      <c r="Y332" s="796"/>
      <c r="Z332" s="796"/>
      <c r="AA332" s="796"/>
      <c r="AB332" s="796"/>
      <c r="AC332" s="796"/>
      <c r="AD332" s="796"/>
      <c r="AE332" s="796"/>
      <c r="AF332" s="796"/>
      <c r="AG332" s="796"/>
      <c r="AH332" s="796"/>
      <c r="AI332" s="796"/>
      <c r="AJ332" s="796"/>
      <c r="AK332" s="796"/>
      <c r="AL332" s="796"/>
      <c r="AM332" s="796"/>
      <c r="AN332" s="796"/>
    </row>
    <row r="333" spans="1:40" x14ac:dyDescent="0.25">
      <c r="A333" s="796"/>
      <c r="B333" s="59">
        <v>206146</v>
      </c>
      <c r="C333" s="796"/>
      <c r="D333" s="796"/>
      <c r="E333" s="59" t="s">
        <v>372</v>
      </c>
      <c r="F333" s="59">
        <v>206146</v>
      </c>
      <c r="G333" s="796"/>
      <c r="H333" s="796"/>
      <c r="I333" s="796"/>
      <c r="J333" s="796"/>
      <c r="K333" s="796"/>
      <c r="L333" s="796"/>
      <c r="M333" s="796"/>
      <c r="N333" s="796"/>
      <c r="O333" s="796"/>
      <c r="P333" s="796"/>
      <c r="Q333" s="796"/>
      <c r="R333" s="796"/>
      <c r="S333" s="796"/>
      <c r="T333" s="796"/>
      <c r="U333" s="796"/>
      <c r="V333" s="796"/>
      <c r="W333" s="796"/>
      <c r="X333" s="796"/>
      <c r="Y333" s="796"/>
      <c r="Z333" s="796"/>
      <c r="AA333" s="796"/>
      <c r="AB333" s="796"/>
      <c r="AC333" s="796"/>
      <c r="AD333" s="796"/>
      <c r="AE333" s="796"/>
      <c r="AF333" s="796"/>
      <c r="AG333" s="796"/>
      <c r="AH333" s="796"/>
      <c r="AI333" s="796"/>
      <c r="AJ333" s="796"/>
      <c r="AK333" s="796"/>
      <c r="AL333" s="796"/>
      <c r="AM333" s="796"/>
      <c r="AN333" s="796"/>
    </row>
    <row r="334" spans="1:40" x14ac:dyDescent="0.25">
      <c r="A334" s="796"/>
      <c r="B334" s="59">
        <v>2439</v>
      </c>
      <c r="C334" s="796"/>
      <c r="D334" s="796"/>
      <c r="E334" s="59" t="s">
        <v>48</v>
      </c>
      <c r="F334" s="59">
        <v>2439</v>
      </c>
      <c r="G334" s="796"/>
      <c r="H334" s="796"/>
      <c r="I334" s="796"/>
      <c r="J334" s="796"/>
      <c r="K334" s="796"/>
      <c r="L334" s="796"/>
      <c r="M334" s="796"/>
      <c r="N334" s="796"/>
      <c r="O334" s="796"/>
      <c r="P334" s="796"/>
      <c r="Q334" s="796"/>
      <c r="R334" s="796"/>
      <c r="S334" s="796"/>
      <c r="T334" s="796"/>
      <c r="U334" s="796"/>
      <c r="V334" s="796"/>
      <c r="W334" s="796"/>
      <c r="X334" s="796"/>
      <c r="Y334" s="796"/>
      <c r="Z334" s="796"/>
      <c r="AA334" s="796"/>
      <c r="AB334" s="796"/>
      <c r="AC334" s="796"/>
      <c r="AD334" s="796"/>
      <c r="AE334" s="796"/>
      <c r="AF334" s="796"/>
      <c r="AG334" s="796"/>
      <c r="AH334" s="796"/>
      <c r="AI334" s="796"/>
      <c r="AJ334" s="796"/>
      <c r="AK334" s="796"/>
      <c r="AL334" s="796"/>
      <c r="AM334" s="796"/>
      <c r="AN334" s="796"/>
    </row>
    <row r="335" spans="1:40" x14ac:dyDescent="0.25">
      <c r="A335" s="796"/>
      <c r="B335" s="59">
        <v>2440</v>
      </c>
      <c r="C335" s="796"/>
      <c r="D335" s="796"/>
      <c r="E335" s="59" t="s">
        <v>49</v>
      </c>
      <c r="F335" s="59">
        <v>2440</v>
      </c>
      <c r="G335" s="796"/>
      <c r="H335" s="796"/>
      <c r="I335" s="796"/>
      <c r="J335" s="796"/>
      <c r="K335" s="796"/>
      <c r="L335" s="796"/>
      <c r="M335" s="796"/>
      <c r="N335" s="796"/>
      <c r="O335" s="796"/>
      <c r="P335" s="796"/>
      <c r="Q335" s="796"/>
      <c r="R335" s="796"/>
      <c r="S335" s="796"/>
      <c r="T335" s="796"/>
      <c r="U335" s="796"/>
      <c r="V335" s="796"/>
      <c r="W335" s="796"/>
      <c r="X335" s="796"/>
      <c r="Y335" s="796"/>
      <c r="Z335" s="796"/>
      <c r="AA335" s="796"/>
      <c r="AB335" s="796"/>
      <c r="AC335" s="796"/>
      <c r="AD335" s="796"/>
      <c r="AE335" s="796"/>
      <c r="AF335" s="796"/>
      <c r="AG335" s="796"/>
      <c r="AH335" s="796"/>
      <c r="AI335" s="796"/>
      <c r="AJ335" s="796"/>
      <c r="AK335" s="796"/>
      <c r="AL335" s="796"/>
      <c r="AM335" s="796"/>
      <c r="AN335" s="796"/>
    </row>
    <row r="336" spans="1:40" x14ac:dyDescent="0.25">
      <c r="A336" s="796"/>
      <c r="B336" s="59" t="s">
        <v>375</v>
      </c>
      <c r="C336" s="796"/>
      <c r="D336" s="796"/>
      <c r="E336" s="59" t="s">
        <v>374</v>
      </c>
      <c r="F336" s="59" t="s">
        <v>375</v>
      </c>
      <c r="G336" s="796"/>
      <c r="H336" s="796"/>
      <c r="I336" s="796"/>
      <c r="J336" s="796"/>
      <c r="K336" s="796"/>
      <c r="L336" s="796"/>
      <c r="M336" s="796"/>
      <c r="N336" s="796"/>
      <c r="O336" s="796"/>
      <c r="P336" s="796"/>
      <c r="Q336" s="796"/>
      <c r="R336" s="796"/>
      <c r="S336" s="796"/>
      <c r="T336" s="796"/>
      <c r="U336" s="796"/>
      <c r="V336" s="796"/>
      <c r="W336" s="796"/>
      <c r="X336" s="796"/>
      <c r="Y336" s="796"/>
      <c r="Z336" s="796"/>
      <c r="AA336" s="796"/>
      <c r="AB336" s="796"/>
      <c r="AC336" s="796"/>
      <c r="AD336" s="796"/>
      <c r="AE336" s="796"/>
      <c r="AF336" s="796"/>
      <c r="AG336" s="796"/>
      <c r="AH336" s="796"/>
      <c r="AI336" s="796"/>
      <c r="AJ336" s="796"/>
      <c r="AK336" s="796"/>
      <c r="AL336" s="796"/>
      <c r="AM336" s="796"/>
      <c r="AN336" s="796"/>
    </row>
    <row r="337" spans="1:40" x14ac:dyDescent="0.25">
      <c r="A337" s="796"/>
      <c r="B337" s="59" t="s">
        <v>814</v>
      </c>
      <c r="C337" s="796"/>
      <c r="D337" s="796"/>
      <c r="E337" s="59" t="s">
        <v>813</v>
      </c>
      <c r="F337" s="59" t="s">
        <v>814</v>
      </c>
      <c r="G337" s="796"/>
      <c r="H337" s="796"/>
      <c r="I337" s="796"/>
      <c r="J337" s="796"/>
      <c r="K337" s="796"/>
      <c r="L337" s="796"/>
      <c r="M337" s="796"/>
      <c r="N337" s="796"/>
      <c r="O337" s="796"/>
      <c r="P337" s="796"/>
      <c r="Q337" s="796"/>
      <c r="R337" s="796"/>
      <c r="S337" s="796"/>
      <c r="T337" s="796"/>
      <c r="U337" s="796"/>
      <c r="V337" s="796"/>
      <c r="W337" s="796"/>
      <c r="X337" s="796"/>
      <c r="Y337" s="796"/>
      <c r="Z337" s="796"/>
      <c r="AA337" s="796"/>
      <c r="AB337" s="796"/>
      <c r="AC337" s="796"/>
      <c r="AD337" s="796"/>
      <c r="AE337" s="796"/>
      <c r="AF337" s="796"/>
      <c r="AG337" s="796"/>
      <c r="AH337" s="796"/>
      <c r="AI337" s="796"/>
      <c r="AJ337" s="796"/>
      <c r="AK337" s="796"/>
      <c r="AL337" s="796"/>
      <c r="AM337" s="796"/>
      <c r="AN337" s="796"/>
    </row>
    <row r="338" spans="1:40" x14ac:dyDescent="0.25">
      <c r="A338" s="796"/>
      <c r="B338" s="59" t="s">
        <v>816</v>
      </c>
      <c r="C338" s="796"/>
      <c r="D338" s="796"/>
      <c r="E338" s="59" t="s">
        <v>815</v>
      </c>
      <c r="F338" s="59" t="s">
        <v>816</v>
      </c>
      <c r="G338" s="796"/>
      <c r="H338" s="796"/>
      <c r="I338" s="796"/>
      <c r="J338" s="796"/>
      <c r="K338" s="796"/>
      <c r="L338" s="796"/>
      <c r="M338" s="796"/>
      <c r="N338" s="796"/>
      <c r="O338" s="796"/>
      <c r="P338" s="796"/>
      <c r="Q338" s="796"/>
      <c r="R338" s="796"/>
      <c r="S338" s="796"/>
      <c r="T338" s="796"/>
      <c r="U338" s="796"/>
      <c r="V338" s="796"/>
      <c r="W338" s="796"/>
      <c r="X338" s="796"/>
      <c r="Y338" s="796"/>
      <c r="Z338" s="796"/>
      <c r="AA338" s="796"/>
      <c r="AB338" s="796"/>
      <c r="AC338" s="796"/>
      <c r="AD338" s="796"/>
      <c r="AE338" s="796"/>
      <c r="AF338" s="796"/>
      <c r="AG338" s="796"/>
      <c r="AH338" s="796"/>
      <c r="AI338" s="796"/>
      <c r="AJ338" s="796"/>
      <c r="AK338" s="796"/>
      <c r="AL338" s="796"/>
      <c r="AM338" s="796"/>
      <c r="AN338" s="796"/>
    </row>
    <row r="339" spans="1:40" x14ac:dyDescent="0.25">
      <c r="A339" s="796"/>
      <c r="B339" s="67" t="s">
        <v>378</v>
      </c>
      <c r="C339" s="796"/>
      <c r="D339" s="796"/>
      <c r="E339" s="67" t="s">
        <v>377</v>
      </c>
      <c r="F339" s="67" t="s">
        <v>378</v>
      </c>
      <c r="G339" s="796"/>
      <c r="H339" s="796"/>
      <c r="I339" s="796"/>
      <c r="J339" s="796"/>
      <c r="K339" s="796"/>
      <c r="L339" s="796"/>
      <c r="M339" s="796"/>
      <c r="N339" s="796"/>
      <c r="O339" s="796"/>
      <c r="P339" s="796"/>
      <c r="Q339" s="796"/>
      <c r="R339" s="796"/>
      <c r="S339" s="796"/>
      <c r="T339" s="796"/>
      <c r="U339" s="796"/>
      <c r="V339" s="796"/>
      <c r="W339" s="796"/>
      <c r="X339" s="796"/>
      <c r="Y339" s="796"/>
      <c r="Z339" s="796"/>
      <c r="AA339" s="796"/>
      <c r="AB339" s="796"/>
      <c r="AC339" s="796"/>
      <c r="AD339" s="796"/>
      <c r="AE339" s="796"/>
      <c r="AF339" s="796"/>
      <c r="AG339" s="796"/>
      <c r="AH339" s="796"/>
      <c r="AI339" s="796"/>
      <c r="AJ339" s="796"/>
      <c r="AK339" s="796"/>
      <c r="AL339" s="796"/>
      <c r="AM339" s="796"/>
      <c r="AN339" s="796"/>
    </row>
    <row r="340" spans="1:40" x14ac:dyDescent="0.25">
      <c r="A340" s="796"/>
      <c r="B340" s="110" t="s">
        <v>817</v>
      </c>
      <c r="C340" s="796"/>
      <c r="D340" s="796"/>
      <c r="E340" s="105" t="s">
        <v>377</v>
      </c>
      <c r="F340" s="110" t="s">
        <v>817</v>
      </c>
      <c r="G340" s="796"/>
      <c r="H340" s="796"/>
      <c r="I340" s="796"/>
      <c r="J340" s="796"/>
      <c r="K340" s="796"/>
      <c r="L340" s="796"/>
      <c r="M340" s="796"/>
      <c r="N340" s="796"/>
      <c r="O340" s="796"/>
      <c r="P340" s="796"/>
      <c r="Q340" s="796"/>
      <c r="R340" s="796"/>
      <c r="S340" s="796"/>
      <c r="T340" s="796"/>
      <c r="U340" s="796"/>
      <c r="V340" s="796"/>
      <c r="W340" s="796"/>
      <c r="X340" s="796"/>
      <c r="Y340" s="796"/>
      <c r="Z340" s="796"/>
      <c r="AA340" s="796"/>
      <c r="AB340" s="796"/>
      <c r="AC340" s="796"/>
      <c r="AD340" s="796"/>
      <c r="AE340" s="796"/>
      <c r="AF340" s="796"/>
      <c r="AG340" s="796"/>
      <c r="AH340" s="796"/>
      <c r="AI340" s="796"/>
      <c r="AJ340" s="796"/>
      <c r="AK340" s="796"/>
      <c r="AL340" s="796"/>
      <c r="AM340" s="796"/>
      <c r="AN340" s="796"/>
    </row>
    <row r="341" spans="1:40" x14ac:dyDescent="0.25">
      <c r="A341" s="796"/>
      <c r="B341" s="110">
        <v>2462</v>
      </c>
      <c r="C341" s="796"/>
      <c r="D341" s="796"/>
      <c r="E341" s="105" t="s">
        <v>102</v>
      </c>
      <c r="F341" s="110">
        <v>2462</v>
      </c>
      <c r="G341" s="796"/>
      <c r="H341" s="796"/>
      <c r="I341" s="796"/>
      <c r="J341" s="796"/>
      <c r="K341" s="796"/>
      <c r="L341" s="796"/>
      <c r="M341" s="796"/>
      <c r="N341" s="796"/>
      <c r="O341" s="796"/>
      <c r="P341" s="796"/>
      <c r="Q341" s="796"/>
      <c r="R341" s="796"/>
      <c r="S341" s="796"/>
      <c r="T341" s="796"/>
      <c r="U341" s="796"/>
      <c r="V341" s="796"/>
      <c r="W341" s="796"/>
      <c r="X341" s="796"/>
      <c r="Y341" s="796"/>
      <c r="Z341" s="796"/>
      <c r="AA341" s="796"/>
      <c r="AB341" s="796"/>
      <c r="AC341" s="796"/>
      <c r="AD341" s="796"/>
      <c r="AE341" s="796"/>
      <c r="AF341" s="796"/>
      <c r="AG341" s="796"/>
      <c r="AH341" s="796"/>
      <c r="AI341" s="796"/>
      <c r="AJ341" s="796"/>
      <c r="AK341" s="796"/>
      <c r="AL341" s="796"/>
      <c r="AM341" s="796"/>
      <c r="AN341" s="796"/>
    </row>
    <row r="342" spans="1:40" x14ac:dyDescent="0.25">
      <c r="A342" s="796"/>
      <c r="B342" s="110">
        <v>2463</v>
      </c>
      <c r="C342" s="796"/>
      <c r="D342" s="796"/>
      <c r="E342" s="105" t="s">
        <v>50</v>
      </c>
      <c r="F342" s="110">
        <v>2463</v>
      </c>
      <c r="G342" s="796"/>
      <c r="H342" s="796"/>
      <c r="I342" s="796"/>
      <c r="J342" s="796"/>
      <c r="K342" s="796"/>
      <c r="L342" s="796"/>
      <c r="M342" s="796"/>
      <c r="N342" s="796"/>
      <c r="O342" s="796"/>
      <c r="P342" s="796"/>
      <c r="Q342" s="796"/>
      <c r="R342" s="796"/>
      <c r="S342" s="796"/>
      <c r="T342" s="796"/>
      <c r="U342" s="796"/>
      <c r="V342" s="796"/>
      <c r="W342" s="796"/>
      <c r="X342" s="796"/>
      <c r="Y342" s="796"/>
      <c r="Z342" s="796"/>
      <c r="AA342" s="796"/>
      <c r="AB342" s="796"/>
      <c r="AC342" s="796"/>
      <c r="AD342" s="796"/>
      <c r="AE342" s="796"/>
      <c r="AF342" s="796"/>
      <c r="AG342" s="796"/>
      <c r="AH342" s="796"/>
      <c r="AI342" s="796"/>
      <c r="AJ342" s="796"/>
      <c r="AK342" s="796"/>
      <c r="AL342" s="796"/>
      <c r="AM342" s="796"/>
      <c r="AN342" s="796"/>
    </row>
    <row r="343" spans="1:40" x14ac:dyDescent="0.25">
      <c r="A343" s="796"/>
      <c r="B343" s="67">
        <v>2505</v>
      </c>
      <c r="C343" s="796"/>
      <c r="D343" s="796"/>
      <c r="E343" s="105" t="s">
        <v>51</v>
      </c>
      <c r="F343" s="67">
        <v>2505</v>
      </c>
      <c r="G343" s="796"/>
      <c r="H343" s="796"/>
      <c r="I343" s="796"/>
      <c r="J343" s="796"/>
      <c r="K343" s="796"/>
      <c r="L343" s="796"/>
      <c r="M343" s="796"/>
      <c r="N343" s="796"/>
      <c r="O343" s="796"/>
      <c r="P343" s="796"/>
      <c r="Q343" s="796"/>
      <c r="R343" s="796"/>
      <c r="S343" s="796"/>
      <c r="T343" s="796"/>
      <c r="U343" s="796"/>
      <c r="V343" s="796"/>
      <c r="W343" s="796"/>
      <c r="X343" s="796"/>
      <c r="Y343" s="796"/>
      <c r="Z343" s="796"/>
      <c r="AA343" s="796"/>
      <c r="AB343" s="796"/>
      <c r="AC343" s="796"/>
      <c r="AD343" s="796"/>
      <c r="AE343" s="796"/>
      <c r="AF343" s="796"/>
      <c r="AG343" s="796"/>
      <c r="AH343" s="796"/>
      <c r="AI343" s="796"/>
      <c r="AJ343" s="796"/>
      <c r="AK343" s="796"/>
      <c r="AL343" s="796"/>
      <c r="AM343" s="796"/>
      <c r="AN343" s="796"/>
    </row>
    <row r="344" spans="1:40" x14ac:dyDescent="0.25">
      <c r="A344" s="796"/>
      <c r="B344" s="110">
        <v>2000</v>
      </c>
      <c r="C344" s="796"/>
      <c r="D344" s="796"/>
      <c r="E344" s="105" t="s">
        <v>1304</v>
      </c>
      <c r="F344" s="110">
        <v>2000</v>
      </c>
      <c r="G344" s="796"/>
      <c r="H344" s="796"/>
      <c r="I344" s="796"/>
      <c r="J344" s="796"/>
      <c r="K344" s="796"/>
      <c r="L344" s="796"/>
      <c r="M344" s="796"/>
      <c r="N344" s="796"/>
      <c r="O344" s="796"/>
      <c r="P344" s="796"/>
      <c r="Q344" s="796"/>
      <c r="R344" s="796"/>
      <c r="S344" s="796"/>
      <c r="T344" s="796"/>
      <c r="U344" s="796"/>
      <c r="V344" s="796"/>
      <c r="W344" s="796"/>
      <c r="X344" s="796"/>
      <c r="Y344" s="796"/>
      <c r="Z344" s="796"/>
      <c r="AA344" s="796"/>
      <c r="AB344" s="796"/>
      <c r="AC344" s="796"/>
      <c r="AD344" s="796"/>
      <c r="AE344" s="796"/>
      <c r="AF344" s="796"/>
      <c r="AG344" s="796"/>
      <c r="AH344" s="796"/>
      <c r="AI344" s="796"/>
      <c r="AJ344" s="796"/>
      <c r="AK344" s="796"/>
      <c r="AL344" s="796"/>
      <c r="AM344" s="796"/>
      <c r="AN344" s="796"/>
    </row>
    <row r="345" spans="1:40" x14ac:dyDescent="0.25">
      <c r="A345" s="796"/>
      <c r="B345" s="67">
        <v>2458</v>
      </c>
      <c r="C345" s="796"/>
      <c r="D345" s="796"/>
      <c r="E345" s="105" t="s">
        <v>53</v>
      </c>
      <c r="F345" s="67">
        <v>2458</v>
      </c>
      <c r="G345" s="796"/>
      <c r="H345" s="796"/>
      <c r="I345" s="796"/>
      <c r="J345" s="796"/>
      <c r="K345" s="796"/>
      <c r="L345" s="796"/>
      <c r="M345" s="796"/>
      <c r="N345" s="796"/>
      <c r="O345" s="796"/>
      <c r="P345" s="796"/>
      <c r="Q345" s="796"/>
      <c r="R345" s="796"/>
      <c r="S345" s="796"/>
      <c r="T345" s="796"/>
      <c r="U345" s="796"/>
      <c r="V345" s="796"/>
      <c r="W345" s="796"/>
      <c r="X345" s="796"/>
      <c r="Y345" s="796"/>
      <c r="Z345" s="796"/>
      <c r="AA345" s="796"/>
      <c r="AB345" s="796"/>
      <c r="AC345" s="796"/>
      <c r="AD345" s="796"/>
      <c r="AE345" s="796"/>
      <c r="AF345" s="796"/>
      <c r="AG345" s="796"/>
      <c r="AH345" s="796"/>
      <c r="AI345" s="796"/>
      <c r="AJ345" s="796"/>
      <c r="AK345" s="796"/>
      <c r="AL345" s="796"/>
      <c r="AM345" s="796"/>
      <c r="AN345" s="796"/>
    </row>
    <row r="346" spans="1:40" x14ac:dyDescent="0.25">
      <c r="A346" s="796"/>
      <c r="B346" s="67" t="s">
        <v>381</v>
      </c>
      <c r="C346" s="796"/>
      <c r="D346" s="796"/>
      <c r="E346" s="105" t="s">
        <v>379</v>
      </c>
      <c r="F346" s="67" t="s">
        <v>381</v>
      </c>
      <c r="G346" s="796"/>
      <c r="H346" s="796"/>
      <c r="I346" s="796"/>
      <c r="J346" s="796"/>
      <c r="K346" s="796"/>
      <c r="L346" s="796"/>
      <c r="M346" s="796"/>
      <c r="N346" s="796"/>
      <c r="O346" s="796"/>
      <c r="P346" s="796"/>
      <c r="Q346" s="796"/>
      <c r="R346" s="796"/>
      <c r="S346" s="796"/>
      <c r="T346" s="796"/>
      <c r="U346" s="796"/>
      <c r="V346" s="796"/>
      <c r="W346" s="796"/>
      <c r="X346" s="796"/>
      <c r="Y346" s="796"/>
      <c r="Z346" s="796"/>
      <c r="AA346" s="796"/>
      <c r="AB346" s="796"/>
      <c r="AC346" s="796"/>
      <c r="AD346" s="796"/>
      <c r="AE346" s="796"/>
      <c r="AF346" s="796"/>
      <c r="AG346" s="796"/>
      <c r="AH346" s="796"/>
      <c r="AI346" s="796"/>
      <c r="AJ346" s="796"/>
      <c r="AK346" s="796"/>
      <c r="AL346" s="796"/>
      <c r="AM346" s="796"/>
      <c r="AN346" s="796"/>
    </row>
    <row r="347" spans="1:40" x14ac:dyDescent="0.25">
      <c r="A347" s="796"/>
      <c r="B347" s="67">
        <v>2001</v>
      </c>
      <c r="C347" s="796"/>
      <c r="D347" s="796"/>
      <c r="E347" s="105" t="s">
        <v>54</v>
      </c>
      <c r="F347" s="67">
        <v>2001</v>
      </c>
      <c r="G347" s="796"/>
      <c r="H347" s="796"/>
      <c r="I347" s="796"/>
      <c r="J347" s="796"/>
      <c r="K347" s="796"/>
      <c r="L347" s="796"/>
      <c r="M347" s="796"/>
      <c r="N347" s="796"/>
      <c r="O347" s="796"/>
      <c r="P347" s="796"/>
      <c r="Q347" s="796"/>
      <c r="R347" s="796"/>
      <c r="S347" s="796"/>
      <c r="T347" s="796"/>
      <c r="U347" s="796"/>
      <c r="V347" s="796"/>
      <c r="W347" s="796"/>
      <c r="X347" s="796"/>
      <c r="Y347" s="796"/>
      <c r="Z347" s="796"/>
      <c r="AA347" s="796"/>
      <c r="AB347" s="796"/>
      <c r="AC347" s="796"/>
      <c r="AD347" s="796"/>
      <c r="AE347" s="796"/>
      <c r="AF347" s="796"/>
      <c r="AG347" s="796"/>
      <c r="AH347" s="796"/>
      <c r="AI347" s="796"/>
      <c r="AJ347" s="796"/>
      <c r="AK347" s="796"/>
      <c r="AL347" s="796"/>
      <c r="AM347" s="796"/>
      <c r="AN347" s="796"/>
    </row>
    <row r="348" spans="1:40" x14ac:dyDescent="0.25">
      <c r="A348" s="796"/>
      <c r="B348" s="67" t="s">
        <v>383</v>
      </c>
      <c r="C348" s="796"/>
      <c r="D348" s="796"/>
      <c r="E348" s="105" t="s">
        <v>382</v>
      </c>
      <c r="F348" s="67" t="s">
        <v>383</v>
      </c>
      <c r="G348" s="796"/>
      <c r="H348" s="796"/>
      <c r="I348" s="796"/>
      <c r="J348" s="796"/>
      <c r="K348" s="796"/>
      <c r="L348" s="796"/>
      <c r="M348" s="796"/>
      <c r="N348" s="796"/>
      <c r="O348" s="796"/>
      <c r="P348" s="796"/>
      <c r="Q348" s="796"/>
      <c r="R348" s="796"/>
      <c r="S348" s="796"/>
      <c r="T348" s="796"/>
      <c r="U348" s="796"/>
      <c r="V348" s="796"/>
      <c r="W348" s="796"/>
      <c r="X348" s="796"/>
      <c r="Y348" s="796"/>
      <c r="Z348" s="796"/>
      <c r="AA348" s="796"/>
      <c r="AB348" s="796"/>
      <c r="AC348" s="796"/>
      <c r="AD348" s="796"/>
      <c r="AE348" s="796"/>
      <c r="AF348" s="796"/>
      <c r="AG348" s="796"/>
      <c r="AH348" s="796"/>
      <c r="AI348" s="796"/>
      <c r="AJ348" s="796"/>
      <c r="AK348" s="796"/>
      <c r="AL348" s="796"/>
      <c r="AM348" s="796"/>
      <c r="AN348" s="796"/>
    </row>
    <row r="349" spans="1:40" x14ac:dyDescent="0.25">
      <c r="A349" s="796"/>
      <c r="B349" s="67">
        <v>2429</v>
      </c>
      <c r="C349" s="796"/>
      <c r="D349" s="796"/>
      <c r="E349" s="105" t="s">
        <v>55</v>
      </c>
      <c r="F349" s="67">
        <v>2429</v>
      </c>
      <c r="G349" s="796"/>
      <c r="H349" s="796"/>
      <c r="I349" s="796"/>
      <c r="J349" s="796"/>
      <c r="K349" s="796"/>
      <c r="L349" s="796"/>
      <c r="M349" s="796"/>
      <c r="N349" s="796"/>
      <c r="O349" s="796"/>
      <c r="P349" s="796"/>
      <c r="Q349" s="796"/>
      <c r="R349" s="796"/>
      <c r="S349" s="796"/>
      <c r="T349" s="796"/>
      <c r="U349" s="796"/>
      <c r="V349" s="796"/>
      <c r="W349" s="796"/>
      <c r="X349" s="796"/>
      <c r="Y349" s="796"/>
      <c r="Z349" s="796"/>
      <c r="AA349" s="796"/>
      <c r="AB349" s="796"/>
      <c r="AC349" s="796"/>
      <c r="AD349" s="796"/>
      <c r="AE349" s="796"/>
      <c r="AF349" s="796"/>
      <c r="AG349" s="796"/>
      <c r="AH349" s="796"/>
      <c r="AI349" s="796"/>
      <c r="AJ349" s="796"/>
      <c r="AK349" s="796"/>
      <c r="AL349" s="796"/>
      <c r="AM349" s="796"/>
      <c r="AN349" s="796"/>
    </row>
    <row r="350" spans="1:40" x14ac:dyDescent="0.25">
      <c r="A350" s="796"/>
      <c r="B350" s="67">
        <v>113044</v>
      </c>
      <c r="C350" s="796"/>
      <c r="D350" s="796"/>
      <c r="E350" s="105" t="s">
        <v>384</v>
      </c>
      <c r="F350" s="67">
        <v>113044</v>
      </c>
      <c r="G350" s="796"/>
      <c r="H350" s="796"/>
      <c r="I350" s="796"/>
      <c r="J350" s="796"/>
      <c r="K350" s="796"/>
      <c r="L350" s="796"/>
      <c r="M350" s="796"/>
      <c r="N350" s="796"/>
      <c r="O350" s="796"/>
      <c r="P350" s="796"/>
      <c r="Q350" s="796"/>
      <c r="R350" s="796"/>
      <c r="S350" s="796"/>
      <c r="T350" s="796"/>
      <c r="U350" s="796"/>
      <c r="V350" s="796"/>
      <c r="W350" s="796"/>
      <c r="X350" s="796"/>
      <c r="Y350" s="796"/>
      <c r="Z350" s="796"/>
      <c r="AA350" s="796"/>
      <c r="AB350" s="796"/>
      <c r="AC350" s="796"/>
      <c r="AD350" s="796"/>
      <c r="AE350" s="796"/>
      <c r="AF350" s="796"/>
      <c r="AG350" s="796"/>
      <c r="AH350" s="796"/>
      <c r="AI350" s="796"/>
      <c r="AJ350" s="796"/>
      <c r="AK350" s="796"/>
      <c r="AL350" s="796"/>
      <c r="AM350" s="796"/>
      <c r="AN350" s="796"/>
    </row>
    <row r="351" spans="1:40" x14ac:dyDescent="0.25">
      <c r="A351" s="796"/>
      <c r="B351" s="67" t="s">
        <v>388</v>
      </c>
      <c r="C351" s="796"/>
      <c r="D351" s="796"/>
      <c r="E351" s="105" t="s">
        <v>386</v>
      </c>
      <c r="F351" s="67" t="s">
        <v>388</v>
      </c>
      <c r="G351" s="796"/>
      <c r="H351" s="796"/>
      <c r="I351" s="796"/>
      <c r="J351" s="796"/>
      <c r="K351" s="796"/>
      <c r="L351" s="796"/>
      <c r="M351" s="796"/>
      <c r="N351" s="796"/>
      <c r="O351" s="796"/>
      <c r="P351" s="796"/>
      <c r="Q351" s="796"/>
      <c r="R351" s="796"/>
      <c r="S351" s="796"/>
      <c r="T351" s="796"/>
      <c r="U351" s="796"/>
      <c r="V351" s="796"/>
      <c r="W351" s="796"/>
      <c r="X351" s="796"/>
      <c r="Y351" s="796"/>
      <c r="Z351" s="796"/>
      <c r="AA351" s="796"/>
      <c r="AB351" s="796"/>
      <c r="AC351" s="796"/>
      <c r="AD351" s="796"/>
      <c r="AE351" s="796"/>
      <c r="AF351" s="796"/>
      <c r="AG351" s="796"/>
      <c r="AH351" s="796"/>
      <c r="AI351" s="796"/>
      <c r="AJ351" s="796"/>
      <c r="AK351" s="796"/>
      <c r="AL351" s="796"/>
      <c r="AM351" s="796"/>
      <c r="AN351" s="796"/>
    </row>
    <row r="352" spans="1:40" x14ac:dyDescent="0.25">
      <c r="A352" s="796"/>
      <c r="B352" s="67">
        <v>4607</v>
      </c>
      <c r="C352" s="796"/>
      <c r="D352" s="796"/>
      <c r="E352" s="105" t="s">
        <v>72</v>
      </c>
      <c r="F352" s="67">
        <v>4607</v>
      </c>
      <c r="G352" s="796"/>
      <c r="H352" s="796"/>
      <c r="I352" s="796"/>
      <c r="J352" s="796"/>
      <c r="K352" s="796"/>
      <c r="L352" s="796"/>
      <c r="M352" s="796"/>
      <c r="N352" s="796"/>
      <c r="O352" s="796"/>
      <c r="P352" s="796"/>
      <c r="Q352" s="796"/>
      <c r="R352" s="796"/>
      <c r="S352" s="796"/>
      <c r="T352" s="796"/>
      <c r="U352" s="796"/>
      <c r="V352" s="796"/>
      <c r="W352" s="796"/>
      <c r="X352" s="796"/>
      <c r="Y352" s="796"/>
      <c r="Z352" s="796"/>
      <c r="AA352" s="796"/>
      <c r="AB352" s="796"/>
      <c r="AC352" s="796"/>
      <c r="AD352" s="796"/>
      <c r="AE352" s="796"/>
      <c r="AF352" s="796"/>
      <c r="AG352" s="796"/>
      <c r="AH352" s="796"/>
      <c r="AI352" s="796"/>
      <c r="AJ352" s="796"/>
      <c r="AK352" s="796"/>
      <c r="AL352" s="796"/>
      <c r="AM352" s="796"/>
      <c r="AN352" s="796"/>
    </row>
    <row r="353" spans="1:40" x14ac:dyDescent="0.25">
      <c r="A353" s="796"/>
      <c r="B353" s="67" t="s">
        <v>819</v>
      </c>
      <c r="C353" s="796"/>
      <c r="D353" s="796"/>
      <c r="E353" s="105" t="s">
        <v>818</v>
      </c>
      <c r="F353" s="67" t="s">
        <v>819</v>
      </c>
      <c r="G353" s="796"/>
      <c r="H353" s="796"/>
      <c r="I353" s="796"/>
      <c r="J353" s="796"/>
      <c r="K353" s="796"/>
      <c r="L353" s="796"/>
      <c r="M353" s="796"/>
      <c r="N353" s="796"/>
      <c r="O353" s="796"/>
      <c r="P353" s="796"/>
      <c r="Q353" s="796"/>
      <c r="R353" s="796"/>
      <c r="S353" s="796"/>
      <c r="T353" s="796"/>
      <c r="U353" s="796"/>
      <c r="V353" s="796"/>
      <c r="W353" s="796"/>
      <c r="X353" s="796"/>
      <c r="Y353" s="796"/>
      <c r="Z353" s="796"/>
      <c r="AA353" s="796"/>
      <c r="AB353" s="796"/>
      <c r="AC353" s="796"/>
      <c r="AD353" s="796"/>
      <c r="AE353" s="796"/>
      <c r="AF353" s="796"/>
      <c r="AG353" s="796"/>
      <c r="AH353" s="796"/>
      <c r="AI353" s="796"/>
      <c r="AJ353" s="796"/>
      <c r="AK353" s="796"/>
      <c r="AL353" s="796"/>
      <c r="AM353" s="796"/>
      <c r="AN353" s="796"/>
    </row>
    <row r="354" spans="1:40" x14ac:dyDescent="0.25">
      <c r="A354" s="796"/>
      <c r="B354" s="67" t="s">
        <v>821</v>
      </c>
      <c r="C354" s="796"/>
      <c r="D354" s="796"/>
      <c r="E354" s="105" t="s">
        <v>820</v>
      </c>
      <c r="F354" s="67" t="s">
        <v>821</v>
      </c>
      <c r="G354" s="796"/>
      <c r="H354" s="796"/>
      <c r="I354" s="796"/>
      <c r="J354" s="796"/>
      <c r="K354" s="796"/>
      <c r="L354" s="796"/>
      <c r="M354" s="796"/>
      <c r="N354" s="796"/>
      <c r="O354" s="796"/>
      <c r="P354" s="796"/>
      <c r="Q354" s="796"/>
      <c r="R354" s="796"/>
      <c r="S354" s="796"/>
      <c r="T354" s="796"/>
      <c r="U354" s="796"/>
      <c r="V354" s="796"/>
      <c r="W354" s="796"/>
      <c r="X354" s="796"/>
      <c r="Y354" s="796"/>
      <c r="Z354" s="796"/>
      <c r="AA354" s="796"/>
      <c r="AB354" s="796"/>
      <c r="AC354" s="796"/>
      <c r="AD354" s="796"/>
      <c r="AE354" s="796"/>
      <c r="AF354" s="796"/>
      <c r="AG354" s="796"/>
      <c r="AH354" s="796"/>
      <c r="AI354" s="796"/>
      <c r="AJ354" s="796"/>
      <c r="AK354" s="796"/>
      <c r="AL354" s="796"/>
      <c r="AM354" s="796"/>
      <c r="AN354" s="796"/>
    </row>
    <row r="355" spans="1:40" x14ac:dyDescent="0.25">
      <c r="A355" s="796"/>
      <c r="B355" s="67">
        <v>2444</v>
      </c>
      <c r="C355" s="796"/>
      <c r="D355" s="796"/>
      <c r="E355" s="105" t="s">
        <v>56</v>
      </c>
      <c r="F355" s="67">
        <v>2444</v>
      </c>
      <c r="G355" s="796"/>
      <c r="H355" s="796"/>
      <c r="I355" s="796"/>
      <c r="J355" s="796"/>
      <c r="K355" s="796"/>
      <c r="L355" s="796"/>
      <c r="M355" s="796"/>
      <c r="N355" s="796"/>
      <c r="O355" s="796"/>
      <c r="P355" s="796"/>
      <c r="Q355" s="796"/>
      <c r="R355" s="796"/>
      <c r="S355" s="796"/>
      <c r="T355" s="796"/>
      <c r="U355" s="796"/>
      <c r="V355" s="796"/>
      <c r="W355" s="796"/>
      <c r="X355" s="796"/>
      <c r="Y355" s="796"/>
      <c r="Z355" s="796"/>
      <c r="AA355" s="796"/>
      <c r="AB355" s="796"/>
      <c r="AC355" s="796"/>
      <c r="AD355" s="796"/>
      <c r="AE355" s="796"/>
      <c r="AF355" s="796"/>
      <c r="AG355" s="796"/>
      <c r="AH355" s="796"/>
      <c r="AI355" s="796"/>
      <c r="AJ355" s="796"/>
      <c r="AK355" s="796"/>
      <c r="AL355" s="796"/>
      <c r="AM355" s="796"/>
      <c r="AN355" s="796"/>
    </row>
    <row r="356" spans="1:40" x14ac:dyDescent="0.25">
      <c r="A356" s="796"/>
      <c r="B356" s="67">
        <v>5209</v>
      </c>
      <c r="C356" s="796"/>
      <c r="D356" s="796"/>
      <c r="E356" s="105" t="s">
        <v>57</v>
      </c>
      <c r="F356" s="67">
        <v>5209</v>
      </c>
      <c r="G356" s="796"/>
      <c r="H356" s="796"/>
      <c r="I356" s="796"/>
      <c r="J356" s="796"/>
      <c r="K356" s="796"/>
      <c r="L356" s="796"/>
      <c r="M356" s="796"/>
      <c r="N356" s="796"/>
      <c r="O356" s="796"/>
      <c r="P356" s="796"/>
      <c r="Q356" s="796"/>
      <c r="R356" s="796"/>
      <c r="S356" s="796"/>
      <c r="T356" s="796"/>
      <c r="U356" s="796"/>
      <c r="V356" s="796"/>
      <c r="W356" s="796"/>
      <c r="X356" s="796"/>
      <c r="Y356" s="796"/>
      <c r="Z356" s="796"/>
      <c r="AA356" s="796"/>
      <c r="AB356" s="796"/>
      <c r="AC356" s="796"/>
      <c r="AD356" s="796"/>
      <c r="AE356" s="796"/>
      <c r="AF356" s="796"/>
      <c r="AG356" s="796"/>
      <c r="AH356" s="796"/>
      <c r="AI356" s="796"/>
      <c r="AJ356" s="796"/>
      <c r="AK356" s="796"/>
      <c r="AL356" s="796"/>
      <c r="AM356" s="796"/>
      <c r="AN356" s="796"/>
    </row>
    <row r="357" spans="1:40" x14ac:dyDescent="0.25">
      <c r="A357" s="796"/>
      <c r="B357" s="67" t="s">
        <v>391</v>
      </c>
      <c r="C357" s="796"/>
      <c r="D357" s="796"/>
      <c r="E357" s="105" t="s">
        <v>389</v>
      </c>
      <c r="F357" s="67" t="s">
        <v>391</v>
      </c>
      <c r="G357" s="796"/>
      <c r="H357" s="796"/>
      <c r="I357" s="796"/>
      <c r="J357" s="796"/>
      <c r="K357" s="796"/>
      <c r="L357" s="796"/>
      <c r="M357" s="796"/>
      <c r="N357" s="796"/>
      <c r="O357" s="796"/>
      <c r="P357" s="796"/>
      <c r="Q357" s="796"/>
      <c r="R357" s="796"/>
      <c r="S357" s="796"/>
      <c r="T357" s="796"/>
      <c r="U357" s="796"/>
      <c r="V357" s="796"/>
      <c r="W357" s="796"/>
      <c r="X357" s="796"/>
      <c r="Y357" s="796"/>
      <c r="Z357" s="796"/>
      <c r="AA357" s="796"/>
      <c r="AB357" s="796"/>
      <c r="AC357" s="796"/>
      <c r="AD357" s="796"/>
      <c r="AE357" s="796"/>
      <c r="AF357" s="796"/>
      <c r="AG357" s="796"/>
      <c r="AH357" s="796"/>
      <c r="AI357" s="796"/>
      <c r="AJ357" s="796"/>
      <c r="AK357" s="796"/>
      <c r="AL357" s="796"/>
      <c r="AM357" s="796"/>
      <c r="AN357" s="796"/>
    </row>
    <row r="358" spans="1:40" x14ac:dyDescent="0.25">
      <c r="A358" s="796"/>
      <c r="B358" s="67" t="s">
        <v>394</v>
      </c>
      <c r="C358" s="796"/>
      <c r="D358" s="796"/>
      <c r="E358" s="105" t="s">
        <v>392</v>
      </c>
      <c r="F358" s="67" t="s">
        <v>394</v>
      </c>
      <c r="G358" s="796"/>
      <c r="H358" s="796"/>
      <c r="I358" s="796"/>
      <c r="J358" s="796"/>
      <c r="K358" s="796"/>
      <c r="L358" s="796"/>
      <c r="M358" s="796"/>
      <c r="N358" s="796"/>
      <c r="O358" s="796"/>
      <c r="P358" s="796"/>
      <c r="Q358" s="796"/>
      <c r="R358" s="796"/>
      <c r="S358" s="796"/>
      <c r="T358" s="796"/>
      <c r="U358" s="796"/>
      <c r="V358" s="796"/>
      <c r="W358" s="796"/>
      <c r="X358" s="796"/>
      <c r="Y358" s="796"/>
      <c r="Z358" s="796"/>
      <c r="AA358" s="796"/>
      <c r="AB358" s="796"/>
      <c r="AC358" s="796"/>
      <c r="AD358" s="796"/>
      <c r="AE358" s="796"/>
      <c r="AF358" s="796"/>
      <c r="AG358" s="796"/>
      <c r="AH358" s="796"/>
      <c r="AI358" s="796"/>
      <c r="AJ358" s="796"/>
      <c r="AK358" s="796"/>
      <c r="AL358" s="796"/>
      <c r="AM358" s="796"/>
      <c r="AN358" s="796"/>
    </row>
    <row r="359" spans="1:40" x14ac:dyDescent="0.25">
      <c r="A359" s="796"/>
      <c r="B359" s="67">
        <v>2469</v>
      </c>
      <c r="C359" s="796"/>
      <c r="D359" s="796"/>
      <c r="E359" s="105" t="s">
        <v>58</v>
      </c>
      <c r="F359" s="67">
        <v>2469</v>
      </c>
      <c r="G359" s="796"/>
      <c r="H359" s="796"/>
      <c r="I359" s="796"/>
      <c r="J359" s="796"/>
      <c r="K359" s="796"/>
      <c r="L359" s="796"/>
      <c r="M359" s="796"/>
      <c r="N359" s="796"/>
      <c r="O359" s="796"/>
      <c r="P359" s="796"/>
      <c r="Q359" s="796"/>
      <c r="R359" s="796"/>
      <c r="S359" s="796"/>
      <c r="T359" s="796"/>
      <c r="U359" s="796"/>
      <c r="V359" s="796"/>
      <c r="W359" s="796"/>
      <c r="X359" s="796"/>
      <c r="Y359" s="796"/>
      <c r="Z359" s="796"/>
      <c r="AA359" s="796"/>
      <c r="AB359" s="796"/>
      <c r="AC359" s="796"/>
      <c r="AD359" s="796"/>
      <c r="AE359" s="796"/>
      <c r="AF359" s="796"/>
      <c r="AG359" s="796"/>
      <c r="AH359" s="796"/>
      <c r="AI359" s="796"/>
      <c r="AJ359" s="796"/>
      <c r="AK359" s="796"/>
      <c r="AL359" s="796"/>
      <c r="AM359" s="796"/>
      <c r="AN359" s="796"/>
    </row>
    <row r="360" spans="1:40" x14ac:dyDescent="0.25">
      <c r="A360" s="796"/>
      <c r="B360" s="110" t="s">
        <v>397</v>
      </c>
      <c r="C360" s="796"/>
      <c r="D360" s="796"/>
      <c r="E360" s="105" t="s">
        <v>395</v>
      </c>
      <c r="F360" s="110" t="s">
        <v>397</v>
      </c>
      <c r="G360" s="796"/>
      <c r="H360" s="796"/>
      <c r="I360" s="796"/>
      <c r="J360" s="796"/>
      <c r="K360" s="796"/>
      <c r="L360" s="796"/>
      <c r="M360" s="796"/>
      <c r="N360" s="796"/>
      <c r="O360" s="796"/>
      <c r="P360" s="796"/>
      <c r="Q360" s="796"/>
      <c r="R360" s="796"/>
      <c r="S360" s="796"/>
      <c r="T360" s="796"/>
      <c r="U360" s="796"/>
      <c r="V360" s="796"/>
      <c r="W360" s="796"/>
      <c r="X360" s="796"/>
      <c r="Y360" s="796"/>
      <c r="Z360" s="796"/>
      <c r="AA360" s="796"/>
      <c r="AB360" s="796"/>
      <c r="AC360" s="796"/>
      <c r="AD360" s="796"/>
      <c r="AE360" s="796"/>
      <c r="AF360" s="796"/>
      <c r="AG360" s="796"/>
      <c r="AH360" s="796"/>
      <c r="AI360" s="796"/>
      <c r="AJ360" s="796"/>
      <c r="AK360" s="796"/>
      <c r="AL360" s="796"/>
      <c r="AM360" s="796"/>
      <c r="AN360" s="796"/>
    </row>
    <row r="361" spans="1:40" x14ac:dyDescent="0.25">
      <c r="A361" s="796"/>
      <c r="B361" s="67" t="s">
        <v>399</v>
      </c>
      <c r="C361" s="796"/>
      <c r="D361" s="796"/>
      <c r="E361" s="105" t="s">
        <v>398</v>
      </c>
      <c r="F361" s="67" t="s">
        <v>399</v>
      </c>
      <c r="G361" s="796"/>
      <c r="H361" s="796"/>
      <c r="I361" s="796"/>
      <c r="J361" s="796"/>
      <c r="K361" s="796"/>
      <c r="L361" s="796"/>
      <c r="M361" s="796"/>
      <c r="N361" s="796"/>
      <c r="O361" s="796"/>
      <c r="P361" s="796"/>
      <c r="Q361" s="796"/>
      <c r="R361" s="796"/>
      <c r="S361" s="796"/>
      <c r="T361" s="796"/>
      <c r="U361" s="796"/>
      <c r="V361" s="796"/>
      <c r="W361" s="796"/>
      <c r="X361" s="796"/>
      <c r="Y361" s="796"/>
      <c r="Z361" s="796"/>
      <c r="AA361" s="796"/>
      <c r="AB361" s="796"/>
      <c r="AC361" s="796"/>
      <c r="AD361" s="796"/>
      <c r="AE361" s="796"/>
      <c r="AF361" s="796"/>
      <c r="AG361" s="796"/>
      <c r="AH361" s="796"/>
      <c r="AI361" s="796"/>
      <c r="AJ361" s="796"/>
      <c r="AK361" s="796"/>
      <c r="AL361" s="796"/>
      <c r="AM361" s="796"/>
      <c r="AN361" s="796"/>
    </row>
    <row r="362" spans="1:40" x14ac:dyDescent="0.25">
      <c r="A362" s="796"/>
      <c r="B362" s="59">
        <v>2466</v>
      </c>
      <c r="C362" s="796"/>
      <c r="D362" s="796"/>
      <c r="E362" s="59" t="s">
        <v>59</v>
      </c>
      <c r="F362" s="59">
        <v>2466</v>
      </c>
      <c r="G362" s="796"/>
      <c r="H362" s="796"/>
      <c r="I362" s="796"/>
      <c r="J362" s="796"/>
      <c r="K362" s="796"/>
      <c r="L362" s="796"/>
      <c r="M362" s="796"/>
      <c r="N362" s="796"/>
      <c r="O362" s="796"/>
      <c r="P362" s="796"/>
      <c r="Q362" s="796"/>
      <c r="R362" s="796"/>
      <c r="S362" s="796"/>
      <c r="T362" s="796"/>
      <c r="U362" s="796"/>
      <c r="V362" s="796"/>
      <c r="W362" s="796"/>
      <c r="X362" s="796"/>
      <c r="Y362" s="796"/>
      <c r="Z362" s="796"/>
      <c r="AA362" s="796"/>
      <c r="AB362" s="796"/>
      <c r="AC362" s="796"/>
      <c r="AD362" s="796"/>
      <c r="AE362" s="796"/>
      <c r="AF362" s="796"/>
      <c r="AG362" s="796"/>
      <c r="AH362" s="796"/>
      <c r="AI362" s="796"/>
      <c r="AJ362" s="796"/>
      <c r="AK362" s="796"/>
      <c r="AL362" s="796"/>
      <c r="AM362" s="796"/>
      <c r="AN362" s="796"/>
    </row>
    <row r="363" spans="1:40" x14ac:dyDescent="0.25">
      <c r="A363" s="796"/>
      <c r="B363" s="59">
        <v>3543</v>
      </c>
      <c r="C363" s="796"/>
      <c r="D363" s="796"/>
      <c r="E363" s="59" t="s">
        <v>60</v>
      </c>
      <c r="F363" s="59">
        <v>3543</v>
      </c>
      <c r="G363" s="796"/>
      <c r="H363" s="796"/>
      <c r="I363" s="796"/>
      <c r="J363" s="796"/>
      <c r="K363" s="796"/>
      <c r="L363" s="796"/>
      <c r="M363" s="796"/>
      <c r="N363" s="796"/>
      <c r="O363" s="796"/>
      <c r="P363" s="796"/>
      <c r="Q363" s="796"/>
      <c r="R363" s="796"/>
      <c r="S363" s="796"/>
      <c r="T363" s="796"/>
      <c r="U363" s="796"/>
      <c r="V363" s="796"/>
      <c r="W363" s="796"/>
      <c r="X363" s="796"/>
      <c r="Y363" s="796"/>
      <c r="Z363" s="796"/>
      <c r="AA363" s="796"/>
      <c r="AB363" s="796"/>
      <c r="AC363" s="796"/>
      <c r="AD363" s="796"/>
      <c r="AE363" s="796"/>
      <c r="AF363" s="796"/>
      <c r="AG363" s="796"/>
      <c r="AH363" s="796"/>
      <c r="AI363" s="796"/>
      <c r="AJ363" s="796"/>
      <c r="AK363" s="796"/>
      <c r="AL363" s="796"/>
      <c r="AM363" s="796"/>
      <c r="AN363" s="796"/>
    </row>
    <row r="364" spans="1:40" x14ac:dyDescent="0.25">
      <c r="A364" s="796"/>
      <c r="B364" s="59">
        <v>206152</v>
      </c>
      <c r="C364" s="796"/>
      <c r="D364" s="796"/>
      <c r="E364" s="59" t="s">
        <v>400</v>
      </c>
      <c r="F364" s="59">
        <v>206152</v>
      </c>
      <c r="G364" s="796"/>
      <c r="H364" s="796"/>
      <c r="I364" s="796"/>
      <c r="J364" s="796"/>
      <c r="K364" s="796"/>
      <c r="L364" s="796"/>
      <c r="M364" s="796"/>
      <c r="N364" s="796"/>
      <c r="O364" s="796"/>
      <c r="P364" s="796"/>
      <c r="Q364" s="796"/>
      <c r="R364" s="796"/>
      <c r="S364" s="796"/>
      <c r="T364" s="796"/>
      <c r="U364" s="796"/>
      <c r="V364" s="796"/>
      <c r="W364" s="796"/>
      <c r="X364" s="796"/>
      <c r="Y364" s="796"/>
      <c r="Z364" s="796"/>
      <c r="AA364" s="796"/>
      <c r="AB364" s="796"/>
      <c r="AC364" s="796"/>
      <c r="AD364" s="796"/>
      <c r="AE364" s="796"/>
      <c r="AF364" s="796"/>
      <c r="AG364" s="796"/>
      <c r="AH364" s="796"/>
      <c r="AI364" s="796"/>
      <c r="AJ364" s="796"/>
      <c r="AK364" s="796"/>
      <c r="AL364" s="796"/>
      <c r="AM364" s="796"/>
      <c r="AN364" s="796"/>
    </row>
    <row r="365" spans="1:40" x14ac:dyDescent="0.25">
      <c r="A365" s="796"/>
      <c r="B365" s="59">
        <v>206153</v>
      </c>
      <c r="C365" s="796"/>
      <c r="D365" s="796"/>
      <c r="E365" s="59" t="s">
        <v>402</v>
      </c>
      <c r="F365" s="59">
        <v>206153</v>
      </c>
      <c r="G365" s="796"/>
      <c r="H365" s="796"/>
      <c r="I365" s="796"/>
      <c r="J365" s="796"/>
      <c r="K365" s="796"/>
      <c r="L365" s="796"/>
      <c r="M365" s="796"/>
      <c r="N365" s="796"/>
      <c r="O365" s="796"/>
      <c r="P365" s="796"/>
      <c r="Q365" s="796"/>
      <c r="R365" s="796"/>
      <c r="S365" s="796"/>
      <c r="T365" s="796"/>
      <c r="U365" s="796"/>
      <c r="V365" s="796"/>
      <c r="W365" s="796"/>
      <c r="X365" s="796"/>
      <c r="Y365" s="796"/>
      <c r="Z365" s="796"/>
      <c r="AA365" s="796"/>
      <c r="AB365" s="796"/>
      <c r="AC365" s="796"/>
      <c r="AD365" s="796"/>
      <c r="AE365" s="796"/>
      <c r="AF365" s="796"/>
      <c r="AG365" s="796"/>
      <c r="AH365" s="796"/>
      <c r="AI365" s="796"/>
      <c r="AJ365" s="796"/>
      <c r="AK365" s="796"/>
      <c r="AL365" s="796"/>
      <c r="AM365" s="796"/>
      <c r="AN365" s="796"/>
    </row>
    <row r="366" spans="1:40" x14ac:dyDescent="0.25">
      <c r="A366" s="796"/>
      <c r="B366" s="59">
        <v>3531</v>
      </c>
      <c r="C366" s="796"/>
      <c r="D366" s="796"/>
      <c r="E366" s="59" t="s">
        <v>62</v>
      </c>
      <c r="F366" s="59">
        <v>3531</v>
      </c>
      <c r="G366" s="796"/>
      <c r="H366" s="796"/>
      <c r="I366" s="796"/>
      <c r="J366" s="796"/>
      <c r="K366" s="796"/>
      <c r="L366" s="796"/>
      <c r="M366" s="796"/>
      <c r="N366" s="796"/>
      <c r="O366" s="796"/>
      <c r="P366" s="796"/>
      <c r="Q366" s="796"/>
      <c r="R366" s="796"/>
      <c r="S366" s="796"/>
      <c r="T366" s="796"/>
      <c r="U366" s="796"/>
      <c r="V366" s="796"/>
      <c r="W366" s="796"/>
      <c r="X366" s="796"/>
      <c r="Y366" s="796"/>
      <c r="Z366" s="796"/>
      <c r="AA366" s="796"/>
      <c r="AB366" s="796"/>
      <c r="AC366" s="796"/>
      <c r="AD366" s="796"/>
      <c r="AE366" s="796"/>
      <c r="AF366" s="796"/>
      <c r="AG366" s="796"/>
      <c r="AH366" s="796"/>
      <c r="AI366" s="796"/>
      <c r="AJ366" s="796"/>
      <c r="AK366" s="796"/>
      <c r="AL366" s="796"/>
      <c r="AM366" s="796"/>
      <c r="AN366" s="796"/>
    </row>
    <row r="367" spans="1:40" x14ac:dyDescent="0.25">
      <c r="A367" s="796"/>
      <c r="B367" s="59">
        <v>3526</v>
      </c>
      <c r="C367" s="796"/>
      <c r="D367" s="796"/>
      <c r="E367" s="59" t="s">
        <v>63</v>
      </c>
      <c r="F367" s="59">
        <v>3526</v>
      </c>
      <c r="G367" s="796"/>
      <c r="H367" s="796"/>
      <c r="I367" s="796"/>
      <c r="J367" s="796"/>
      <c r="K367" s="796"/>
      <c r="L367" s="796"/>
      <c r="M367" s="796"/>
      <c r="N367" s="796"/>
      <c r="O367" s="796"/>
      <c r="P367" s="796"/>
      <c r="Q367" s="796"/>
      <c r="R367" s="796"/>
      <c r="S367" s="796"/>
      <c r="T367" s="796"/>
      <c r="U367" s="796"/>
      <c r="V367" s="796"/>
      <c r="W367" s="796"/>
      <c r="X367" s="796"/>
      <c r="Y367" s="796"/>
      <c r="Z367" s="796"/>
      <c r="AA367" s="796"/>
      <c r="AB367" s="796"/>
      <c r="AC367" s="796"/>
      <c r="AD367" s="796"/>
      <c r="AE367" s="796"/>
      <c r="AF367" s="796"/>
      <c r="AG367" s="796"/>
      <c r="AH367" s="796"/>
      <c r="AI367" s="796"/>
      <c r="AJ367" s="796"/>
      <c r="AK367" s="796"/>
      <c r="AL367" s="796"/>
      <c r="AM367" s="796"/>
      <c r="AN367" s="796"/>
    </row>
    <row r="368" spans="1:40" x14ac:dyDescent="0.25">
      <c r="A368" s="796"/>
      <c r="B368" s="59">
        <v>3535</v>
      </c>
      <c r="C368" s="796"/>
      <c r="D368" s="796"/>
      <c r="E368" s="59" t="s">
        <v>104</v>
      </c>
      <c r="F368" s="59">
        <v>3535</v>
      </c>
      <c r="G368" s="796"/>
      <c r="H368" s="796"/>
      <c r="I368" s="796"/>
      <c r="J368" s="796"/>
      <c r="K368" s="796"/>
      <c r="L368" s="796"/>
      <c r="M368" s="796"/>
      <c r="N368" s="796"/>
      <c r="O368" s="796"/>
      <c r="P368" s="796"/>
      <c r="Q368" s="796"/>
      <c r="R368" s="796"/>
      <c r="S368" s="796"/>
      <c r="T368" s="796"/>
      <c r="U368" s="796"/>
      <c r="V368" s="796"/>
      <c r="W368" s="796"/>
      <c r="X368" s="796"/>
      <c r="Y368" s="796"/>
      <c r="Z368" s="796"/>
      <c r="AA368" s="796"/>
      <c r="AB368" s="796"/>
      <c r="AC368" s="796"/>
      <c r="AD368" s="796"/>
      <c r="AE368" s="796"/>
      <c r="AF368" s="796"/>
      <c r="AG368" s="796"/>
      <c r="AH368" s="796"/>
      <c r="AI368" s="796"/>
      <c r="AJ368" s="796"/>
      <c r="AK368" s="796"/>
      <c r="AL368" s="796"/>
      <c r="AM368" s="796"/>
      <c r="AN368" s="796"/>
    </row>
    <row r="369" spans="1:40" x14ac:dyDescent="0.25">
      <c r="A369" s="796"/>
      <c r="B369" s="59">
        <v>2008</v>
      </c>
      <c r="C369" s="796"/>
      <c r="D369" s="796"/>
      <c r="E369" s="59" t="s">
        <v>64</v>
      </c>
      <c r="F369" s="59">
        <v>2008</v>
      </c>
      <c r="G369" s="796"/>
      <c r="H369" s="796"/>
      <c r="I369" s="796"/>
      <c r="J369" s="796"/>
      <c r="K369" s="796"/>
      <c r="L369" s="796"/>
      <c r="M369" s="796"/>
      <c r="N369" s="796"/>
      <c r="O369" s="796"/>
      <c r="P369" s="796"/>
      <c r="Q369" s="796"/>
      <c r="R369" s="796"/>
      <c r="S369" s="796"/>
      <c r="T369" s="796"/>
      <c r="U369" s="796"/>
      <c r="V369" s="796"/>
      <c r="W369" s="796"/>
      <c r="X369" s="796"/>
      <c r="Y369" s="796"/>
      <c r="Z369" s="796"/>
      <c r="AA369" s="796"/>
      <c r="AB369" s="796"/>
      <c r="AC369" s="796"/>
      <c r="AD369" s="796"/>
      <c r="AE369" s="796"/>
      <c r="AF369" s="796"/>
      <c r="AG369" s="796"/>
      <c r="AH369" s="796"/>
      <c r="AI369" s="796"/>
      <c r="AJ369" s="796"/>
      <c r="AK369" s="796"/>
      <c r="AL369" s="796"/>
      <c r="AM369" s="796"/>
      <c r="AN369" s="796"/>
    </row>
    <row r="370" spans="1:40" x14ac:dyDescent="0.25">
      <c r="B370" s="59">
        <v>3542</v>
      </c>
      <c r="E370" s="59" t="s">
        <v>105</v>
      </c>
      <c r="F370" s="59">
        <v>3542</v>
      </c>
    </row>
    <row r="371" spans="1:40" x14ac:dyDescent="0.25">
      <c r="B371" s="59">
        <v>206154</v>
      </c>
      <c r="E371" s="59" t="s">
        <v>404</v>
      </c>
      <c r="F371" s="59">
        <v>206154</v>
      </c>
    </row>
    <row r="372" spans="1:40" x14ac:dyDescent="0.25">
      <c r="B372" s="59">
        <v>3528</v>
      </c>
      <c r="E372" s="59" t="s">
        <v>106</v>
      </c>
      <c r="F372" s="59">
        <v>3528</v>
      </c>
    </row>
    <row r="373" spans="1:40" x14ac:dyDescent="0.25">
      <c r="B373" s="59" t="s">
        <v>407</v>
      </c>
      <c r="E373" s="59" t="s">
        <v>406</v>
      </c>
      <c r="F373" s="59" t="s">
        <v>407</v>
      </c>
    </row>
    <row r="374" spans="1:40" x14ac:dyDescent="0.25">
      <c r="B374" s="59">
        <v>3534</v>
      </c>
      <c r="E374" s="59" t="s">
        <v>107</v>
      </c>
      <c r="F374" s="59">
        <v>3534</v>
      </c>
    </row>
    <row r="375" spans="1:40" x14ac:dyDescent="0.25">
      <c r="B375" s="59">
        <v>3532</v>
      </c>
      <c r="E375" s="59" t="s">
        <v>108</v>
      </c>
      <c r="F375" s="59">
        <v>3532</v>
      </c>
    </row>
    <row r="376" spans="1:40" x14ac:dyDescent="0.25">
      <c r="B376" s="59">
        <v>1010</v>
      </c>
      <c r="E376" s="59" t="s">
        <v>7</v>
      </c>
      <c r="F376" s="59">
        <v>1010</v>
      </c>
    </row>
    <row r="377" spans="1:40" x14ac:dyDescent="0.25">
      <c r="B377" s="59">
        <v>484523</v>
      </c>
      <c r="E377" s="59" t="s">
        <v>1396</v>
      </c>
      <c r="F377" s="59">
        <v>484523</v>
      </c>
    </row>
    <row r="378" spans="1:40" x14ac:dyDescent="0.25">
      <c r="B378" s="59" t="s">
        <v>410</v>
      </c>
      <c r="E378" s="59" t="s">
        <v>408</v>
      </c>
      <c r="F378" s="59" t="s">
        <v>410</v>
      </c>
    </row>
    <row r="379" spans="1:40" x14ac:dyDescent="0.25">
      <c r="B379" s="59">
        <v>4177</v>
      </c>
      <c r="E379" s="59" t="s">
        <v>114</v>
      </c>
      <c r="F379" s="59">
        <v>4177</v>
      </c>
    </row>
    <row r="380" spans="1:40" x14ac:dyDescent="0.25">
      <c r="B380" s="59" t="s">
        <v>824</v>
      </c>
      <c r="E380" s="59" t="s">
        <v>822</v>
      </c>
      <c r="F380" s="59" t="s">
        <v>824</v>
      </c>
    </row>
    <row r="381" spans="1:40" x14ac:dyDescent="0.25">
      <c r="B381" s="59" t="s">
        <v>413</v>
      </c>
      <c r="E381" s="59" t="s">
        <v>411</v>
      </c>
      <c r="F381" s="59" t="s">
        <v>413</v>
      </c>
    </row>
    <row r="382" spans="1:40" x14ac:dyDescent="0.25">
      <c r="B382" s="59">
        <v>206103</v>
      </c>
      <c r="E382" s="59" t="s">
        <v>414</v>
      </c>
      <c r="F382" s="59">
        <v>206103</v>
      </c>
    </row>
    <row r="383" spans="1:40" x14ac:dyDescent="0.25">
      <c r="B383" s="59" t="s">
        <v>417</v>
      </c>
      <c r="E383" s="59" t="s">
        <v>415</v>
      </c>
      <c r="F383" s="59" t="s">
        <v>417</v>
      </c>
    </row>
    <row r="384" spans="1:40" x14ac:dyDescent="0.25">
      <c r="B384" s="59" t="s">
        <v>420</v>
      </c>
      <c r="E384" s="59" t="s">
        <v>418</v>
      </c>
      <c r="F384" s="59" t="s">
        <v>420</v>
      </c>
    </row>
    <row r="385" spans="2:6" x14ac:dyDescent="0.25">
      <c r="B385" s="59">
        <v>258420</v>
      </c>
      <c r="E385" s="59" t="s">
        <v>421</v>
      </c>
      <c r="F385" s="59">
        <v>258420</v>
      </c>
    </row>
    <row r="386" spans="2:6" x14ac:dyDescent="0.25">
      <c r="B386" s="59">
        <v>258424</v>
      </c>
      <c r="E386" s="59" t="s">
        <v>423</v>
      </c>
      <c r="F386" s="59">
        <v>258424</v>
      </c>
    </row>
    <row r="387" spans="2:6" x14ac:dyDescent="0.25">
      <c r="B387" s="59">
        <v>482634</v>
      </c>
      <c r="E387" s="59" t="s">
        <v>1397</v>
      </c>
      <c r="F387" s="59">
        <v>482634</v>
      </c>
    </row>
    <row r="388" spans="2:6" x14ac:dyDescent="0.25">
      <c r="B388" s="59" t="s">
        <v>426</v>
      </c>
      <c r="E388" s="59" t="s">
        <v>425</v>
      </c>
      <c r="F388" s="59" t="s">
        <v>426</v>
      </c>
    </row>
    <row r="389" spans="2:6" x14ac:dyDescent="0.25">
      <c r="B389" s="59">
        <v>3546</v>
      </c>
      <c r="E389" s="59" t="s">
        <v>65</v>
      </c>
      <c r="F389" s="59">
        <v>3546</v>
      </c>
    </row>
    <row r="390" spans="2:6" x14ac:dyDescent="0.25">
      <c r="B390" s="59">
        <v>1009</v>
      </c>
      <c r="E390" s="59" t="s">
        <v>8</v>
      </c>
      <c r="F390" s="59">
        <v>1009</v>
      </c>
    </row>
    <row r="391" spans="2:6" x14ac:dyDescent="0.25">
      <c r="B391" s="59">
        <v>476554</v>
      </c>
      <c r="E391" s="59" t="s">
        <v>1398</v>
      </c>
      <c r="F391" s="59">
        <v>476554</v>
      </c>
    </row>
    <row r="392" spans="2:6" x14ac:dyDescent="0.25">
      <c r="B392" s="59">
        <v>3530</v>
      </c>
      <c r="E392" s="59" t="s">
        <v>66</v>
      </c>
      <c r="F392" s="59">
        <v>3530</v>
      </c>
    </row>
    <row r="393" spans="2:6" x14ac:dyDescent="0.25">
      <c r="B393" s="59">
        <v>5412</v>
      </c>
      <c r="E393" s="59" t="s">
        <v>74</v>
      </c>
      <c r="F393" s="59">
        <v>5412</v>
      </c>
    </row>
    <row r="394" spans="2:6" x14ac:dyDescent="0.25">
      <c r="B394" s="59" t="s">
        <v>433</v>
      </c>
      <c r="E394" s="59" t="s">
        <v>432</v>
      </c>
      <c r="F394" s="59" t="s">
        <v>433</v>
      </c>
    </row>
    <row r="395" spans="2:6" x14ac:dyDescent="0.25">
      <c r="B395" s="59" t="s">
        <v>429</v>
      </c>
      <c r="E395" s="59" t="s">
        <v>427</v>
      </c>
      <c r="F395" s="59" t="s">
        <v>429</v>
      </c>
    </row>
    <row r="396" spans="2:6" x14ac:dyDescent="0.25">
      <c r="B396" s="59">
        <v>1015</v>
      </c>
      <c r="E396" s="59" t="s">
        <v>9</v>
      </c>
      <c r="F396" s="59">
        <v>1015</v>
      </c>
    </row>
    <row r="397" spans="2:6" x14ac:dyDescent="0.25">
      <c r="B397" s="59" t="s">
        <v>431</v>
      </c>
      <c r="E397" s="59" t="s">
        <v>430</v>
      </c>
      <c r="F397" s="59" t="s">
        <v>431</v>
      </c>
    </row>
    <row r="398" spans="2:6" x14ac:dyDescent="0.25">
      <c r="B398" s="59">
        <v>509204</v>
      </c>
      <c r="E398" s="59" t="s">
        <v>434</v>
      </c>
      <c r="F398" s="59">
        <v>509204</v>
      </c>
    </row>
    <row r="399" spans="2:6" x14ac:dyDescent="0.25">
      <c r="B399" s="59" t="s">
        <v>825</v>
      </c>
      <c r="E399" s="59" t="s">
        <v>434</v>
      </c>
      <c r="F399" s="59" t="s">
        <v>825</v>
      </c>
    </row>
    <row r="400" spans="2:6" x14ac:dyDescent="0.25">
      <c r="B400" s="59">
        <v>2459</v>
      </c>
      <c r="E400" s="59" t="s">
        <v>67</v>
      </c>
      <c r="F400" s="59">
        <v>2459</v>
      </c>
    </row>
    <row r="401" spans="2:6" x14ac:dyDescent="0.25">
      <c r="B401" s="59">
        <v>2007</v>
      </c>
      <c r="E401" s="59" t="s">
        <v>96</v>
      </c>
      <c r="F401" s="59">
        <v>2007</v>
      </c>
    </row>
    <row r="402" spans="2:6" x14ac:dyDescent="0.25">
      <c r="B402" s="1158"/>
      <c r="E402" s="11"/>
      <c r="F402" s="2"/>
    </row>
    <row r="403" spans="2:6" x14ac:dyDescent="0.25">
      <c r="B403" s="1158"/>
      <c r="E403" s="11"/>
      <c r="F403" s="2"/>
    </row>
  </sheetData>
  <sheetProtection password="EF5C" sheet="1" objects="1" scenarios="1"/>
  <mergeCells count="8">
    <mergeCell ref="AE1:AE2"/>
    <mergeCell ref="F107:AE107"/>
    <mergeCell ref="F1:Y1"/>
    <mergeCell ref="Z1:Z2"/>
    <mergeCell ref="AA1:AA2"/>
    <mergeCell ref="AB1:AB2"/>
    <mergeCell ref="AC1:AC2"/>
    <mergeCell ref="AD1:AD2"/>
  </mergeCells>
  <conditionalFormatting sqref="O3:AE105 AG105:AN105 F3:M105">
    <cfRule type="cellIs" dxfId="1" priority="2" stopIfTrue="1" operator="equal">
      <formula>0</formula>
    </cfRule>
  </conditionalFormatting>
  <conditionalFormatting sqref="N3:N105">
    <cfRule type="cellIs" dxfId="0" priority="1" stopIfTrue="1" operator="equal">
      <formula>0</formula>
    </cfRule>
  </conditionalFormatting>
  <pageMargins left="0.31496062992125984" right="0.31496062992125984" top="0.74803149606299213" bottom="0.74803149606299213" header="0.31496062992125984" footer="0.31496062992125984"/>
  <pageSetup paperSize="9" scale="42" fitToHeight="0" orientation="landscape"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00B050"/>
  </sheetPr>
  <dimension ref="A1:AE400"/>
  <sheetViews>
    <sheetView workbookViewId="0">
      <pane xSplit="2" ySplit="6" topLeftCell="C7" activePane="bottomRight" state="frozen"/>
      <selection activeCell="C118" sqref="C118"/>
      <selection pane="topRight" activeCell="C118" sqref="C118"/>
      <selection pane="bottomLeft" activeCell="C118" sqref="C118"/>
      <selection pane="bottomRight" activeCell="D22" sqref="D22"/>
    </sheetView>
  </sheetViews>
  <sheetFormatPr defaultColWidth="9.109375" defaultRowHeight="13.2" x14ac:dyDescent="0.25"/>
  <cols>
    <col min="1" max="1" width="52.44140625" style="11" bestFit="1" customWidth="1"/>
    <col min="2" max="2" width="17.109375" style="2" bestFit="1" customWidth="1"/>
    <col min="3" max="5" width="18.6640625" style="11" customWidth="1"/>
    <col min="6" max="6" width="13.109375" style="11" customWidth="1"/>
    <col min="7" max="7" width="9.109375" style="11"/>
    <col min="8" max="8" width="12" style="11" customWidth="1"/>
    <col min="9" max="9" width="15.88671875" style="11" bestFit="1" customWidth="1"/>
    <col min="10" max="10" width="11.6640625" style="11" customWidth="1"/>
    <col min="11" max="11" width="11.88671875" style="11" customWidth="1"/>
    <col min="12" max="12" width="12.6640625" style="11" customWidth="1"/>
    <col min="13" max="13" width="9.109375" style="21"/>
    <col min="14" max="14" width="16.44140625" style="14" customWidth="1"/>
    <col min="15" max="15" width="14.88671875" style="11" bestFit="1" customWidth="1"/>
    <col min="16" max="16" width="12.109375" style="11" customWidth="1"/>
    <col min="17" max="17" width="10" style="11" customWidth="1"/>
    <col min="18" max="18" width="9.109375" style="30" hidden="1" customWidth="1"/>
    <col min="19" max="19" width="12.33203125" style="30" hidden="1" customWidth="1"/>
    <col min="20" max="20" width="11.109375" style="30" hidden="1" customWidth="1"/>
    <col min="21" max="21" width="11.88671875" style="30" hidden="1" customWidth="1"/>
    <col min="22" max="25" width="9.109375" style="30" hidden="1" customWidth="1"/>
    <col min="26" max="26" width="0" style="30" hidden="1" customWidth="1"/>
    <col min="27" max="27" width="9.109375" style="30"/>
    <col min="28" max="28" width="11.109375" style="30" bestFit="1" customWidth="1"/>
    <col min="29" max="29" width="12" style="30" customWidth="1"/>
    <col min="30" max="30" width="18" style="30" customWidth="1"/>
    <col min="31" max="31" width="12.5546875" style="30" bestFit="1" customWidth="1"/>
    <col min="32" max="16384" width="9.109375" style="30"/>
  </cols>
  <sheetData>
    <row r="1" spans="1:31" ht="12.75" customHeight="1" x14ac:dyDescent="0.25">
      <c r="A1" s="1" t="s">
        <v>832</v>
      </c>
      <c r="C1" s="722">
        <f>2553.0217*1.04</f>
        <v>2655.1425679999998</v>
      </c>
      <c r="D1" s="723"/>
      <c r="E1" s="723"/>
      <c r="F1" s="1108" t="s">
        <v>1343</v>
      </c>
      <c r="G1" s="4"/>
      <c r="H1" s="4" t="s">
        <v>1344</v>
      </c>
      <c r="I1" s="4"/>
      <c r="J1" s="18"/>
      <c r="K1" s="19"/>
      <c r="L1" s="19"/>
      <c r="N1" s="23"/>
      <c r="O1" s="23"/>
      <c r="AC1" s="30" t="s">
        <v>1308</v>
      </c>
    </row>
    <row r="2" spans="1:31" ht="13.8" x14ac:dyDescent="0.25">
      <c r="A2" s="1" t="s">
        <v>77</v>
      </c>
      <c r="B2" s="2" t="s">
        <v>833</v>
      </c>
      <c r="C2" s="724"/>
      <c r="D2" s="723"/>
      <c r="E2" s="723"/>
      <c r="F2" s="1108">
        <v>69.788822031273952</v>
      </c>
      <c r="G2" s="4" t="s">
        <v>0</v>
      </c>
      <c r="H2" s="1109">
        <f>+M80+J100</f>
        <v>22395.041666666664</v>
      </c>
      <c r="I2" s="4"/>
      <c r="J2" s="19"/>
      <c r="K2" s="19"/>
      <c r="L2" s="19"/>
      <c r="N2" s="1251"/>
      <c r="O2" s="1251"/>
      <c r="AC2" s="30" t="s">
        <v>834</v>
      </c>
      <c r="AD2" s="30" t="s">
        <v>835</v>
      </c>
    </row>
    <row r="3" spans="1:31" ht="13.8" x14ac:dyDescent="0.25">
      <c r="A3" s="1" t="s">
        <v>78</v>
      </c>
      <c r="C3" s="722"/>
      <c r="D3" s="722">
        <f>3576.1624*1.04</f>
        <v>3719.2088960000001</v>
      </c>
      <c r="E3" s="723"/>
      <c r="F3" s="1108">
        <v>42.623545355576461</v>
      </c>
      <c r="G3" s="4" t="s">
        <v>1</v>
      </c>
      <c r="H3" s="1109">
        <f>+K100+L100+M98</f>
        <v>14098</v>
      </c>
      <c r="I3" s="21"/>
      <c r="J3" s="19"/>
      <c r="K3" s="18"/>
      <c r="L3" s="19"/>
      <c r="N3" s="1251"/>
      <c r="O3" s="1251"/>
      <c r="AB3" s="30" t="s">
        <v>0</v>
      </c>
      <c r="AC3" s="21">
        <v>2553.0217000000002</v>
      </c>
      <c r="AD3" s="723">
        <f>C1-AC3</f>
        <v>102.12086799999952</v>
      </c>
      <c r="AE3" s="723"/>
    </row>
    <row r="4" spans="1:31" x14ac:dyDescent="0.25">
      <c r="A4" s="1" t="s">
        <v>79</v>
      </c>
      <c r="C4" s="722"/>
      <c r="D4" s="31"/>
      <c r="E4" s="725">
        <f>4003.8288*1.04</f>
        <v>4163.9819520000001</v>
      </c>
      <c r="F4" s="3"/>
      <c r="G4" s="3"/>
      <c r="H4" s="3"/>
      <c r="I4" s="3"/>
      <c r="J4" s="18"/>
      <c r="K4" s="18"/>
      <c r="L4" s="18"/>
      <c r="M4" s="31"/>
      <c r="N4" s="1251"/>
      <c r="O4" s="1251"/>
      <c r="AB4" s="30" t="s">
        <v>836</v>
      </c>
      <c r="AC4" s="21">
        <v>3576.1624000000002</v>
      </c>
      <c r="AD4" s="723">
        <f>D3-AC4</f>
        <v>143.04649599999993</v>
      </c>
    </row>
    <row r="5" spans="1:31" ht="12.75" x14ac:dyDescent="0.2">
      <c r="A5" s="1" t="s">
        <v>80</v>
      </c>
      <c r="C5" s="20"/>
      <c r="D5" s="3"/>
      <c r="E5" s="18"/>
      <c r="F5" s="3"/>
      <c r="G5" s="3"/>
      <c r="H5" s="3"/>
      <c r="I5" s="32"/>
      <c r="J5" s="3"/>
      <c r="K5" s="3"/>
      <c r="L5" s="18"/>
      <c r="M5" s="31"/>
      <c r="O5" s="23"/>
      <c r="AB5" s="30" t="s">
        <v>837</v>
      </c>
      <c r="AC5" s="31">
        <f>3976.3526+10+8+1+5+5-1-0.5238</f>
        <v>4003.8288000000002</v>
      </c>
      <c r="AD5" s="723">
        <f>E4-AC5</f>
        <v>160.15315199999986</v>
      </c>
    </row>
    <row r="6" spans="1:31" ht="66" x14ac:dyDescent="0.25">
      <c r="A6" s="13" t="s">
        <v>118</v>
      </c>
      <c r="B6" s="6" t="s">
        <v>119</v>
      </c>
      <c r="C6" s="7" t="s">
        <v>82</v>
      </c>
      <c r="D6" s="7" t="s">
        <v>83</v>
      </c>
      <c r="E6" s="7" t="s">
        <v>84</v>
      </c>
      <c r="F6" s="7" t="s">
        <v>85</v>
      </c>
      <c r="G6" s="7" t="s">
        <v>86</v>
      </c>
      <c r="H6" s="7" t="s">
        <v>87</v>
      </c>
      <c r="I6" s="7" t="s">
        <v>88</v>
      </c>
      <c r="J6" s="5" t="s">
        <v>89</v>
      </c>
      <c r="K6" s="5" t="s">
        <v>90</v>
      </c>
      <c r="L6" s="5" t="s">
        <v>91</v>
      </c>
      <c r="M6" s="726" t="s">
        <v>92</v>
      </c>
      <c r="N6" s="15" t="s">
        <v>93</v>
      </c>
      <c r="P6" s="5" t="s">
        <v>1022</v>
      </c>
      <c r="Q6" s="5" t="s">
        <v>839</v>
      </c>
      <c r="S6" s="727" t="s">
        <v>840</v>
      </c>
      <c r="T6" s="727" t="s">
        <v>841</v>
      </c>
      <c r="U6" s="727" t="s">
        <v>842</v>
      </c>
      <c r="V6" s="56"/>
      <c r="W6" s="727" t="s">
        <v>843</v>
      </c>
      <c r="X6" s="727" t="s">
        <v>844</v>
      </c>
      <c r="Y6" s="727" t="s">
        <v>845</v>
      </c>
      <c r="AC6" s="728" t="s">
        <v>1345</v>
      </c>
    </row>
    <row r="7" spans="1:31" ht="12.75" x14ac:dyDescent="0.2">
      <c r="A7" s="729" t="s">
        <v>1301</v>
      </c>
      <c r="B7" s="27">
        <v>2014</v>
      </c>
      <c r="C7" s="729">
        <v>32.75</v>
      </c>
      <c r="D7" s="729">
        <v>0</v>
      </c>
      <c r="E7" s="729">
        <v>0</v>
      </c>
      <c r="F7" s="729">
        <f>SUM(C7:E7)</f>
        <v>32.75</v>
      </c>
      <c r="G7" s="729">
        <v>0</v>
      </c>
      <c r="H7" s="729">
        <v>0</v>
      </c>
      <c r="I7" s="729">
        <v>0</v>
      </c>
      <c r="J7" s="729">
        <f t="shared" ref="J7:L22" si="0">C7-G7</f>
        <v>32.75</v>
      </c>
      <c r="K7" s="729">
        <f t="shared" si="0"/>
        <v>0</v>
      </c>
      <c r="L7" s="729">
        <f t="shared" si="0"/>
        <v>0</v>
      </c>
      <c r="M7" s="730">
        <f>SUM(J7:L7)</f>
        <v>32.75</v>
      </c>
      <c r="N7" s="731">
        <f>SUM(J7*$C$1)+SUM(K7*$D$3)+SUM(L7*$E$4)</f>
        <v>86955.919101999985</v>
      </c>
      <c r="P7" s="11">
        <v>61272.520800000006</v>
      </c>
      <c r="Q7" s="11">
        <f>N7-P7</f>
        <v>25683.39830199998</v>
      </c>
      <c r="S7" s="30">
        <v>323</v>
      </c>
      <c r="T7" s="30">
        <v>0</v>
      </c>
      <c r="U7" s="30">
        <v>0</v>
      </c>
      <c r="W7" s="11">
        <f t="shared" ref="W7:Y22" si="1">J7-S7</f>
        <v>-290.25</v>
      </c>
      <c r="X7" s="11">
        <f t="shared" si="1"/>
        <v>0</v>
      </c>
      <c r="Y7" s="11">
        <f t="shared" si="1"/>
        <v>0</v>
      </c>
      <c r="AC7" s="16">
        <v>913981.76860000007</v>
      </c>
      <c r="AD7" s="16">
        <f>AC7-P7</f>
        <v>852709.24780000001</v>
      </c>
    </row>
    <row r="8" spans="1:31" ht="12.75" x14ac:dyDescent="0.2">
      <c r="A8" s="729" t="s">
        <v>10</v>
      </c>
      <c r="B8" s="1023">
        <v>2012</v>
      </c>
      <c r="C8" s="729">
        <v>366</v>
      </c>
      <c r="D8" s="729">
        <v>0</v>
      </c>
      <c r="E8" s="729">
        <v>0</v>
      </c>
      <c r="F8" s="729">
        <f>SUM(C8:E8)</f>
        <v>366</v>
      </c>
      <c r="G8" s="729">
        <v>0</v>
      </c>
      <c r="H8" s="729">
        <v>0</v>
      </c>
      <c r="I8" s="729">
        <v>0</v>
      </c>
      <c r="J8" s="729">
        <f t="shared" si="0"/>
        <v>366</v>
      </c>
      <c r="K8" s="729">
        <f t="shared" si="0"/>
        <v>0</v>
      </c>
      <c r="L8" s="729">
        <f t="shared" si="0"/>
        <v>0</v>
      </c>
      <c r="M8" s="730">
        <f>SUM(J8:L8)</f>
        <v>366</v>
      </c>
      <c r="N8" s="731">
        <f>SUM(J8*$C$1)+SUM(K8*$D$3)+SUM(L8*$E$4)</f>
        <v>971782.1798879999</v>
      </c>
      <c r="P8" s="11">
        <v>913981.76860000007</v>
      </c>
      <c r="Q8" s="11">
        <f>N8-P8</f>
        <v>57800.411287999828</v>
      </c>
      <c r="S8" s="30">
        <v>323</v>
      </c>
      <c r="T8" s="30">
        <v>0</v>
      </c>
      <c r="U8" s="30">
        <v>0</v>
      </c>
      <c r="W8" s="11">
        <f t="shared" si="1"/>
        <v>43</v>
      </c>
      <c r="X8" s="11">
        <f t="shared" si="1"/>
        <v>0</v>
      </c>
      <c r="Y8" s="11">
        <f t="shared" si="1"/>
        <v>0</v>
      </c>
      <c r="AC8" s="16">
        <v>913981.76860000007</v>
      </c>
      <c r="AD8" s="16">
        <f>AC8-P8</f>
        <v>0</v>
      </c>
    </row>
    <row r="9" spans="1:31" ht="12.75" x14ac:dyDescent="0.2">
      <c r="A9" s="9" t="s">
        <v>11</v>
      </c>
      <c r="B9" s="10">
        <v>2443</v>
      </c>
      <c r="C9" s="9">
        <v>264</v>
      </c>
      <c r="D9" s="9">
        <v>0</v>
      </c>
      <c r="E9" s="9">
        <v>0</v>
      </c>
      <c r="F9" s="9">
        <f t="shared" ref="F9:F71" si="2">SUM(C9:E9)</f>
        <v>264</v>
      </c>
      <c r="G9" s="9">
        <v>0</v>
      </c>
      <c r="H9" s="9">
        <v>0</v>
      </c>
      <c r="I9" s="9">
        <v>0</v>
      </c>
      <c r="J9" s="9">
        <f t="shared" si="0"/>
        <v>264</v>
      </c>
      <c r="K9" s="9">
        <f t="shared" si="0"/>
        <v>0</v>
      </c>
      <c r="L9" s="9">
        <f t="shared" si="0"/>
        <v>0</v>
      </c>
      <c r="M9" s="31">
        <f t="shared" ref="M9:M72" si="3">SUM(J9:L9)</f>
        <v>264</v>
      </c>
      <c r="N9" s="16">
        <f t="shared" ref="N9:N72" si="4">SUM(J9*$C$1)+SUM(K9*$D$3)+SUM(L9*$E$4)</f>
        <v>700957.6379519999</v>
      </c>
      <c r="P9" s="11">
        <v>651020.53350000002</v>
      </c>
      <c r="Q9" s="11">
        <f t="shared" ref="Q9:Q72" si="5">N9-P9</f>
        <v>49937.104451999883</v>
      </c>
      <c r="S9" s="30">
        <v>259</v>
      </c>
      <c r="T9" s="30">
        <v>0</v>
      </c>
      <c r="U9" s="30">
        <v>0</v>
      </c>
      <c r="W9" s="11">
        <f t="shared" si="1"/>
        <v>5</v>
      </c>
      <c r="X9" s="11">
        <f t="shared" si="1"/>
        <v>0</v>
      </c>
      <c r="Y9" s="11">
        <f t="shared" si="1"/>
        <v>0</v>
      </c>
      <c r="AC9" s="16">
        <v>651020.53350000002</v>
      </c>
      <c r="AD9" s="16">
        <f t="shared" ref="AD9:AD72" si="6">AC9-P9</f>
        <v>0</v>
      </c>
    </row>
    <row r="10" spans="1:31" ht="12" customHeight="1" x14ac:dyDescent="0.2">
      <c r="A10" s="9" t="s">
        <v>94</v>
      </c>
      <c r="B10" s="10">
        <v>2442</v>
      </c>
      <c r="C10" s="9">
        <v>334</v>
      </c>
      <c r="D10" s="9">
        <v>0</v>
      </c>
      <c r="E10" s="9">
        <v>0</v>
      </c>
      <c r="F10" s="9">
        <f t="shared" si="2"/>
        <v>334</v>
      </c>
      <c r="G10" s="732">
        <v>14</v>
      </c>
      <c r="H10" s="9">
        <v>0</v>
      </c>
      <c r="I10" s="9">
        <v>0</v>
      </c>
      <c r="J10" s="9">
        <f t="shared" si="0"/>
        <v>320</v>
      </c>
      <c r="K10" s="9">
        <f t="shared" si="0"/>
        <v>0</v>
      </c>
      <c r="L10" s="9">
        <f t="shared" si="0"/>
        <v>0</v>
      </c>
      <c r="M10" s="31">
        <f t="shared" si="3"/>
        <v>320</v>
      </c>
      <c r="N10" s="16">
        <f t="shared" si="4"/>
        <v>849645.62175999989</v>
      </c>
      <c r="P10" s="11">
        <v>788883.70530000003</v>
      </c>
      <c r="Q10" s="11">
        <f t="shared" si="5"/>
        <v>60761.916459999862</v>
      </c>
      <c r="S10" s="30">
        <v>294</v>
      </c>
      <c r="T10" s="30">
        <v>0</v>
      </c>
      <c r="U10" s="30">
        <v>0</v>
      </c>
      <c r="W10" s="11">
        <f t="shared" si="1"/>
        <v>26</v>
      </c>
      <c r="X10" s="11">
        <f t="shared" si="1"/>
        <v>0</v>
      </c>
      <c r="Y10" s="11">
        <f t="shared" si="1"/>
        <v>0</v>
      </c>
      <c r="AC10" s="16">
        <v>788883.70530000003</v>
      </c>
      <c r="AD10" s="16">
        <f t="shared" si="6"/>
        <v>0</v>
      </c>
    </row>
    <row r="11" spans="1:31" ht="12.75" x14ac:dyDescent="0.2">
      <c r="A11" s="9" t="s">
        <v>13</v>
      </c>
      <c r="B11" s="10">
        <v>2629</v>
      </c>
      <c r="C11" s="9">
        <v>483.5</v>
      </c>
      <c r="D11" s="9">
        <v>0</v>
      </c>
      <c r="E11" s="9">
        <v>0</v>
      </c>
      <c r="F11" s="9">
        <f t="shared" si="2"/>
        <v>483.5</v>
      </c>
      <c r="G11" s="732">
        <v>5</v>
      </c>
      <c r="H11" s="9">
        <v>0</v>
      </c>
      <c r="I11" s="9">
        <v>0</v>
      </c>
      <c r="J11" s="9">
        <f t="shared" si="0"/>
        <v>478.5</v>
      </c>
      <c r="K11" s="9">
        <f t="shared" si="0"/>
        <v>0</v>
      </c>
      <c r="L11" s="9">
        <f t="shared" si="0"/>
        <v>0</v>
      </c>
      <c r="M11" s="31">
        <f t="shared" si="3"/>
        <v>478.5</v>
      </c>
      <c r="N11" s="16">
        <f t="shared" si="4"/>
        <v>1270485.7187879998</v>
      </c>
      <c r="P11" s="11">
        <v>1100352.3527000002</v>
      </c>
      <c r="Q11" s="11">
        <f t="shared" si="5"/>
        <v>170133.36608799966</v>
      </c>
      <c r="S11" s="30">
        <v>401</v>
      </c>
      <c r="T11" s="30">
        <v>0</v>
      </c>
      <c r="U11" s="30">
        <v>0</v>
      </c>
      <c r="W11" s="11">
        <f t="shared" si="1"/>
        <v>77.5</v>
      </c>
      <c r="X11" s="11">
        <f t="shared" si="1"/>
        <v>0</v>
      </c>
      <c r="Y11" s="11">
        <f t="shared" si="1"/>
        <v>0</v>
      </c>
      <c r="AC11" s="16">
        <v>1100352.3527000002</v>
      </c>
      <c r="AD11" s="16">
        <f t="shared" si="6"/>
        <v>0</v>
      </c>
    </row>
    <row r="12" spans="1:31" ht="12.75" x14ac:dyDescent="0.2">
      <c r="A12" s="9" t="s">
        <v>14</v>
      </c>
      <c r="B12" s="10">
        <v>2509</v>
      </c>
      <c r="C12" s="9">
        <v>206</v>
      </c>
      <c r="D12" s="9">
        <v>0</v>
      </c>
      <c r="E12" s="9">
        <v>0</v>
      </c>
      <c r="F12" s="9">
        <f t="shared" si="2"/>
        <v>206</v>
      </c>
      <c r="G12" s="9">
        <v>0</v>
      </c>
      <c r="H12" s="9">
        <v>0</v>
      </c>
      <c r="I12" s="9">
        <v>0</v>
      </c>
      <c r="J12" s="9">
        <f t="shared" si="0"/>
        <v>206</v>
      </c>
      <c r="K12" s="9">
        <f t="shared" si="0"/>
        <v>0</v>
      </c>
      <c r="L12" s="9">
        <f t="shared" si="0"/>
        <v>0</v>
      </c>
      <c r="M12" s="31">
        <f t="shared" si="3"/>
        <v>206</v>
      </c>
      <c r="N12" s="16">
        <f t="shared" si="4"/>
        <v>546959.36900799989</v>
      </c>
      <c r="P12" s="11">
        <v>497839.23150000005</v>
      </c>
      <c r="Q12" s="11">
        <f t="shared" si="5"/>
        <v>49120.13750799984</v>
      </c>
      <c r="S12" s="30">
        <v>188</v>
      </c>
      <c r="T12" s="30">
        <v>0</v>
      </c>
      <c r="U12" s="30">
        <v>0</v>
      </c>
      <c r="W12" s="11">
        <f t="shared" si="1"/>
        <v>18</v>
      </c>
      <c r="X12" s="11">
        <f t="shared" si="1"/>
        <v>0</v>
      </c>
      <c r="Y12" s="11">
        <f t="shared" si="1"/>
        <v>0</v>
      </c>
      <c r="AC12" s="16">
        <v>497839.23150000005</v>
      </c>
      <c r="AD12" s="16">
        <f t="shared" si="6"/>
        <v>0</v>
      </c>
    </row>
    <row r="13" spans="1:31" ht="12.75" x14ac:dyDescent="0.2">
      <c r="A13" s="9" t="s">
        <v>15</v>
      </c>
      <c r="B13" s="10">
        <v>2005</v>
      </c>
      <c r="C13" s="9">
        <v>319</v>
      </c>
      <c r="D13" s="9">
        <v>0</v>
      </c>
      <c r="E13" s="9">
        <v>0</v>
      </c>
      <c r="F13" s="9">
        <f t="shared" si="2"/>
        <v>319</v>
      </c>
      <c r="G13" s="9">
        <v>0</v>
      </c>
      <c r="H13" s="9">
        <v>0</v>
      </c>
      <c r="I13" s="9">
        <v>0</v>
      </c>
      <c r="J13" s="9">
        <f t="shared" si="0"/>
        <v>319</v>
      </c>
      <c r="K13" s="9">
        <f t="shared" si="0"/>
        <v>0</v>
      </c>
      <c r="L13" s="9">
        <f t="shared" si="0"/>
        <v>0</v>
      </c>
      <c r="M13" s="31">
        <f t="shared" si="3"/>
        <v>319</v>
      </c>
      <c r="N13" s="16">
        <f t="shared" si="4"/>
        <v>846990.47919199988</v>
      </c>
      <c r="P13" s="11">
        <v>824626.00910000002</v>
      </c>
      <c r="Q13" s="11">
        <f t="shared" si="5"/>
        <v>22364.470091999858</v>
      </c>
      <c r="S13" s="30">
        <v>300</v>
      </c>
      <c r="T13" s="30">
        <v>0</v>
      </c>
      <c r="U13" s="30">
        <v>0</v>
      </c>
      <c r="W13" s="11">
        <f t="shared" si="1"/>
        <v>19</v>
      </c>
      <c r="X13" s="11">
        <f t="shared" si="1"/>
        <v>0</v>
      </c>
      <c r="Y13" s="11">
        <f t="shared" si="1"/>
        <v>0</v>
      </c>
      <c r="AC13" s="16">
        <v>824626.00910000002</v>
      </c>
      <c r="AD13" s="16">
        <f t="shared" si="6"/>
        <v>0</v>
      </c>
    </row>
    <row r="14" spans="1:31" ht="12.75" x14ac:dyDescent="0.2">
      <c r="A14" s="9" t="s">
        <v>16</v>
      </c>
      <c r="B14" s="10">
        <v>2464</v>
      </c>
      <c r="C14" s="9">
        <v>201</v>
      </c>
      <c r="D14" s="9">
        <v>0</v>
      </c>
      <c r="E14" s="9">
        <v>0</v>
      </c>
      <c r="F14" s="9">
        <f t="shared" si="2"/>
        <v>201</v>
      </c>
      <c r="G14" s="9">
        <v>0</v>
      </c>
      <c r="H14" s="9">
        <v>0</v>
      </c>
      <c r="I14" s="9">
        <v>0</v>
      </c>
      <c r="J14" s="9">
        <f t="shared" si="0"/>
        <v>201</v>
      </c>
      <c r="K14" s="9">
        <f t="shared" si="0"/>
        <v>0</v>
      </c>
      <c r="L14" s="9">
        <f t="shared" si="0"/>
        <v>0</v>
      </c>
      <c r="M14" s="31">
        <f t="shared" si="3"/>
        <v>201</v>
      </c>
      <c r="N14" s="16">
        <f t="shared" si="4"/>
        <v>533683.65616799996</v>
      </c>
      <c r="P14" s="11">
        <v>490180.16640000005</v>
      </c>
      <c r="Q14" s="11">
        <f t="shared" si="5"/>
        <v>43503.489767999912</v>
      </c>
      <c r="S14" s="30">
        <v>186</v>
      </c>
      <c r="T14" s="30">
        <v>0</v>
      </c>
      <c r="U14" s="30">
        <v>0</v>
      </c>
      <c r="W14" s="11">
        <f t="shared" si="1"/>
        <v>15</v>
      </c>
      <c r="X14" s="11">
        <f t="shared" si="1"/>
        <v>0</v>
      </c>
      <c r="Y14" s="11">
        <f t="shared" si="1"/>
        <v>0</v>
      </c>
      <c r="AC14" s="16">
        <v>490180.16640000005</v>
      </c>
      <c r="AD14" s="16">
        <f t="shared" si="6"/>
        <v>0</v>
      </c>
    </row>
    <row r="15" spans="1:31" ht="12.75" x14ac:dyDescent="0.2">
      <c r="A15" s="9" t="s">
        <v>17</v>
      </c>
      <c r="B15" s="10">
        <v>2004</v>
      </c>
      <c r="C15" s="9">
        <v>254</v>
      </c>
      <c r="D15" s="9">
        <v>0</v>
      </c>
      <c r="E15" s="9">
        <v>0</v>
      </c>
      <c r="F15" s="9">
        <f t="shared" si="2"/>
        <v>254</v>
      </c>
      <c r="G15" s="9">
        <v>0</v>
      </c>
      <c r="H15" s="9">
        <v>0</v>
      </c>
      <c r="I15" s="9">
        <v>0</v>
      </c>
      <c r="J15" s="9">
        <f t="shared" si="0"/>
        <v>254</v>
      </c>
      <c r="K15" s="9">
        <f t="shared" si="0"/>
        <v>0</v>
      </c>
      <c r="L15" s="9">
        <f t="shared" si="0"/>
        <v>0</v>
      </c>
      <c r="M15" s="31">
        <f t="shared" si="3"/>
        <v>254</v>
      </c>
      <c r="N15" s="16">
        <f t="shared" si="4"/>
        <v>674406.21227199992</v>
      </c>
      <c r="P15" s="11">
        <v>694421.90240000002</v>
      </c>
      <c r="Q15" s="11">
        <f t="shared" si="5"/>
        <v>-20015.690128000104</v>
      </c>
      <c r="S15" s="30">
        <v>265</v>
      </c>
      <c r="T15" s="30">
        <v>0</v>
      </c>
      <c r="U15" s="30">
        <v>0</v>
      </c>
      <c r="W15" s="11">
        <f t="shared" si="1"/>
        <v>-11</v>
      </c>
      <c r="X15" s="11">
        <f t="shared" si="1"/>
        <v>0</v>
      </c>
      <c r="Y15" s="11">
        <f t="shared" si="1"/>
        <v>0</v>
      </c>
      <c r="AC15" s="16">
        <v>694421.90240000002</v>
      </c>
      <c r="AD15" s="16">
        <f t="shared" si="6"/>
        <v>0</v>
      </c>
    </row>
    <row r="16" spans="1:31" ht="12.75" x14ac:dyDescent="0.2">
      <c r="A16" s="9" t="s">
        <v>18</v>
      </c>
      <c r="B16" s="10">
        <v>2405</v>
      </c>
      <c r="C16" s="9">
        <v>204</v>
      </c>
      <c r="D16" s="9">
        <v>0</v>
      </c>
      <c r="E16" s="9">
        <v>0</v>
      </c>
      <c r="F16" s="9">
        <f t="shared" si="2"/>
        <v>204</v>
      </c>
      <c r="G16" s="732">
        <v>6</v>
      </c>
      <c r="H16" s="9">
        <v>0</v>
      </c>
      <c r="I16" s="9">
        <v>0</v>
      </c>
      <c r="J16" s="9">
        <f t="shared" si="0"/>
        <v>198</v>
      </c>
      <c r="K16" s="9">
        <f t="shared" si="0"/>
        <v>0</v>
      </c>
      <c r="L16" s="9">
        <f t="shared" si="0"/>
        <v>0</v>
      </c>
      <c r="M16" s="31">
        <f t="shared" si="3"/>
        <v>198</v>
      </c>
      <c r="N16" s="16">
        <f t="shared" si="4"/>
        <v>525718.22846399993</v>
      </c>
      <c r="P16" s="11">
        <v>513157.36170000007</v>
      </c>
      <c r="Q16" s="11">
        <f t="shared" si="5"/>
        <v>12560.86676399986</v>
      </c>
      <c r="S16" s="30">
        <v>196</v>
      </c>
      <c r="T16" s="30">
        <v>0</v>
      </c>
      <c r="U16" s="30">
        <v>0</v>
      </c>
      <c r="W16" s="11">
        <f t="shared" si="1"/>
        <v>2</v>
      </c>
      <c r="X16" s="11">
        <f t="shared" si="1"/>
        <v>0</v>
      </c>
      <c r="Y16" s="11">
        <f t="shared" si="1"/>
        <v>0</v>
      </c>
      <c r="AC16" s="16">
        <v>513157.36170000007</v>
      </c>
      <c r="AD16" s="16">
        <f t="shared" si="6"/>
        <v>0</v>
      </c>
    </row>
    <row r="17" spans="1:30" s="33" customFormat="1" ht="12.75" x14ac:dyDescent="0.2">
      <c r="A17" s="729" t="s">
        <v>95</v>
      </c>
      <c r="B17" s="1023">
        <v>2011</v>
      </c>
      <c r="C17" s="729">
        <v>211</v>
      </c>
      <c r="D17" s="729">
        <v>0</v>
      </c>
      <c r="E17" s="729">
        <v>0</v>
      </c>
      <c r="F17" s="729">
        <f t="shared" si="2"/>
        <v>211</v>
      </c>
      <c r="G17" s="729">
        <v>0</v>
      </c>
      <c r="H17" s="729">
        <v>0</v>
      </c>
      <c r="I17" s="729">
        <v>0</v>
      </c>
      <c r="J17" s="729">
        <f t="shared" si="0"/>
        <v>211</v>
      </c>
      <c r="K17" s="729">
        <f t="shared" si="0"/>
        <v>0</v>
      </c>
      <c r="L17" s="729">
        <f t="shared" si="0"/>
        <v>0</v>
      </c>
      <c r="M17" s="730">
        <f t="shared" si="3"/>
        <v>211</v>
      </c>
      <c r="N17" s="731">
        <f t="shared" si="4"/>
        <v>560235.08184799994</v>
      </c>
      <c r="O17" s="733"/>
      <c r="P17" s="733">
        <v>546346.64380000008</v>
      </c>
      <c r="Q17" s="733">
        <f t="shared" si="5"/>
        <v>13888.438047999865</v>
      </c>
      <c r="S17" s="33">
        <v>209</v>
      </c>
      <c r="T17" s="33">
        <v>0</v>
      </c>
      <c r="U17" s="33">
        <v>0</v>
      </c>
      <c r="W17" s="733">
        <f t="shared" si="1"/>
        <v>2</v>
      </c>
      <c r="X17" s="733">
        <f t="shared" si="1"/>
        <v>0</v>
      </c>
      <c r="Y17" s="733">
        <f t="shared" si="1"/>
        <v>0</v>
      </c>
      <c r="AC17" s="16">
        <v>546346.64380000008</v>
      </c>
      <c r="AD17" s="16">
        <f t="shared" si="6"/>
        <v>0</v>
      </c>
    </row>
    <row r="18" spans="1:30" ht="12.75" x14ac:dyDescent="0.2">
      <c r="A18" s="9" t="s">
        <v>20</v>
      </c>
      <c r="B18" s="10">
        <v>5201</v>
      </c>
      <c r="C18" s="9">
        <v>414</v>
      </c>
      <c r="D18" s="9">
        <v>0</v>
      </c>
      <c r="E18" s="9">
        <v>0</v>
      </c>
      <c r="F18" s="9">
        <f t="shared" si="2"/>
        <v>414</v>
      </c>
      <c r="G18" s="9">
        <v>0</v>
      </c>
      <c r="H18" s="9">
        <v>0</v>
      </c>
      <c r="I18" s="9">
        <v>0</v>
      </c>
      <c r="J18" s="9">
        <f t="shared" si="0"/>
        <v>414</v>
      </c>
      <c r="K18" s="9">
        <f t="shared" si="0"/>
        <v>0</v>
      </c>
      <c r="L18" s="9">
        <f t="shared" si="0"/>
        <v>0</v>
      </c>
      <c r="M18" s="31">
        <f t="shared" si="3"/>
        <v>414</v>
      </c>
      <c r="N18" s="16">
        <f t="shared" si="4"/>
        <v>1099229.0231519998</v>
      </c>
      <c r="P18" s="11">
        <v>1069716.0923000001</v>
      </c>
      <c r="Q18" s="11">
        <f t="shared" si="5"/>
        <v>29512.93085199967</v>
      </c>
      <c r="S18" s="30">
        <v>392</v>
      </c>
      <c r="T18" s="30">
        <v>0</v>
      </c>
      <c r="U18" s="30">
        <v>0</v>
      </c>
      <c r="W18" s="11">
        <f t="shared" si="1"/>
        <v>22</v>
      </c>
      <c r="X18" s="11">
        <f t="shared" si="1"/>
        <v>0</v>
      </c>
      <c r="Y18" s="11">
        <f t="shared" si="1"/>
        <v>0</v>
      </c>
      <c r="AC18" s="16">
        <v>1069716.0923000001</v>
      </c>
      <c r="AD18" s="16">
        <f t="shared" si="6"/>
        <v>0</v>
      </c>
    </row>
    <row r="19" spans="1:30" s="33" customFormat="1" ht="12.75" x14ac:dyDescent="0.2">
      <c r="A19" s="729" t="s">
        <v>96</v>
      </c>
      <c r="B19" s="27">
        <v>2007</v>
      </c>
      <c r="C19" s="729">
        <v>343</v>
      </c>
      <c r="D19" s="729">
        <v>0</v>
      </c>
      <c r="E19" s="729">
        <v>0</v>
      </c>
      <c r="F19" s="729">
        <f t="shared" si="2"/>
        <v>343</v>
      </c>
      <c r="G19" s="729">
        <v>0</v>
      </c>
      <c r="H19" s="729">
        <v>0</v>
      </c>
      <c r="I19" s="729">
        <v>0</v>
      </c>
      <c r="J19" s="729">
        <f t="shared" si="0"/>
        <v>343</v>
      </c>
      <c r="K19" s="729">
        <f t="shared" si="0"/>
        <v>0</v>
      </c>
      <c r="L19" s="729">
        <f t="shared" si="0"/>
        <v>0</v>
      </c>
      <c r="M19" s="730">
        <f t="shared" si="3"/>
        <v>343</v>
      </c>
      <c r="N19" s="731">
        <f t="shared" si="4"/>
        <v>910713.90082399989</v>
      </c>
      <c r="O19" s="733"/>
      <c r="P19" s="733">
        <v>776118.59680000006</v>
      </c>
      <c r="Q19" s="733">
        <f t="shared" si="5"/>
        <v>134595.30402399984</v>
      </c>
      <c r="S19" s="33">
        <v>259</v>
      </c>
      <c r="T19" s="33">
        <v>0</v>
      </c>
      <c r="U19" s="33">
        <v>0</v>
      </c>
      <c r="W19" s="733">
        <f t="shared" si="1"/>
        <v>84</v>
      </c>
      <c r="X19" s="733">
        <f t="shared" si="1"/>
        <v>0</v>
      </c>
      <c r="Y19" s="733">
        <f t="shared" si="1"/>
        <v>0</v>
      </c>
      <c r="AC19" s="16">
        <v>776118.59680000006</v>
      </c>
      <c r="AD19" s="16">
        <f t="shared" si="6"/>
        <v>0</v>
      </c>
    </row>
    <row r="20" spans="1:30" ht="12.75" x14ac:dyDescent="0.2">
      <c r="A20" s="9" t="s">
        <v>21</v>
      </c>
      <c r="B20" s="10">
        <v>2433</v>
      </c>
      <c r="C20" s="9">
        <v>196</v>
      </c>
      <c r="D20" s="9">
        <v>0</v>
      </c>
      <c r="E20" s="9">
        <v>0</v>
      </c>
      <c r="F20" s="9">
        <f t="shared" si="2"/>
        <v>196</v>
      </c>
      <c r="G20" s="732">
        <v>30</v>
      </c>
      <c r="H20" s="9">
        <v>0</v>
      </c>
      <c r="I20" s="9">
        <v>0</v>
      </c>
      <c r="J20" s="9">
        <f t="shared" si="0"/>
        <v>166</v>
      </c>
      <c r="K20" s="9">
        <f t="shared" si="0"/>
        <v>0</v>
      </c>
      <c r="L20" s="9">
        <f t="shared" si="0"/>
        <v>0</v>
      </c>
      <c r="M20" s="31">
        <f t="shared" si="3"/>
        <v>166</v>
      </c>
      <c r="N20" s="16">
        <f t="shared" si="4"/>
        <v>440753.66628799995</v>
      </c>
      <c r="P20" s="11">
        <v>439119.73240000004</v>
      </c>
      <c r="Q20" s="11">
        <f t="shared" si="5"/>
        <v>1633.9338879999123</v>
      </c>
      <c r="S20" s="30">
        <v>169</v>
      </c>
      <c r="T20" s="30">
        <v>0</v>
      </c>
      <c r="U20" s="30">
        <v>0</v>
      </c>
      <c r="W20" s="11">
        <f t="shared" si="1"/>
        <v>-3</v>
      </c>
      <c r="X20" s="11">
        <f t="shared" si="1"/>
        <v>0</v>
      </c>
      <c r="Y20" s="11">
        <f t="shared" si="1"/>
        <v>0</v>
      </c>
      <c r="AC20" s="16">
        <v>439119.73240000004</v>
      </c>
      <c r="AD20" s="16">
        <f t="shared" si="6"/>
        <v>0</v>
      </c>
    </row>
    <row r="21" spans="1:30" ht="12.75" x14ac:dyDescent="0.2">
      <c r="A21" s="9" t="s">
        <v>22</v>
      </c>
      <c r="B21" s="10">
        <v>2432</v>
      </c>
      <c r="C21" s="9">
        <v>242</v>
      </c>
      <c r="D21" s="9">
        <v>0</v>
      </c>
      <c r="E21" s="9">
        <v>0</v>
      </c>
      <c r="F21" s="9">
        <f t="shared" si="2"/>
        <v>242</v>
      </c>
      <c r="G21" s="732">
        <v>38</v>
      </c>
      <c r="H21" s="9">
        <v>0</v>
      </c>
      <c r="I21" s="9">
        <v>0</v>
      </c>
      <c r="J21" s="9">
        <f t="shared" si="0"/>
        <v>204</v>
      </c>
      <c r="K21" s="9">
        <f t="shared" si="0"/>
        <v>0</v>
      </c>
      <c r="L21" s="9">
        <f t="shared" si="0"/>
        <v>0</v>
      </c>
      <c r="M21" s="31">
        <f t="shared" si="3"/>
        <v>204</v>
      </c>
      <c r="N21" s="16">
        <f t="shared" si="4"/>
        <v>541649.08387199999</v>
      </c>
      <c r="P21" s="11">
        <v>523369.44850000006</v>
      </c>
      <c r="Q21" s="11">
        <f t="shared" si="5"/>
        <v>18279.635371999932</v>
      </c>
      <c r="S21" s="30">
        <v>199</v>
      </c>
      <c r="T21" s="30">
        <v>0</v>
      </c>
      <c r="U21" s="30">
        <v>0</v>
      </c>
      <c r="W21" s="11">
        <f t="shared" si="1"/>
        <v>5</v>
      </c>
      <c r="X21" s="11">
        <f t="shared" si="1"/>
        <v>0</v>
      </c>
      <c r="Y21" s="11">
        <f t="shared" si="1"/>
        <v>0</v>
      </c>
      <c r="AC21" s="16">
        <v>523369.44850000006</v>
      </c>
      <c r="AD21" s="16">
        <f t="shared" si="6"/>
        <v>0</v>
      </c>
    </row>
    <row r="22" spans="1:30" ht="12.75" x14ac:dyDescent="0.2">
      <c r="A22" s="9" t="s">
        <v>188</v>
      </c>
      <c r="B22" s="10">
        <v>2447</v>
      </c>
      <c r="C22" s="9">
        <v>424</v>
      </c>
      <c r="D22" s="9">
        <v>0</v>
      </c>
      <c r="E22" s="9">
        <v>0</v>
      </c>
      <c r="F22" s="9">
        <f t="shared" si="2"/>
        <v>424</v>
      </c>
      <c r="G22" s="9">
        <v>0</v>
      </c>
      <c r="H22" s="9">
        <v>0</v>
      </c>
      <c r="I22" s="9">
        <v>0</v>
      </c>
      <c r="J22" s="9">
        <f t="shared" si="0"/>
        <v>424</v>
      </c>
      <c r="K22" s="9">
        <f t="shared" si="0"/>
        <v>0</v>
      </c>
      <c r="L22" s="9">
        <f t="shared" si="0"/>
        <v>0</v>
      </c>
      <c r="M22" s="31">
        <f t="shared" si="3"/>
        <v>424</v>
      </c>
      <c r="N22" s="16">
        <f t="shared" si="4"/>
        <v>1125780.4488319999</v>
      </c>
      <c r="P22" s="11">
        <v>1069716.0923000001</v>
      </c>
      <c r="Q22" s="11">
        <f t="shared" si="5"/>
        <v>56064.356531999772</v>
      </c>
      <c r="S22" s="11">
        <v>402</v>
      </c>
      <c r="T22" s="30">
        <v>0</v>
      </c>
      <c r="U22" s="30">
        <v>0</v>
      </c>
      <c r="W22" s="11">
        <f t="shared" si="1"/>
        <v>22</v>
      </c>
      <c r="X22" s="11">
        <f t="shared" si="1"/>
        <v>0</v>
      </c>
      <c r="Y22" s="11">
        <f t="shared" si="1"/>
        <v>0</v>
      </c>
      <c r="AC22" s="16">
        <v>1069716.0923000001</v>
      </c>
      <c r="AD22" s="16">
        <f t="shared" si="6"/>
        <v>0</v>
      </c>
    </row>
    <row r="23" spans="1:30" ht="12.75" x14ac:dyDescent="0.2">
      <c r="A23" s="9" t="s">
        <v>23</v>
      </c>
      <c r="B23" s="10">
        <v>2512</v>
      </c>
      <c r="C23" s="9">
        <v>213</v>
      </c>
      <c r="D23" s="9">
        <v>0</v>
      </c>
      <c r="E23" s="9">
        <v>0</v>
      </c>
      <c r="F23" s="9">
        <f t="shared" si="2"/>
        <v>213</v>
      </c>
      <c r="G23" s="9">
        <v>0</v>
      </c>
      <c r="H23" s="9">
        <v>0</v>
      </c>
      <c r="I23" s="9">
        <v>0</v>
      </c>
      <c r="J23" s="9">
        <f t="shared" ref="J23:L78" si="7">C23-G23</f>
        <v>213</v>
      </c>
      <c r="K23" s="9">
        <f t="shared" si="7"/>
        <v>0</v>
      </c>
      <c r="L23" s="9">
        <f t="shared" si="7"/>
        <v>0</v>
      </c>
      <c r="M23" s="31">
        <f t="shared" si="3"/>
        <v>213</v>
      </c>
      <c r="N23" s="16">
        <f t="shared" si="4"/>
        <v>565545.36698399996</v>
      </c>
      <c r="P23" s="11">
        <v>525922.4702000001</v>
      </c>
      <c r="Q23" s="11">
        <f t="shared" si="5"/>
        <v>39622.896783999866</v>
      </c>
      <c r="S23" s="30">
        <v>208</v>
      </c>
      <c r="T23" s="30">
        <v>0</v>
      </c>
      <c r="U23" s="30">
        <v>0</v>
      </c>
      <c r="W23" s="11">
        <f t="shared" ref="W23:Y78" si="8">J23-S23</f>
        <v>5</v>
      </c>
      <c r="X23" s="11">
        <f t="shared" si="8"/>
        <v>0</v>
      </c>
      <c r="Y23" s="11">
        <f t="shared" si="8"/>
        <v>0</v>
      </c>
      <c r="AC23" s="16">
        <v>525922.4702000001</v>
      </c>
      <c r="AD23" s="16">
        <f t="shared" si="6"/>
        <v>0</v>
      </c>
    </row>
    <row r="24" spans="1:30" ht="12.75" x14ac:dyDescent="0.2">
      <c r="A24" s="9" t="s">
        <v>24</v>
      </c>
      <c r="B24" s="10">
        <v>2456</v>
      </c>
      <c r="C24" s="9">
        <v>176</v>
      </c>
      <c r="D24" s="9">
        <v>0</v>
      </c>
      <c r="E24" s="9">
        <v>0</v>
      </c>
      <c r="F24" s="9">
        <f t="shared" si="2"/>
        <v>176</v>
      </c>
      <c r="G24" s="9">
        <v>0</v>
      </c>
      <c r="H24" s="9">
        <v>0</v>
      </c>
      <c r="I24" s="9">
        <v>0</v>
      </c>
      <c r="J24" s="9">
        <f t="shared" si="7"/>
        <v>176</v>
      </c>
      <c r="K24" s="9">
        <f t="shared" si="7"/>
        <v>0</v>
      </c>
      <c r="L24" s="9">
        <f t="shared" si="7"/>
        <v>0</v>
      </c>
      <c r="M24" s="31">
        <f t="shared" si="3"/>
        <v>176</v>
      </c>
      <c r="N24" s="16">
        <f t="shared" si="4"/>
        <v>467305.09196799994</v>
      </c>
      <c r="P24" s="11">
        <v>456990.88430000003</v>
      </c>
      <c r="Q24" s="11">
        <f t="shared" si="5"/>
        <v>10314.207667999901</v>
      </c>
      <c r="S24" s="30">
        <v>178</v>
      </c>
      <c r="T24" s="30">
        <v>0</v>
      </c>
      <c r="U24" s="30">
        <v>0</v>
      </c>
      <c r="W24" s="11">
        <f t="shared" si="8"/>
        <v>-2</v>
      </c>
      <c r="X24" s="11">
        <f t="shared" si="8"/>
        <v>0</v>
      </c>
      <c r="Y24" s="11">
        <f t="shared" si="8"/>
        <v>0</v>
      </c>
      <c r="AC24" s="16">
        <v>456990.88430000003</v>
      </c>
      <c r="AD24" s="16">
        <f t="shared" si="6"/>
        <v>0</v>
      </c>
    </row>
    <row r="25" spans="1:30" ht="12.75" x14ac:dyDescent="0.2">
      <c r="A25" s="9" t="s">
        <v>25</v>
      </c>
      <c r="B25" s="10">
        <v>2449</v>
      </c>
      <c r="C25" s="9">
        <v>267</v>
      </c>
      <c r="D25" s="9">
        <v>0</v>
      </c>
      <c r="E25" s="9">
        <v>0</v>
      </c>
      <c r="F25" s="9">
        <f t="shared" si="2"/>
        <v>267</v>
      </c>
      <c r="G25" s="9">
        <v>0</v>
      </c>
      <c r="H25" s="9">
        <v>0</v>
      </c>
      <c r="I25" s="9">
        <v>0</v>
      </c>
      <c r="J25" s="9">
        <f t="shared" si="7"/>
        <v>267</v>
      </c>
      <c r="K25" s="9">
        <f t="shared" si="7"/>
        <v>0</v>
      </c>
      <c r="L25" s="9">
        <f t="shared" si="7"/>
        <v>0</v>
      </c>
      <c r="M25" s="31">
        <f t="shared" si="3"/>
        <v>267</v>
      </c>
      <c r="N25" s="16">
        <f t="shared" si="4"/>
        <v>708923.06565599993</v>
      </c>
      <c r="P25" s="11">
        <v>689315.85900000005</v>
      </c>
      <c r="Q25" s="11">
        <f t="shared" si="5"/>
        <v>19607.206655999878</v>
      </c>
      <c r="S25" s="30">
        <v>268</v>
      </c>
      <c r="T25" s="30">
        <v>0</v>
      </c>
      <c r="U25" s="30">
        <v>0</v>
      </c>
      <c r="W25" s="11">
        <f t="shared" si="8"/>
        <v>-1</v>
      </c>
      <c r="X25" s="11">
        <f t="shared" si="8"/>
        <v>0</v>
      </c>
      <c r="Y25" s="11">
        <f t="shared" si="8"/>
        <v>0</v>
      </c>
      <c r="AC25" s="16">
        <v>689315.85900000005</v>
      </c>
      <c r="AD25" s="16">
        <f t="shared" si="6"/>
        <v>0</v>
      </c>
    </row>
    <row r="26" spans="1:30" ht="12.75" x14ac:dyDescent="0.2">
      <c r="A26" s="9" t="s">
        <v>26</v>
      </c>
      <c r="B26" s="10">
        <v>2448</v>
      </c>
      <c r="C26" s="9">
        <v>345</v>
      </c>
      <c r="D26" s="9">
        <v>0</v>
      </c>
      <c r="E26" s="9">
        <v>0</v>
      </c>
      <c r="F26" s="9">
        <f t="shared" si="2"/>
        <v>345</v>
      </c>
      <c r="G26" s="9">
        <v>0</v>
      </c>
      <c r="H26" s="9">
        <v>0</v>
      </c>
      <c r="I26" s="9">
        <v>0</v>
      </c>
      <c r="J26" s="9">
        <f t="shared" si="7"/>
        <v>345</v>
      </c>
      <c r="K26" s="9">
        <f t="shared" si="7"/>
        <v>0</v>
      </c>
      <c r="L26" s="9">
        <f t="shared" si="7"/>
        <v>0</v>
      </c>
      <c r="M26" s="31">
        <f t="shared" si="3"/>
        <v>345</v>
      </c>
      <c r="N26" s="16">
        <f t="shared" si="4"/>
        <v>916024.18595999992</v>
      </c>
      <c r="P26" s="11">
        <v>852709.24780000013</v>
      </c>
      <c r="Q26" s="11">
        <f t="shared" si="5"/>
        <v>63314.938159999787</v>
      </c>
      <c r="S26" s="30">
        <v>311</v>
      </c>
      <c r="T26" s="30">
        <v>0</v>
      </c>
      <c r="U26" s="30">
        <v>0</v>
      </c>
      <c r="W26" s="11">
        <f t="shared" si="8"/>
        <v>34</v>
      </c>
      <c r="X26" s="11">
        <f t="shared" si="8"/>
        <v>0</v>
      </c>
      <c r="Y26" s="11">
        <f t="shared" si="8"/>
        <v>0</v>
      </c>
      <c r="AC26" s="16">
        <v>852709.24780000013</v>
      </c>
      <c r="AD26" s="16">
        <f t="shared" si="6"/>
        <v>0</v>
      </c>
    </row>
    <row r="27" spans="1:30" ht="12.75" x14ac:dyDescent="0.2">
      <c r="A27" s="9" t="s">
        <v>97</v>
      </c>
      <c r="B27" s="10">
        <v>2467</v>
      </c>
      <c r="C27" s="9">
        <v>338</v>
      </c>
      <c r="D27" s="9">
        <v>0</v>
      </c>
      <c r="E27" s="9">
        <v>0</v>
      </c>
      <c r="F27" s="9">
        <f t="shared" si="2"/>
        <v>338</v>
      </c>
      <c r="G27" s="9">
        <v>0</v>
      </c>
      <c r="H27" s="9">
        <v>0</v>
      </c>
      <c r="I27" s="9">
        <v>0</v>
      </c>
      <c r="J27" s="9">
        <f t="shared" si="7"/>
        <v>338</v>
      </c>
      <c r="K27" s="9">
        <f t="shared" si="7"/>
        <v>0</v>
      </c>
      <c r="L27" s="9">
        <f t="shared" si="7"/>
        <v>0</v>
      </c>
      <c r="M27" s="31">
        <f t="shared" si="3"/>
        <v>338</v>
      </c>
      <c r="N27" s="16">
        <f t="shared" si="4"/>
        <v>897438.18798399996</v>
      </c>
      <c r="P27" s="11">
        <v>891004.57330000005</v>
      </c>
      <c r="Q27" s="11">
        <f t="shared" si="5"/>
        <v>6433.6146839999128</v>
      </c>
      <c r="S27" s="30">
        <v>362</v>
      </c>
      <c r="T27" s="30">
        <v>0</v>
      </c>
      <c r="U27" s="30">
        <v>0</v>
      </c>
      <c r="W27" s="11">
        <f t="shared" si="8"/>
        <v>-24</v>
      </c>
      <c r="X27" s="11">
        <f t="shared" si="8"/>
        <v>0</v>
      </c>
      <c r="Y27" s="11">
        <f t="shared" si="8"/>
        <v>0</v>
      </c>
      <c r="AC27" s="16">
        <v>891004.57330000005</v>
      </c>
      <c r="AD27" s="16">
        <f t="shared" si="6"/>
        <v>0</v>
      </c>
    </row>
    <row r="28" spans="1:30" ht="12.75" x14ac:dyDescent="0.2">
      <c r="A28" s="9" t="s">
        <v>28</v>
      </c>
      <c r="B28" s="10">
        <v>2455</v>
      </c>
      <c r="C28" s="9">
        <v>354</v>
      </c>
      <c r="D28" s="9">
        <v>0</v>
      </c>
      <c r="E28" s="9">
        <v>0</v>
      </c>
      <c r="F28" s="9">
        <f t="shared" si="2"/>
        <v>354</v>
      </c>
      <c r="G28" s="9">
        <v>0</v>
      </c>
      <c r="H28" s="9">
        <v>0</v>
      </c>
      <c r="I28" s="9">
        <v>0</v>
      </c>
      <c r="J28" s="9">
        <f t="shared" si="7"/>
        <v>354</v>
      </c>
      <c r="K28" s="9">
        <f t="shared" si="7"/>
        <v>0</v>
      </c>
      <c r="L28" s="9">
        <f t="shared" si="7"/>
        <v>0</v>
      </c>
      <c r="M28" s="31">
        <f t="shared" si="3"/>
        <v>354</v>
      </c>
      <c r="N28" s="16">
        <f t="shared" si="4"/>
        <v>939920.46907199989</v>
      </c>
      <c r="P28" s="11">
        <v>896110.61670000013</v>
      </c>
      <c r="Q28" s="11">
        <f t="shared" si="5"/>
        <v>43809.852371999761</v>
      </c>
      <c r="S28" s="30">
        <v>355</v>
      </c>
      <c r="T28" s="30">
        <v>0</v>
      </c>
      <c r="U28" s="30">
        <v>0</v>
      </c>
      <c r="W28" s="11">
        <f t="shared" si="8"/>
        <v>-1</v>
      </c>
      <c r="X28" s="11">
        <f t="shared" si="8"/>
        <v>0</v>
      </c>
      <c r="Y28" s="11">
        <f t="shared" si="8"/>
        <v>0</v>
      </c>
      <c r="AC28" s="16">
        <v>896110.61670000013</v>
      </c>
      <c r="AD28" s="16">
        <f t="shared" si="6"/>
        <v>0</v>
      </c>
    </row>
    <row r="29" spans="1:30" ht="12.75" x14ac:dyDescent="0.2">
      <c r="A29" s="9" t="s">
        <v>29</v>
      </c>
      <c r="B29" s="10">
        <v>5203</v>
      </c>
      <c r="C29" s="9">
        <v>491</v>
      </c>
      <c r="D29" s="9">
        <v>0</v>
      </c>
      <c r="E29" s="9">
        <v>0</v>
      </c>
      <c r="F29" s="9">
        <f t="shared" si="2"/>
        <v>491</v>
      </c>
      <c r="G29" s="9">
        <v>0</v>
      </c>
      <c r="H29" s="9">
        <v>0</v>
      </c>
      <c r="I29" s="9">
        <v>0</v>
      </c>
      <c r="J29" s="9">
        <f t="shared" si="7"/>
        <v>491</v>
      </c>
      <c r="K29" s="9">
        <f t="shared" si="7"/>
        <v>0</v>
      </c>
      <c r="L29" s="9">
        <f t="shared" si="7"/>
        <v>0</v>
      </c>
      <c r="M29" s="31">
        <f t="shared" si="3"/>
        <v>491</v>
      </c>
      <c r="N29" s="16">
        <f t="shared" si="4"/>
        <v>1303675.0008879998</v>
      </c>
      <c r="P29" s="11">
        <v>1238215.5245000001</v>
      </c>
      <c r="Q29" s="11">
        <f t="shared" si="5"/>
        <v>65459.476387999719</v>
      </c>
      <c r="S29" s="30">
        <v>480</v>
      </c>
      <c r="T29" s="30">
        <v>0</v>
      </c>
      <c r="U29" s="30">
        <v>0</v>
      </c>
      <c r="W29" s="11">
        <f t="shared" si="8"/>
        <v>11</v>
      </c>
      <c r="X29" s="11">
        <f t="shared" si="8"/>
        <v>0</v>
      </c>
      <c r="Y29" s="11">
        <f t="shared" si="8"/>
        <v>0</v>
      </c>
      <c r="AC29" s="16">
        <v>1238215.5245000001</v>
      </c>
      <c r="AD29" s="16">
        <f t="shared" si="6"/>
        <v>0</v>
      </c>
    </row>
    <row r="30" spans="1:30" x14ac:dyDescent="0.25">
      <c r="A30" s="9" t="s">
        <v>30</v>
      </c>
      <c r="B30" s="10">
        <v>2451</v>
      </c>
      <c r="C30" s="9">
        <v>508</v>
      </c>
      <c r="D30" s="9">
        <v>0</v>
      </c>
      <c r="E30" s="9">
        <v>0</v>
      </c>
      <c r="F30" s="9">
        <f t="shared" si="2"/>
        <v>508</v>
      </c>
      <c r="G30" s="9">
        <v>0</v>
      </c>
      <c r="H30" s="9">
        <v>0</v>
      </c>
      <c r="I30" s="9">
        <v>0</v>
      </c>
      <c r="J30" s="9">
        <f t="shared" si="7"/>
        <v>508</v>
      </c>
      <c r="K30" s="9">
        <f t="shared" si="7"/>
        <v>0</v>
      </c>
      <c r="L30" s="9">
        <f t="shared" si="7"/>
        <v>0</v>
      </c>
      <c r="M30" s="31">
        <f t="shared" si="3"/>
        <v>508</v>
      </c>
      <c r="N30" s="16">
        <f t="shared" si="4"/>
        <v>1348812.4245439998</v>
      </c>
      <c r="P30" s="11">
        <v>1205026.2424000001</v>
      </c>
      <c r="Q30" s="11">
        <f t="shared" si="5"/>
        <v>143786.18214399973</v>
      </c>
      <c r="S30" s="30">
        <v>473</v>
      </c>
      <c r="T30" s="30">
        <v>0</v>
      </c>
      <c r="U30" s="30">
        <v>0</v>
      </c>
      <c r="W30" s="11">
        <f t="shared" si="8"/>
        <v>35</v>
      </c>
      <c r="X30" s="11">
        <f t="shared" si="8"/>
        <v>0</v>
      </c>
      <c r="Y30" s="11">
        <f t="shared" si="8"/>
        <v>0</v>
      </c>
      <c r="AC30" s="16">
        <v>1205026.2424000001</v>
      </c>
      <c r="AD30" s="16">
        <f t="shared" si="6"/>
        <v>0</v>
      </c>
    </row>
    <row r="31" spans="1:30" x14ac:dyDescent="0.25">
      <c r="A31" s="9" t="s">
        <v>31</v>
      </c>
      <c r="B31" s="10">
        <v>2409</v>
      </c>
      <c r="C31" s="9">
        <v>544</v>
      </c>
      <c r="D31" s="9">
        <v>0</v>
      </c>
      <c r="E31" s="9">
        <v>0</v>
      </c>
      <c r="F31" s="9">
        <f t="shared" si="2"/>
        <v>544</v>
      </c>
      <c r="G31" s="9">
        <v>0</v>
      </c>
      <c r="H31" s="9">
        <v>0</v>
      </c>
      <c r="I31" s="9">
        <v>0</v>
      </c>
      <c r="J31" s="9">
        <f t="shared" si="7"/>
        <v>544</v>
      </c>
      <c r="K31" s="9">
        <f t="shared" si="7"/>
        <v>0</v>
      </c>
      <c r="L31" s="9">
        <f t="shared" si="7"/>
        <v>0</v>
      </c>
      <c r="M31" s="31">
        <f t="shared" si="3"/>
        <v>544</v>
      </c>
      <c r="N31" s="16">
        <f t="shared" si="4"/>
        <v>1444397.556992</v>
      </c>
      <c r="P31" s="11">
        <v>1409267.9784000001</v>
      </c>
      <c r="Q31" s="11">
        <f t="shared" si="5"/>
        <v>35129.578591999831</v>
      </c>
      <c r="S31" s="30">
        <v>551</v>
      </c>
      <c r="T31" s="30">
        <v>0</v>
      </c>
      <c r="U31" s="30">
        <v>0</v>
      </c>
      <c r="W31" s="11">
        <f t="shared" si="8"/>
        <v>-7</v>
      </c>
      <c r="X31" s="11">
        <f t="shared" si="8"/>
        <v>0</v>
      </c>
      <c r="Y31" s="11">
        <f t="shared" si="8"/>
        <v>0</v>
      </c>
      <c r="AC31" s="16">
        <v>1409267.9784000001</v>
      </c>
      <c r="AD31" s="16">
        <f t="shared" si="6"/>
        <v>0</v>
      </c>
    </row>
    <row r="32" spans="1:30" x14ac:dyDescent="0.25">
      <c r="A32" s="9" t="s">
        <v>98</v>
      </c>
      <c r="B32" s="10">
        <v>3158</v>
      </c>
      <c r="C32" s="9">
        <v>120</v>
      </c>
      <c r="D32" s="9">
        <v>0</v>
      </c>
      <c r="E32" s="9">
        <v>0</v>
      </c>
      <c r="F32" s="9">
        <f t="shared" si="2"/>
        <v>120</v>
      </c>
      <c r="G32" s="9">
        <v>0</v>
      </c>
      <c r="H32" s="9">
        <v>0</v>
      </c>
      <c r="I32" s="9">
        <v>0</v>
      </c>
      <c r="J32" s="9">
        <f t="shared" si="7"/>
        <v>120</v>
      </c>
      <c r="K32" s="9">
        <f t="shared" si="7"/>
        <v>0</v>
      </c>
      <c r="L32" s="9">
        <f t="shared" si="7"/>
        <v>0</v>
      </c>
      <c r="M32" s="31">
        <f t="shared" si="3"/>
        <v>120</v>
      </c>
      <c r="N32" s="16">
        <f t="shared" si="4"/>
        <v>318617.10815999995</v>
      </c>
      <c r="P32" s="11">
        <v>306362.60400000005</v>
      </c>
      <c r="Q32" s="11">
        <f t="shared" si="5"/>
        <v>12254.504159999895</v>
      </c>
      <c r="S32" s="30">
        <v>117</v>
      </c>
      <c r="T32" s="30">
        <v>0</v>
      </c>
      <c r="U32" s="30">
        <v>0</v>
      </c>
      <c r="W32" s="11">
        <f t="shared" si="8"/>
        <v>3</v>
      </c>
      <c r="X32" s="11">
        <f t="shared" si="8"/>
        <v>0</v>
      </c>
      <c r="Y32" s="11">
        <f t="shared" si="8"/>
        <v>0</v>
      </c>
      <c r="AC32" s="16">
        <v>306362.60400000005</v>
      </c>
      <c r="AD32" s="16">
        <f t="shared" si="6"/>
        <v>0</v>
      </c>
    </row>
    <row r="33" spans="1:30" x14ac:dyDescent="0.25">
      <c r="A33" s="9" t="s">
        <v>32</v>
      </c>
      <c r="B33" s="10">
        <v>2619</v>
      </c>
      <c r="C33" s="9">
        <v>221.08333333333331</v>
      </c>
      <c r="D33" s="9">
        <v>0</v>
      </c>
      <c r="E33" s="9">
        <v>0</v>
      </c>
      <c r="F33" s="9">
        <f t="shared" si="2"/>
        <v>221.08333333333331</v>
      </c>
      <c r="G33" s="9">
        <v>0</v>
      </c>
      <c r="H33" s="9">
        <v>0</v>
      </c>
      <c r="I33" s="9">
        <v>0</v>
      </c>
      <c r="J33" s="9">
        <f t="shared" si="7"/>
        <v>221.08333333333331</v>
      </c>
      <c r="K33" s="9">
        <f t="shared" si="7"/>
        <v>0</v>
      </c>
      <c r="L33" s="9">
        <f t="shared" si="7"/>
        <v>0</v>
      </c>
      <c r="M33" s="31">
        <f t="shared" si="3"/>
        <v>221.08333333333331</v>
      </c>
      <c r="N33" s="16">
        <f t="shared" si="4"/>
        <v>587007.76940866653</v>
      </c>
      <c r="P33" s="11">
        <v>520816.42680000007</v>
      </c>
      <c r="Q33" s="11">
        <f t="shared" si="5"/>
        <v>66191.342608666455</v>
      </c>
      <c r="S33" s="30">
        <v>199</v>
      </c>
      <c r="T33" s="30">
        <v>0</v>
      </c>
      <c r="U33" s="30">
        <v>0</v>
      </c>
      <c r="W33" s="11">
        <f t="shared" si="8"/>
        <v>22.083333333333314</v>
      </c>
      <c r="X33" s="11">
        <f t="shared" si="8"/>
        <v>0</v>
      </c>
      <c r="Y33" s="11">
        <f t="shared" si="8"/>
        <v>0</v>
      </c>
      <c r="AC33" s="16">
        <v>520816.42680000007</v>
      </c>
      <c r="AD33" s="16">
        <f t="shared" si="6"/>
        <v>0</v>
      </c>
    </row>
    <row r="34" spans="1:30" x14ac:dyDescent="0.25">
      <c r="A34" s="9" t="s">
        <v>33</v>
      </c>
      <c r="B34" s="10">
        <v>2518</v>
      </c>
      <c r="C34" s="9">
        <v>315</v>
      </c>
      <c r="D34" s="9">
        <v>0</v>
      </c>
      <c r="E34" s="9">
        <v>0</v>
      </c>
      <c r="F34" s="9">
        <f t="shared" si="2"/>
        <v>315</v>
      </c>
      <c r="G34" s="9">
        <v>0</v>
      </c>
      <c r="H34" s="9">
        <v>0</v>
      </c>
      <c r="I34" s="9">
        <v>0</v>
      </c>
      <c r="J34" s="9">
        <f t="shared" si="7"/>
        <v>315</v>
      </c>
      <c r="K34" s="9">
        <f t="shared" si="7"/>
        <v>0</v>
      </c>
      <c r="L34" s="9">
        <f t="shared" si="7"/>
        <v>0</v>
      </c>
      <c r="M34" s="31">
        <f t="shared" si="3"/>
        <v>315</v>
      </c>
      <c r="N34" s="16">
        <f t="shared" si="4"/>
        <v>836369.90891999996</v>
      </c>
      <c r="P34" s="11">
        <v>868027.37800000003</v>
      </c>
      <c r="Q34" s="11">
        <f t="shared" si="5"/>
        <v>-31657.469080000068</v>
      </c>
      <c r="S34" s="30">
        <v>297</v>
      </c>
      <c r="T34" s="30">
        <v>0</v>
      </c>
      <c r="U34" s="30">
        <v>0</v>
      </c>
      <c r="W34" s="11">
        <f t="shared" si="8"/>
        <v>18</v>
      </c>
      <c r="X34" s="11">
        <f t="shared" si="8"/>
        <v>0</v>
      </c>
      <c r="Y34" s="11">
        <f t="shared" si="8"/>
        <v>0</v>
      </c>
      <c r="AC34" s="16">
        <v>868027.37800000003</v>
      </c>
      <c r="AD34" s="16">
        <f t="shared" si="6"/>
        <v>0</v>
      </c>
    </row>
    <row r="35" spans="1:30" x14ac:dyDescent="0.25">
      <c r="A35" s="9" t="s">
        <v>34</v>
      </c>
      <c r="B35" s="10">
        <v>2457</v>
      </c>
      <c r="C35" s="9">
        <v>366</v>
      </c>
      <c r="D35" s="9">
        <v>0</v>
      </c>
      <c r="E35" s="9">
        <v>0</v>
      </c>
      <c r="F35" s="9">
        <f t="shared" si="2"/>
        <v>366</v>
      </c>
      <c r="G35" s="9">
        <v>0</v>
      </c>
      <c r="H35" s="9">
        <v>0</v>
      </c>
      <c r="I35" s="9">
        <v>0</v>
      </c>
      <c r="J35" s="9">
        <f t="shared" si="7"/>
        <v>366</v>
      </c>
      <c r="K35" s="9">
        <f t="shared" si="7"/>
        <v>0</v>
      </c>
      <c r="L35" s="9">
        <f t="shared" si="7"/>
        <v>0</v>
      </c>
      <c r="M35" s="31">
        <f t="shared" si="3"/>
        <v>366</v>
      </c>
      <c r="N35" s="16">
        <f t="shared" si="4"/>
        <v>971782.1798879999</v>
      </c>
      <c r="P35" s="11">
        <v>924193.85540000012</v>
      </c>
      <c r="Q35" s="11">
        <f t="shared" si="5"/>
        <v>47588.32448799978</v>
      </c>
      <c r="S35" s="30">
        <v>358</v>
      </c>
      <c r="T35" s="30">
        <v>0</v>
      </c>
      <c r="U35" s="30">
        <v>0</v>
      </c>
      <c r="W35" s="11">
        <f t="shared" si="8"/>
        <v>8</v>
      </c>
      <c r="X35" s="11">
        <f t="shared" si="8"/>
        <v>0</v>
      </c>
      <c r="Y35" s="11">
        <f t="shared" si="8"/>
        <v>0</v>
      </c>
      <c r="AC35" s="16">
        <v>924193.85540000012</v>
      </c>
      <c r="AD35" s="16">
        <f t="shared" si="6"/>
        <v>0</v>
      </c>
    </row>
    <row r="36" spans="1:30" s="33" customFormat="1" x14ac:dyDescent="0.25">
      <c r="A36" s="729" t="s">
        <v>99</v>
      </c>
      <c r="B36" s="27">
        <v>2010</v>
      </c>
      <c r="C36" s="729">
        <v>211</v>
      </c>
      <c r="D36" s="729">
        <v>0</v>
      </c>
      <c r="E36" s="729">
        <v>0</v>
      </c>
      <c r="F36" s="729">
        <f t="shared" si="2"/>
        <v>211</v>
      </c>
      <c r="G36" s="729">
        <v>0</v>
      </c>
      <c r="H36" s="729">
        <v>0</v>
      </c>
      <c r="I36" s="729">
        <v>0</v>
      </c>
      <c r="J36" s="729">
        <f t="shared" si="7"/>
        <v>211</v>
      </c>
      <c r="K36" s="729">
        <f t="shared" si="7"/>
        <v>0</v>
      </c>
      <c r="L36" s="729">
        <f t="shared" si="7"/>
        <v>0</v>
      </c>
      <c r="M36" s="730">
        <f t="shared" si="3"/>
        <v>211</v>
      </c>
      <c r="N36" s="731">
        <f t="shared" si="4"/>
        <v>560235.08184799994</v>
      </c>
      <c r="O36" s="733"/>
      <c r="P36" s="733">
        <v>520816.42680000007</v>
      </c>
      <c r="Q36" s="733">
        <f t="shared" si="5"/>
        <v>39418.65504799987</v>
      </c>
      <c r="S36" s="33">
        <v>193</v>
      </c>
      <c r="T36" s="33">
        <v>0</v>
      </c>
      <c r="U36" s="33">
        <v>0</v>
      </c>
      <c r="W36" s="733">
        <f t="shared" si="8"/>
        <v>18</v>
      </c>
      <c r="X36" s="733">
        <f t="shared" si="8"/>
        <v>0</v>
      </c>
      <c r="Y36" s="733">
        <f t="shared" si="8"/>
        <v>0</v>
      </c>
      <c r="AC36" s="16">
        <v>520816.42680000007</v>
      </c>
      <c r="AD36" s="16">
        <f t="shared" si="6"/>
        <v>0</v>
      </c>
    </row>
    <row r="37" spans="1:30" x14ac:dyDescent="0.25">
      <c r="A37" s="9" t="s">
        <v>35</v>
      </c>
      <c r="B37" s="10">
        <v>2002</v>
      </c>
      <c r="C37" s="9">
        <v>430</v>
      </c>
      <c r="D37" s="9">
        <v>0</v>
      </c>
      <c r="E37" s="9">
        <v>0</v>
      </c>
      <c r="F37" s="9">
        <f t="shared" si="2"/>
        <v>430</v>
      </c>
      <c r="G37" s="9">
        <v>0</v>
      </c>
      <c r="H37" s="9">
        <v>0</v>
      </c>
      <c r="I37" s="9">
        <v>0</v>
      </c>
      <c r="J37" s="9">
        <f t="shared" si="7"/>
        <v>430</v>
      </c>
      <c r="K37" s="9">
        <f t="shared" si="7"/>
        <v>0</v>
      </c>
      <c r="L37" s="9">
        <f t="shared" si="7"/>
        <v>0</v>
      </c>
      <c r="M37" s="31">
        <f t="shared" si="3"/>
        <v>430</v>
      </c>
      <c r="N37" s="16">
        <f t="shared" si="4"/>
        <v>1141711.30424</v>
      </c>
      <c r="P37" s="11">
        <v>1097799.331</v>
      </c>
      <c r="Q37" s="11">
        <f t="shared" si="5"/>
        <v>43911.973239999963</v>
      </c>
      <c r="S37" s="30">
        <v>426</v>
      </c>
      <c r="T37" s="30">
        <v>0</v>
      </c>
      <c r="U37" s="30">
        <v>0</v>
      </c>
      <c r="W37" s="11">
        <f t="shared" si="8"/>
        <v>4</v>
      </c>
      <c r="X37" s="11">
        <f t="shared" si="8"/>
        <v>0</v>
      </c>
      <c r="Y37" s="11">
        <f t="shared" si="8"/>
        <v>0</v>
      </c>
      <c r="AC37" s="16">
        <v>1097799.331</v>
      </c>
      <c r="AD37" s="16">
        <f t="shared" si="6"/>
        <v>0</v>
      </c>
    </row>
    <row r="38" spans="1:30" x14ac:dyDescent="0.25">
      <c r="A38" s="9" t="s">
        <v>36</v>
      </c>
      <c r="B38" s="10">
        <v>3544</v>
      </c>
      <c r="C38" s="9">
        <v>532</v>
      </c>
      <c r="D38" s="9">
        <v>0</v>
      </c>
      <c r="E38" s="9">
        <v>0</v>
      </c>
      <c r="F38" s="9">
        <f t="shared" si="2"/>
        <v>532</v>
      </c>
      <c r="G38" s="9">
        <v>0</v>
      </c>
      <c r="H38" s="9">
        <v>0</v>
      </c>
      <c r="I38" s="9">
        <v>0</v>
      </c>
      <c r="J38" s="9">
        <f t="shared" si="7"/>
        <v>532</v>
      </c>
      <c r="K38" s="9">
        <f t="shared" si="7"/>
        <v>0</v>
      </c>
      <c r="L38" s="9">
        <f t="shared" si="7"/>
        <v>0</v>
      </c>
      <c r="M38" s="31">
        <f t="shared" si="3"/>
        <v>532</v>
      </c>
      <c r="N38" s="16">
        <f t="shared" si="4"/>
        <v>1412535.8461759998</v>
      </c>
      <c r="P38" s="11">
        <v>1370972.6529000001</v>
      </c>
      <c r="Q38" s="11">
        <f t="shared" si="5"/>
        <v>41563.193275999743</v>
      </c>
      <c r="S38" s="30">
        <v>537</v>
      </c>
      <c r="T38" s="30">
        <v>0</v>
      </c>
      <c r="U38" s="30">
        <v>0</v>
      </c>
      <c r="W38" s="11">
        <f t="shared" si="8"/>
        <v>-5</v>
      </c>
      <c r="X38" s="11">
        <f t="shared" si="8"/>
        <v>0</v>
      </c>
      <c r="Y38" s="11">
        <f t="shared" si="8"/>
        <v>0</v>
      </c>
      <c r="AC38" s="16">
        <v>1370972.6529000001</v>
      </c>
      <c r="AD38" s="16">
        <f t="shared" si="6"/>
        <v>0</v>
      </c>
    </row>
    <row r="39" spans="1:30" x14ac:dyDescent="0.25">
      <c r="A39" s="9" t="s">
        <v>100</v>
      </c>
      <c r="B39" s="10">
        <v>2006</v>
      </c>
      <c r="C39" s="9">
        <v>288</v>
      </c>
      <c r="D39" s="9">
        <v>0</v>
      </c>
      <c r="E39" s="9">
        <v>0</v>
      </c>
      <c r="F39" s="9">
        <f t="shared" si="2"/>
        <v>288</v>
      </c>
      <c r="G39" s="9">
        <v>0</v>
      </c>
      <c r="H39" s="9">
        <v>0</v>
      </c>
      <c r="I39" s="9">
        <v>0</v>
      </c>
      <c r="J39" s="9">
        <f t="shared" si="7"/>
        <v>288</v>
      </c>
      <c r="K39" s="9">
        <f t="shared" si="7"/>
        <v>0</v>
      </c>
      <c r="L39" s="9">
        <f t="shared" si="7"/>
        <v>0</v>
      </c>
      <c r="M39" s="31">
        <f t="shared" si="3"/>
        <v>288</v>
      </c>
      <c r="N39" s="16">
        <f t="shared" si="4"/>
        <v>764681.05958399992</v>
      </c>
      <c r="P39" s="11">
        <v>671444.70710000012</v>
      </c>
      <c r="Q39" s="11">
        <f t="shared" si="5"/>
        <v>93236.352483999799</v>
      </c>
      <c r="S39" s="30">
        <v>246</v>
      </c>
      <c r="T39" s="30">
        <v>0</v>
      </c>
      <c r="U39" s="30">
        <v>0</v>
      </c>
      <c r="W39" s="11">
        <f t="shared" si="8"/>
        <v>42</v>
      </c>
      <c r="X39" s="11">
        <f t="shared" si="8"/>
        <v>0</v>
      </c>
      <c r="Y39" s="11">
        <f t="shared" si="8"/>
        <v>0</v>
      </c>
      <c r="AC39" s="16">
        <v>671444.70710000012</v>
      </c>
      <c r="AD39" s="16">
        <f t="shared" si="6"/>
        <v>0</v>
      </c>
    </row>
    <row r="40" spans="1:30" x14ac:dyDescent="0.25">
      <c r="A40" s="9" t="s">
        <v>37</v>
      </c>
      <c r="B40" s="10">
        <v>2434</v>
      </c>
      <c r="C40" s="9">
        <v>541.5</v>
      </c>
      <c r="D40" s="9">
        <v>0</v>
      </c>
      <c r="E40" s="9">
        <v>0</v>
      </c>
      <c r="F40" s="9">
        <f t="shared" si="2"/>
        <v>541.5</v>
      </c>
      <c r="G40" s="732">
        <v>14</v>
      </c>
      <c r="H40" s="9">
        <v>0</v>
      </c>
      <c r="I40" s="9">
        <v>0</v>
      </c>
      <c r="J40" s="9">
        <f t="shared" si="7"/>
        <v>527.5</v>
      </c>
      <c r="K40" s="9">
        <f t="shared" si="7"/>
        <v>0</v>
      </c>
      <c r="L40" s="9">
        <f t="shared" si="7"/>
        <v>0</v>
      </c>
      <c r="M40" s="31">
        <f t="shared" si="3"/>
        <v>527.5</v>
      </c>
      <c r="N40" s="16">
        <f t="shared" si="4"/>
        <v>1400587.70462</v>
      </c>
      <c r="P40" s="11">
        <v>1176943.0037</v>
      </c>
      <c r="Q40" s="11">
        <f t="shared" si="5"/>
        <v>223644.70091999997</v>
      </c>
      <c r="S40" s="30">
        <v>431</v>
      </c>
      <c r="T40" s="30">
        <v>0</v>
      </c>
      <c r="U40" s="30">
        <v>0</v>
      </c>
      <c r="W40" s="11">
        <f t="shared" si="8"/>
        <v>96.5</v>
      </c>
      <c r="X40" s="11">
        <f t="shared" si="8"/>
        <v>0</v>
      </c>
      <c r="Y40" s="11">
        <f t="shared" si="8"/>
        <v>0</v>
      </c>
      <c r="AC40" s="16">
        <v>1176943.0037</v>
      </c>
      <c r="AD40" s="16">
        <f t="shared" si="6"/>
        <v>0</v>
      </c>
    </row>
    <row r="41" spans="1:30" x14ac:dyDescent="0.25">
      <c r="A41" s="9" t="s">
        <v>38</v>
      </c>
      <c r="B41" s="10">
        <v>2522</v>
      </c>
      <c r="C41" s="9">
        <v>395</v>
      </c>
      <c r="D41" s="9">
        <v>0</v>
      </c>
      <c r="E41" s="9">
        <v>0</v>
      </c>
      <c r="F41" s="9">
        <f t="shared" si="2"/>
        <v>395</v>
      </c>
      <c r="G41" s="9">
        <v>0</v>
      </c>
      <c r="H41" s="9">
        <v>0</v>
      </c>
      <c r="I41" s="9">
        <v>0</v>
      </c>
      <c r="J41" s="9">
        <f t="shared" si="7"/>
        <v>395</v>
      </c>
      <c r="K41" s="9">
        <f t="shared" si="7"/>
        <v>0</v>
      </c>
      <c r="L41" s="9">
        <f t="shared" si="7"/>
        <v>0</v>
      </c>
      <c r="M41" s="31">
        <f t="shared" si="3"/>
        <v>395</v>
      </c>
      <c r="N41" s="16">
        <f t="shared" si="4"/>
        <v>1048781.31436</v>
      </c>
      <c r="P41" s="11">
        <v>990572.41960000014</v>
      </c>
      <c r="Q41" s="11">
        <f t="shared" si="5"/>
        <v>58208.894759999821</v>
      </c>
      <c r="S41" s="30">
        <v>412</v>
      </c>
      <c r="T41" s="30">
        <v>0</v>
      </c>
      <c r="U41" s="30">
        <v>0</v>
      </c>
      <c r="W41" s="11">
        <f t="shared" si="8"/>
        <v>-17</v>
      </c>
      <c r="X41" s="11">
        <f t="shared" si="8"/>
        <v>0</v>
      </c>
      <c r="Y41" s="11">
        <f t="shared" si="8"/>
        <v>0</v>
      </c>
      <c r="AC41" s="16">
        <v>990572.41960000014</v>
      </c>
      <c r="AD41" s="16">
        <f t="shared" si="6"/>
        <v>0</v>
      </c>
    </row>
    <row r="42" spans="1:30" x14ac:dyDescent="0.25">
      <c r="A42" s="9" t="s">
        <v>39</v>
      </c>
      <c r="B42" s="10">
        <v>2436</v>
      </c>
      <c r="C42" s="9">
        <v>353</v>
      </c>
      <c r="D42" s="9">
        <v>0</v>
      </c>
      <c r="E42" s="9">
        <v>0</v>
      </c>
      <c r="F42" s="9">
        <f t="shared" si="2"/>
        <v>353</v>
      </c>
      <c r="G42" s="732">
        <v>6</v>
      </c>
      <c r="H42" s="9">
        <v>0</v>
      </c>
      <c r="I42" s="9">
        <v>0</v>
      </c>
      <c r="J42" s="9">
        <f t="shared" si="7"/>
        <v>347</v>
      </c>
      <c r="K42" s="9">
        <f t="shared" si="7"/>
        <v>0</v>
      </c>
      <c r="L42" s="9">
        <f t="shared" si="7"/>
        <v>0</v>
      </c>
      <c r="M42" s="31">
        <f t="shared" si="3"/>
        <v>347</v>
      </c>
      <c r="N42" s="16">
        <f t="shared" si="4"/>
        <v>921334.47109599994</v>
      </c>
      <c r="P42" s="11">
        <v>857815.29120000009</v>
      </c>
      <c r="Q42" s="11">
        <f t="shared" si="5"/>
        <v>63519.179895999841</v>
      </c>
      <c r="S42" s="30">
        <v>321</v>
      </c>
      <c r="T42" s="30">
        <v>0</v>
      </c>
      <c r="U42" s="30">
        <v>0</v>
      </c>
      <c r="W42" s="11">
        <f t="shared" si="8"/>
        <v>26</v>
      </c>
      <c r="X42" s="11">
        <f t="shared" si="8"/>
        <v>0</v>
      </c>
      <c r="Y42" s="11">
        <f t="shared" si="8"/>
        <v>0</v>
      </c>
      <c r="AC42" s="16">
        <v>857815.29120000009</v>
      </c>
      <c r="AD42" s="16">
        <f t="shared" si="6"/>
        <v>0</v>
      </c>
    </row>
    <row r="43" spans="1:30" x14ac:dyDescent="0.25">
      <c r="A43" s="9" t="s">
        <v>40</v>
      </c>
      <c r="B43" s="10">
        <v>2452</v>
      </c>
      <c r="C43" s="9">
        <v>195</v>
      </c>
      <c r="D43" s="9">
        <v>0</v>
      </c>
      <c r="E43" s="9">
        <v>0</v>
      </c>
      <c r="F43" s="9">
        <f t="shared" si="2"/>
        <v>195</v>
      </c>
      <c r="G43" s="9">
        <v>0</v>
      </c>
      <c r="H43" s="9">
        <v>0</v>
      </c>
      <c r="I43" s="9">
        <v>0</v>
      </c>
      <c r="J43" s="9">
        <f t="shared" si="7"/>
        <v>195</v>
      </c>
      <c r="K43" s="9">
        <f t="shared" si="7"/>
        <v>0</v>
      </c>
      <c r="L43" s="9">
        <f t="shared" si="7"/>
        <v>0</v>
      </c>
      <c r="M43" s="31">
        <f t="shared" si="3"/>
        <v>195</v>
      </c>
      <c r="N43" s="16">
        <f t="shared" si="4"/>
        <v>517752.80075999995</v>
      </c>
      <c r="P43" s="11">
        <v>515710.38340000005</v>
      </c>
      <c r="Q43" s="11">
        <f t="shared" si="5"/>
        <v>2042.4173599999049</v>
      </c>
      <c r="S43" s="30">
        <v>207</v>
      </c>
      <c r="T43" s="30">
        <v>0</v>
      </c>
      <c r="U43" s="30">
        <v>0</v>
      </c>
      <c r="W43" s="11">
        <f t="shared" si="8"/>
        <v>-12</v>
      </c>
      <c r="X43" s="11">
        <f t="shared" si="8"/>
        <v>0</v>
      </c>
      <c r="Y43" s="11">
        <f t="shared" si="8"/>
        <v>0</v>
      </c>
      <c r="AC43" s="16">
        <v>515710.38340000005</v>
      </c>
      <c r="AD43" s="16">
        <f t="shared" si="6"/>
        <v>0</v>
      </c>
    </row>
    <row r="44" spans="1:30" x14ac:dyDescent="0.25">
      <c r="A44" s="9" t="s">
        <v>41</v>
      </c>
      <c r="B44" s="10">
        <v>2627</v>
      </c>
      <c r="C44" s="9">
        <v>394</v>
      </c>
      <c r="D44" s="9">
        <v>0</v>
      </c>
      <c r="E44" s="9">
        <v>0</v>
      </c>
      <c r="F44" s="9">
        <f t="shared" si="2"/>
        <v>394</v>
      </c>
      <c r="G44" s="9">
        <v>0</v>
      </c>
      <c r="H44" s="9">
        <v>0</v>
      </c>
      <c r="I44" s="9">
        <v>0</v>
      </c>
      <c r="J44" s="9">
        <f t="shared" si="7"/>
        <v>394</v>
      </c>
      <c r="K44" s="9">
        <f t="shared" si="7"/>
        <v>0</v>
      </c>
      <c r="L44" s="9">
        <f t="shared" si="7"/>
        <v>0</v>
      </c>
      <c r="M44" s="31">
        <f t="shared" si="3"/>
        <v>394</v>
      </c>
      <c r="N44" s="16">
        <f t="shared" si="4"/>
        <v>1046126.171792</v>
      </c>
      <c r="P44" s="11">
        <v>1000784.5064000001</v>
      </c>
      <c r="Q44" s="11">
        <f t="shared" si="5"/>
        <v>45341.665391999879</v>
      </c>
      <c r="S44" s="30">
        <v>388</v>
      </c>
      <c r="T44" s="30">
        <v>0</v>
      </c>
      <c r="U44" s="30">
        <v>0</v>
      </c>
      <c r="W44" s="11">
        <f t="shared" si="8"/>
        <v>6</v>
      </c>
      <c r="X44" s="11">
        <f t="shared" si="8"/>
        <v>0</v>
      </c>
      <c r="Y44" s="11">
        <f t="shared" si="8"/>
        <v>0</v>
      </c>
      <c r="AC44" s="16">
        <v>1000784.5064000001</v>
      </c>
      <c r="AD44" s="16">
        <f t="shared" si="6"/>
        <v>0</v>
      </c>
    </row>
    <row r="45" spans="1:30" s="33" customFormat="1" x14ac:dyDescent="0.25">
      <c r="A45" s="729" t="s">
        <v>42</v>
      </c>
      <c r="B45" s="27">
        <v>2009</v>
      </c>
      <c r="C45" s="729">
        <v>275</v>
      </c>
      <c r="D45" s="729">
        <v>0</v>
      </c>
      <c r="E45" s="729">
        <v>0</v>
      </c>
      <c r="F45" s="729">
        <f t="shared" si="2"/>
        <v>275</v>
      </c>
      <c r="G45" s="729">
        <v>0</v>
      </c>
      <c r="H45" s="729">
        <v>0</v>
      </c>
      <c r="I45" s="729">
        <v>0</v>
      </c>
      <c r="J45" s="729">
        <f t="shared" si="7"/>
        <v>275</v>
      </c>
      <c r="K45" s="729">
        <f t="shared" si="7"/>
        <v>0</v>
      </c>
      <c r="L45" s="729">
        <f t="shared" si="7"/>
        <v>0</v>
      </c>
      <c r="M45" s="730">
        <f t="shared" si="3"/>
        <v>275</v>
      </c>
      <c r="N45" s="731">
        <f t="shared" si="4"/>
        <v>730164.2061999999</v>
      </c>
      <c r="O45" s="733"/>
      <c r="P45" s="733">
        <v>725058.16280000005</v>
      </c>
      <c r="Q45" s="733">
        <f t="shared" si="5"/>
        <v>5106.0433999998495</v>
      </c>
      <c r="S45" s="33">
        <v>276</v>
      </c>
      <c r="T45" s="33">
        <v>0</v>
      </c>
      <c r="U45" s="33">
        <v>0</v>
      </c>
      <c r="W45" s="733">
        <f t="shared" si="8"/>
        <v>-1</v>
      </c>
      <c r="X45" s="733">
        <f t="shared" si="8"/>
        <v>0</v>
      </c>
      <c r="Y45" s="733">
        <f t="shared" si="8"/>
        <v>0</v>
      </c>
      <c r="AC45" s="16">
        <v>725058.16280000005</v>
      </c>
      <c r="AD45" s="16">
        <f t="shared" si="6"/>
        <v>0</v>
      </c>
    </row>
    <row r="46" spans="1:30" x14ac:dyDescent="0.25">
      <c r="A46" s="9" t="s">
        <v>101</v>
      </c>
      <c r="B46" s="10">
        <v>2473</v>
      </c>
      <c r="C46" s="9">
        <v>262</v>
      </c>
      <c r="D46" s="9">
        <v>0</v>
      </c>
      <c r="E46" s="9">
        <v>0</v>
      </c>
      <c r="F46" s="9">
        <f t="shared" si="2"/>
        <v>262</v>
      </c>
      <c r="G46" s="9">
        <v>0</v>
      </c>
      <c r="H46" s="9">
        <v>0</v>
      </c>
      <c r="I46" s="9">
        <v>0</v>
      </c>
      <c r="J46" s="9">
        <f t="shared" si="7"/>
        <v>262</v>
      </c>
      <c r="K46" s="9">
        <f t="shared" si="7"/>
        <v>0</v>
      </c>
      <c r="L46" s="9">
        <f t="shared" si="7"/>
        <v>0</v>
      </c>
      <c r="M46" s="31">
        <f t="shared" si="3"/>
        <v>262</v>
      </c>
      <c r="N46" s="16">
        <f t="shared" si="4"/>
        <v>695647.35281599988</v>
      </c>
      <c r="P46" s="11">
        <v>686762.83730000001</v>
      </c>
      <c r="Q46" s="11">
        <f t="shared" si="5"/>
        <v>8884.5155159998685</v>
      </c>
      <c r="S46" s="30">
        <v>267</v>
      </c>
      <c r="T46" s="30">
        <v>0</v>
      </c>
      <c r="U46" s="30">
        <v>0</v>
      </c>
      <c r="W46" s="11">
        <f t="shared" si="8"/>
        <v>-5</v>
      </c>
      <c r="X46" s="11">
        <f t="shared" si="8"/>
        <v>0</v>
      </c>
      <c r="Y46" s="11">
        <f t="shared" si="8"/>
        <v>0</v>
      </c>
      <c r="AC46" s="16">
        <v>686762.83730000001</v>
      </c>
      <c r="AD46" s="16">
        <f t="shared" si="6"/>
        <v>0</v>
      </c>
    </row>
    <row r="47" spans="1:30" x14ac:dyDescent="0.25">
      <c r="A47" s="9" t="s">
        <v>44</v>
      </c>
      <c r="B47" s="10">
        <v>2471</v>
      </c>
      <c r="C47" s="9">
        <v>353</v>
      </c>
      <c r="D47" s="9">
        <v>0</v>
      </c>
      <c r="E47" s="9">
        <v>0</v>
      </c>
      <c r="F47" s="9">
        <f t="shared" si="2"/>
        <v>353</v>
      </c>
      <c r="G47" s="9">
        <v>0</v>
      </c>
      <c r="H47" s="9">
        <v>0</v>
      </c>
      <c r="I47" s="9">
        <v>0</v>
      </c>
      <c r="J47" s="9">
        <f t="shared" si="7"/>
        <v>353</v>
      </c>
      <c r="K47" s="9">
        <f t="shared" si="7"/>
        <v>0</v>
      </c>
      <c r="L47" s="9">
        <f t="shared" si="7"/>
        <v>0</v>
      </c>
      <c r="M47" s="31">
        <f t="shared" si="3"/>
        <v>353</v>
      </c>
      <c r="N47" s="16">
        <f t="shared" si="4"/>
        <v>937265.32650399988</v>
      </c>
      <c r="P47" s="11">
        <v>893557.59500000009</v>
      </c>
      <c r="Q47" s="11">
        <f t="shared" si="5"/>
        <v>43707.731503999792</v>
      </c>
      <c r="S47" s="30">
        <v>346</v>
      </c>
      <c r="T47" s="30">
        <v>0</v>
      </c>
      <c r="U47" s="30">
        <v>0</v>
      </c>
      <c r="W47" s="11">
        <f t="shared" si="8"/>
        <v>7</v>
      </c>
      <c r="X47" s="11">
        <f t="shared" si="8"/>
        <v>0</v>
      </c>
      <c r="Y47" s="11">
        <f t="shared" si="8"/>
        <v>0</v>
      </c>
      <c r="AC47" s="16">
        <v>893557.59500000009</v>
      </c>
      <c r="AD47" s="16">
        <f t="shared" si="6"/>
        <v>0</v>
      </c>
    </row>
    <row r="48" spans="1:30" x14ac:dyDescent="0.25">
      <c r="A48" s="9" t="s">
        <v>43</v>
      </c>
      <c r="B48" s="10">
        <v>2420</v>
      </c>
      <c r="C48" s="9">
        <v>520.83333333333337</v>
      </c>
      <c r="D48" s="9">
        <v>0</v>
      </c>
      <c r="E48" s="9">
        <v>0</v>
      </c>
      <c r="F48" s="9">
        <f t="shared" si="2"/>
        <v>520.83333333333337</v>
      </c>
      <c r="G48" s="9">
        <v>0</v>
      </c>
      <c r="H48" s="9">
        <v>0</v>
      </c>
      <c r="I48" s="9">
        <v>0</v>
      </c>
      <c r="J48" s="9">
        <f t="shared" si="7"/>
        <v>520.83333333333337</v>
      </c>
      <c r="K48" s="9">
        <f t="shared" si="7"/>
        <v>0</v>
      </c>
      <c r="L48" s="9">
        <f t="shared" si="7"/>
        <v>0</v>
      </c>
      <c r="M48" s="31">
        <f t="shared" si="3"/>
        <v>520.83333333333337</v>
      </c>
      <c r="N48" s="16">
        <f t="shared" si="4"/>
        <v>1382886.7541666667</v>
      </c>
      <c r="P48" s="11">
        <v>1284169.9151000001</v>
      </c>
      <c r="Q48" s="11">
        <f t="shared" si="5"/>
        <v>98716.839066666551</v>
      </c>
      <c r="S48" s="30">
        <v>465</v>
      </c>
      <c r="T48" s="30">
        <v>0</v>
      </c>
      <c r="U48" s="30">
        <v>0</v>
      </c>
      <c r="W48" s="11">
        <f t="shared" si="8"/>
        <v>55.833333333333371</v>
      </c>
      <c r="X48" s="11">
        <f t="shared" si="8"/>
        <v>0</v>
      </c>
      <c r="Y48" s="11">
        <f t="shared" si="8"/>
        <v>0</v>
      </c>
      <c r="AC48" s="16">
        <v>1284169.9151000001</v>
      </c>
      <c r="AD48" s="16">
        <f t="shared" si="6"/>
        <v>0</v>
      </c>
    </row>
    <row r="49" spans="1:30" x14ac:dyDescent="0.25">
      <c r="A49" s="9" t="s">
        <v>45</v>
      </c>
      <c r="B49" s="10">
        <v>2003</v>
      </c>
      <c r="C49" s="9">
        <v>210</v>
      </c>
      <c r="D49" s="9">
        <v>0</v>
      </c>
      <c r="E49" s="9">
        <v>0</v>
      </c>
      <c r="F49" s="9">
        <f t="shared" si="2"/>
        <v>210</v>
      </c>
      <c r="G49" s="9">
        <v>0</v>
      </c>
      <c r="H49" s="9">
        <v>0</v>
      </c>
      <c r="I49" s="9">
        <v>0</v>
      </c>
      <c r="J49" s="9">
        <f t="shared" si="7"/>
        <v>210</v>
      </c>
      <c r="K49" s="9">
        <f t="shared" si="7"/>
        <v>0</v>
      </c>
      <c r="L49" s="9">
        <f t="shared" si="7"/>
        <v>0</v>
      </c>
      <c r="M49" s="31">
        <f t="shared" si="3"/>
        <v>210</v>
      </c>
      <c r="N49" s="16">
        <f t="shared" si="4"/>
        <v>557579.93927999993</v>
      </c>
      <c r="P49" s="11">
        <v>543793.62210000004</v>
      </c>
      <c r="Q49" s="11">
        <f t="shared" si="5"/>
        <v>13786.317179999896</v>
      </c>
      <c r="S49" s="30">
        <v>208</v>
      </c>
      <c r="T49" s="30">
        <v>0</v>
      </c>
      <c r="U49" s="30">
        <v>0</v>
      </c>
      <c r="W49" s="11">
        <f t="shared" si="8"/>
        <v>2</v>
      </c>
      <c r="X49" s="11">
        <f t="shared" si="8"/>
        <v>0</v>
      </c>
      <c r="Y49" s="11">
        <f t="shared" si="8"/>
        <v>0</v>
      </c>
      <c r="AC49" s="16">
        <v>543793.62210000004</v>
      </c>
      <c r="AD49" s="16">
        <f t="shared" si="6"/>
        <v>0</v>
      </c>
    </row>
    <row r="50" spans="1:30" x14ac:dyDescent="0.25">
      <c r="A50" s="9" t="s">
        <v>46</v>
      </c>
      <c r="B50" s="10">
        <v>2423</v>
      </c>
      <c r="C50" s="9">
        <v>341</v>
      </c>
      <c r="D50" s="9">
        <v>0</v>
      </c>
      <c r="E50" s="9">
        <v>0</v>
      </c>
      <c r="F50" s="9">
        <f t="shared" si="2"/>
        <v>341</v>
      </c>
      <c r="G50" s="9">
        <v>0</v>
      </c>
      <c r="H50" s="9">
        <v>0</v>
      </c>
      <c r="I50" s="9">
        <v>0</v>
      </c>
      <c r="J50" s="9">
        <f t="shared" si="7"/>
        <v>341</v>
      </c>
      <c r="K50" s="9">
        <f t="shared" si="7"/>
        <v>0</v>
      </c>
      <c r="L50" s="9">
        <f t="shared" si="7"/>
        <v>0</v>
      </c>
      <c r="M50" s="31">
        <f t="shared" si="3"/>
        <v>341</v>
      </c>
      <c r="N50" s="16">
        <f t="shared" si="4"/>
        <v>905403.61568799987</v>
      </c>
      <c r="P50" s="11">
        <v>850156.22610000009</v>
      </c>
      <c r="Q50" s="11">
        <f t="shared" si="5"/>
        <v>55247.389587999787</v>
      </c>
      <c r="S50" s="30">
        <v>358</v>
      </c>
      <c r="T50" s="30">
        <v>0</v>
      </c>
      <c r="U50" s="30">
        <v>0</v>
      </c>
      <c r="W50" s="11">
        <f t="shared" si="8"/>
        <v>-17</v>
      </c>
      <c r="X50" s="11">
        <f t="shared" si="8"/>
        <v>0</v>
      </c>
      <c r="Y50" s="11">
        <f t="shared" si="8"/>
        <v>0</v>
      </c>
      <c r="AC50" s="16">
        <v>850156.22610000009</v>
      </c>
      <c r="AD50" s="16">
        <f t="shared" si="6"/>
        <v>0</v>
      </c>
    </row>
    <row r="51" spans="1:30" x14ac:dyDescent="0.25">
      <c r="A51" s="9" t="s">
        <v>47</v>
      </c>
      <c r="B51" s="10">
        <v>2424</v>
      </c>
      <c r="C51" s="9">
        <v>262</v>
      </c>
      <c r="D51" s="9">
        <v>0</v>
      </c>
      <c r="E51" s="9">
        <v>0</v>
      </c>
      <c r="F51" s="9">
        <f t="shared" si="2"/>
        <v>262</v>
      </c>
      <c r="G51" s="9">
        <v>0</v>
      </c>
      <c r="H51" s="9">
        <v>0</v>
      </c>
      <c r="I51" s="9">
        <v>0</v>
      </c>
      <c r="J51" s="9">
        <f t="shared" si="7"/>
        <v>262</v>
      </c>
      <c r="K51" s="9">
        <f t="shared" si="7"/>
        <v>0</v>
      </c>
      <c r="L51" s="9">
        <f t="shared" si="7"/>
        <v>0</v>
      </c>
      <c r="M51" s="31">
        <f t="shared" si="3"/>
        <v>262</v>
      </c>
      <c r="N51" s="16">
        <f t="shared" si="4"/>
        <v>695647.35281599988</v>
      </c>
      <c r="P51" s="11">
        <v>689315.85900000005</v>
      </c>
      <c r="Q51" s="11">
        <f t="shared" si="5"/>
        <v>6331.4938159998273</v>
      </c>
      <c r="S51" s="30">
        <v>267</v>
      </c>
      <c r="T51" s="30">
        <v>0</v>
      </c>
      <c r="U51" s="30">
        <v>0</v>
      </c>
      <c r="W51" s="11">
        <f t="shared" si="8"/>
        <v>-5</v>
      </c>
      <c r="X51" s="11">
        <f t="shared" si="8"/>
        <v>0</v>
      </c>
      <c r="Y51" s="11">
        <f t="shared" si="8"/>
        <v>0</v>
      </c>
      <c r="AC51" s="16">
        <v>689315.85900000005</v>
      </c>
      <c r="AD51" s="16">
        <f t="shared" si="6"/>
        <v>0</v>
      </c>
    </row>
    <row r="52" spans="1:30" x14ac:dyDescent="0.25">
      <c r="A52" s="9" t="s">
        <v>48</v>
      </c>
      <c r="B52" s="10">
        <v>2439</v>
      </c>
      <c r="C52" s="9">
        <v>260</v>
      </c>
      <c r="D52" s="9">
        <v>0</v>
      </c>
      <c r="E52" s="9">
        <v>0</v>
      </c>
      <c r="F52" s="9">
        <f t="shared" si="2"/>
        <v>260</v>
      </c>
      <c r="G52" s="9">
        <v>0</v>
      </c>
      <c r="H52" s="9">
        <v>0</v>
      </c>
      <c r="I52" s="9">
        <v>0</v>
      </c>
      <c r="J52" s="9">
        <f t="shared" si="7"/>
        <v>260</v>
      </c>
      <c r="K52" s="9">
        <f t="shared" si="7"/>
        <v>0</v>
      </c>
      <c r="L52" s="9">
        <f t="shared" si="7"/>
        <v>0</v>
      </c>
      <c r="M52" s="31">
        <f t="shared" si="3"/>
        <v>260</v>
      </c>
      <c r="N52" s="16">
        <f t="shared" si="4"/>
        <v>690337.06767999998</v>
      </c>
      <c r="P52" s="11">
        <v>653573.55520000006</v>
      </c>
      <c r="Q52" s="11">
        <f t="shared" si="5"/>
        <v>36763.512479999918</v>
      </c>
      <c r="S52" s="30">
        <v>239</v>
      </c>
      <c r="T52" s="30">
        <v>0</v>
      </c>
      <c r="U52" s="30">
        <v>0</v>
      </c>
      <c r="W52" s="11">
        <f t="shared" si="8"/>
        <v>21</v>
      </c>
      <c r="X52" s="11">
        <f t="shared" si="8"/>
        <v>0</v>
      </c>
      <c r="Y52" s="11">
        <f t="shared" si="8"/>
        <v>0</v>
      </c>
      <c r="AC52" s="16">
        <v>653573.55520000006</v>
      </c>
      <c r="AD52" s="16">
        <f t="shared" si="6"/>
        <v>0</v>
      </c>
    </row>
    <row r="53" spans="1:30" x14ac:dyDescent="0.25">
      <c r="A53" s="9" t="s">
        <v>49</v>
      </c>
      <c r="B53" s="10">
        <v>2440</v>
      </c>
      <c r="C53" s="9">
        <v>326</v>
      </c>
      <c r="D53" s="9">
        <v>0</v>
      </c>
      <c r="E53" s="9">
        <v>0</v>
      </c>
      <c r="F53" s="9">
        <f t="shared" si="2"/>
        <v>326</v>
      </c>
      <c r="G53" s="9">
        <v>0</v>
      </c>
      <c r="H53" s="9">
        <v>0</v>
      </c>
      <c r="I53" s="9">
        <v>0</v>
      </c>
      <c r="J53" s="9">
        <f t="shared" si="7"/>
        <v>326</v>
      </c>
      <c r="K53" s="9">
        <f t="shared" si="7"/>
        <v>0</v>
      </c>
      <c r="L53" s="9">
        <f t="shared" si="7"/>
        <v>0</v>
      </c>
      <c r="M53" s="31">
        <f t="shared" si="3"/>
        <v>326</v>
      </c>
      <c r="N53" s="16">
        <f t="shared" si="4"/>
        <v>865576.47716799995</v>
      </c>
      <c r="P53" s="11">
        <v>832285.07420000003</v>
      </c>
      <c r="Q53" s="11">
        <f t="shared" si="5"/>
        <v>33291.402967999922</v>
      </c>
      <c r="S53" s="30">
        <v>291</v>
      </c>
      <c r="T53" s="30">
        <v>0</v>
      </c>
      <c r="U53" s="30">
        <v>0</v>
      </c>
      <c r="W53" s="11">
        <f t="shared" si="8"/>
        <v>35</v>
      </c>
      <c r="X53" s="11">
        <f t="shared" si="8"/>
        <v>0</v>
      </c>
      <c r="Y53" s="11">
        <f t="shared" si="8"/>
        <v>0</v>
      </c>
      <c r="AC53" s="16">
        <v>832285.07420000003</v>
      </c>
      <c r="AD53" s="16">
        <f t="shared" si="6"/>
        <v>0</v>
      </c>
    </row>
    <row r="54" spans="1:30" x14ac:dyDescent="0.25">
      <c r="A54" s="9" t="s">
        <v>102</v>
      </c>
      <c r="B54" s="10">
        <v>2462</v>
      </c>
      <c r="C54" s="9">
        <v>218</v>
      </c>
      <c r="D54" s="9">
        <v>0</v>
      </c>
      <c r="E54" s="9">
        <v>0</v>
      </c>
      <c r="F54" s="9">
        <f t="shared" si="2"/>
        <v>218</v>
      </c>
      <c r="G54" s="9">
        <v>0</v>
      </c>
      <c r="H54" s="9">
        <v>0</v>
      </c>
      <c r="I54" s="9">
        <v>0</v>
      </c>
      <c r="J54" s="9">
        <f t="shared" si="7"/>
        <v>218</v>
      </c>
      <c r="K54" s="9">
        <f t="shared" si="7"/>
        <v>0</v>
      </c>
      <c r="L54" s="9">
        <f t="shared" si="7"/>
        <v>0</v>
      </c>
      <c r="M54" s="31">
        <f t="shared" si="3"/>
        <v>218</v>
      </c>
      <c r="N54" s="16">
        <f t="shared" si="4"/>
        <v>578821.0798239999</v>
      </c>
      <c r="P54" s="11">
        <v>607619.16460000002</v>
      </c>
      <c r="Q54" s="11">
        <f t="shared" si="5"/>
        <v>-28798.08477600012</v>
      </c>
      <c r="S54" s="30">
        <v>220</v>
      </c>
      <c r="T54" s="30">
        <v>0</v>
      </c>
      <c r="U54" s="30">
        <v>0</v>
      </c>
      <c r="W54" s="11">
        <f t="shared" si="8"/>
        <v>-2</v>
      </c>
      <c r="X54" s="11">
        <f t="shared" si="8"/>
        <v>0</v>
      </c>
      <c r="Y54" s="11">
        <f t="shared" si="8"/>
        <v>0</v>
      </c>
      <c r="AC54" s="16">
        <v>607619.16460000002</v>
      </c>
      <c r="AD54" s="16">
        <f t="shared" si="6"/>
        <v>0</v>
      </c>
    </row>
    <row r="55" spans="1:30" x14ac:dyDescent="0.25">
      <c r="A55" s="9" t="s">
        <v>50</v>
      </c>
      <c r="B55" s="10">
        <v>2463</v>
      </c>
      <c r="C55" s="9">
        <v>348</v>
      </c>
      <c r="D55" s="9">
        <v>0</v>
      </c>
      <c r="E55" s="9">
        <v>0</v>
      </c>
      <c r="F55" s="9">
        <f t="shared" si="2"/>
        <v>348</v>
      </c>
      <c r="G55" s="9">
        <v>0</v>
      </c>
      <c r="H55" s="9">
        <v>0</v>
      </c>
      <c r="I55" s="9">
        <v>0</v>
      </c>
      <c r="J55" s="9">
        <f t="shared" si="7"/>
        <v>348</v>
      </c>
      <c r="K55" s="9">
        <f t="shared" si="7"/>
        <v>0</v>
      </c>
      <c r="L55" s="9">
        <f t="shared" si="7"/>
        <v>0</v>
      </c>
      <c r="M55" s="31">
        <f t="shared" si="3"/>
        <v>348</v>
      </c>
      <c r="N55" s="16">
        <f t="shared" si="4"/>
        <v>923989.61366399995</v>
      </c>
      <c r="P55" s="11">
        <v>857815.29120000009</v>
      </c>
      <c r="Q55" s="11">
        <f t="shared" si="5"/>
        <v>66174.322463999852</v>
      </c>
      <c r="S55" s="30">
        <v>312</v>
      </c>
      <c r="T55" s="30">
        <v>0</v>
      </c>
      <c r="U55" s="30">
        <v>0</v>
      </c>
      <c r="W55" s="11">
        <f t="shared" si="8"/>
        <v>36</v>
      </c>
      <c r="X55" s="11">
        <f t="shared" si="8"/>
        <v>0</v>
      </c>
      <c r="Y55" s="11">
        <f t="shared" si="8"/>
        <v>0</v>
      </c>
      <c r="AC55" s="16">
        <v>857815.29120000009</v>
      </c>
      <c r="AD55" s="16">
        <f t="shared" si="6"/>
        <v>0</v>
      </c>
    </row>
    <row r="56" spans="1:30" x14ac:dyDescent="0.25">
      <c r="A56" s="9" t="s">
        <v>51</v>
      </c>
      <c r="B56" s="10">
        <v>2505</v>
      </c>
      <c r="C56" s="9">
        <v>561</v>
      </c>
      <c r="D56" s="9">
        <v>0</v>
      </c>
      <c r="E56" s="9">
        <v>0</v>
      </c>
      <c r="F56" s="9">
        <f t="shared" si="2"/>
        <v>561</v>
      </c>
      <c r="G56" s="9">
        <v>0</v>
      </c>
      <c r="H56" s="9">
        <v>0</v>
      </c>
      <c r="I56" s="9">
        <v>0</v>
      </c>
      <c r="J56" s="9">
        <f t="shared" si="7"/>
        <v>561</v>
      </c>
      <c r="K56" s="9">
        <f t="shared" si="7"/>
        <v>0</v>
      </c>
      <c r="L56" s="9">
        <f t="shared" si="7"/>
        <v>0</v>
      </c>
      <c r="M56" s="31">
        <f t="shared" si="3"/>
        <v>561</v>
      </c>
      <c r="N56" s="16">
        <f t="shared" si="4"/>
        <v>1489534.9806479998</v>
      </c>
      <c r="P56" s="11">
        <v>1335230.3491000002</v>
      </c>
      <c r="Q56" s="11">
        <f t="shared" si="5"/>
        <v>154304.63154799957</v>
      </c>
      <c r="S56" s="30">
        <v>453</v>
      </c>
      <c r="T56" s="30">
        <v>0</v>
      </c>
      <c r="U56" s="30">
        <v>0</v>
      </c>
      <c r="W56" s="11">
        <f t="shared" si="8"/>
        <v>108</v>
      </c>
      <c r="X56" s="11">
        <f t="shared" si="8"/>
        <v>0</v>
      </c>
      <c r="Y56" s="11">
        <f t="shared" si="8"/>
        <v>0</v>
      </c>
      <c r="AC56" s="16">
        <v>1335230.3491000002</v>
      </c>
      <c r="AD56" s="16">
        <f t="shared" si="6"/>
        <v>0</v>
      </c>
    </row>
    <row r="57" spans="1:30" x14ac:dyDescent="0.25">
      <c r="A57" s="9" t="s">
        <v>1304</v>
      </c>
      <c r="B57" s="10">
        <v>2000</v>
      </c>
      <c r="C57" s="9">
        <v>324</v>
      </c>
      <c r="D57" s="9">
        <v>0</v>
      </c>
      <c r="E57" s="9">
        <v>0</v>
      </c>
      <c r="F57" s="9">
        <f t="shared" si="2"/>
        <v>324</v>
      </c>
      <c r="G57" s="732">
        <v>28</v>
      </c>
      <c r="H57" s="9">
        <v>0</v>
      </c>
      <c r="I57" s="9">
        <v>0</v>
      </c>
      <c r="J57" s="9">
        <f t="shared" si="7"/>
        <v>296</v>
      </c>
      <c r="K57" s="9">
        <f t="shared" si="7"/>
        <v>0</v>
      </c>
      <c r="L57" s="9">
        <f t="shared" si="7"/>
        <v>0</v>
      </c>
      <c r="M57" s="31">
        <f t="shared" si="3"/>
        <v>296</v>
      </c>
      <c r="N57" s="16">
        <f t="shared" si="4"/>
        <v>785922.20012799988</v>
      </c>
      <c r="P57" s="11">
        <v>760800.46660000004</v>
      </c>
      <c r="Q57" s="11">
        <f t="shared" si="5"/>
        <v>25121.733527999837</v>
      </c>
      <c r="S57" s="30">
        <v>280</v>
      </c>
      <c r="T57" s="30">
        <v>0</v>
      </c>
      <c r="U57" s="30">
        <v>0</v>
      </c>
      <c r="W57" s="11">
        <f t="shared" si="8"/>
        <v>16</v>
      </c>
      <c r="X57" s="11">
        <f t="shared" si="8"/>
        <v>0</v>
      </c>
      <c r="Y57" s="11">
        <f t="shared" si="8"/>
        <v>0</v>
      </c>
      <c r="AC57" s="16">
        <v>760800.46660000004</v>
      </c>
      <c r="AD57" s="16">
        <f t="shared" si="6"/>
        <v>0</v>
      </c>
    </row>
    <row r="58" spans="1:30" x14ac:dyDescent="0.25">
      <c r="A58" s="9" t="s">
        <v>53</v>
      </c>
      <c r="B58" s="10">
        <v>2458</v>
      </c>
      <c r="C58" s="9">
        <v>269</v>
      </c>
      <c r="D58" s="9">
        <v>0</v>
      </c>
      <c r="E58" s="9">
        <v>0</v>
      </c>
      <c r="F58" s="9">
        <f t="shared" si="2"/>
        <v>269</v>
      </c>
      <c r="G58" s="9">
        <v>0</v>
      </c>
      <c r="H58" s="9">
        <v>0</v>
      </c>
      <c r="I58" s="9">
        <v>0</v>
      </c>
      <c r="J58" s="9">
        <f t="shared" si="7"/>
        <v>269</v>
      </c>
      <c r="K58" s="9">
        <f t="shared" si="7"/>
        <v>0</v>
      </c>
      <c r="L58" s="9">
        <f t="shared" si="7"/>
        <v>0</v>
      </c>
      <c r="M58" s="31">
        <f t="shared" si="3"/>
        <v>269</v>
      </c>
      <c r="N58" s="16">
        <f t="shared" si="4"/>
        <v>714233.35079199995</v>
      </c>
      <c r="P58" s="11">
        <v>689315.85900000005</v>
      </c>
      <c r="Q58" s="11">
        <f t="shared" si="5"/>
        <v>24917.491791999899</v>
      </c>
      <c r="S58" s="30">
        <v>270</v>
      </c>
      <c r="T58" s="30">
        <v>0</v>
      </c>
      <c r="U58" s="30">
        <v>0</v>
      </c>
      <c r="W58" s="11">
        <f t="shared" si="8"/>
        <v>-1</v>
      </c>
      <c r="X58" s="11">
        <f t="shared" si="8"/>
        <v>0</v>
      </c>
      <c r="Y58" s="11">
        <f t="shared" si="8"/>
        <v>0</v>
      </c>
      <c r="AC58" s="16">
        <v>689315.85900000005</v>
      </c>
      <c r="AD58" s="16">
        <f t="shared" si="6"/>
        <v>0</v>
      </c>
    </row>
    <row r="59" spans="1:30" x14ac:dyDescent="0.25">
      <c r="A59" s="9" t="s">
        <v>54</v>
      </c>
      <c r="B59" s="10">
        <v>2001</v>
      </c>
      <c r="C59" s="9">
        <v>357</v>
      </c>
      <c r="D59" s="9">
        <v>0</v>
      </c>
      <c r="E59" s="9">
        <v>0</v>
      </c>
      <c r="F59" s="9">
        <f t="shared" si="2"/>
        <v>357</v>
      </c>
      <c r="G59" s="9">
        <v>0</v>
      </c>
      <c r="H59" s="9">
        <v>0</v>
      </c>
      <c r="I59" s="9">
        <v>0</v>
      </c>
      <c r="J59" s="9">
        <f t="shared" si="7"/>
        <v>357</v>
      </c>
      <c r="K59" s="9">
        <f t="shared" si="7"/>
        <v>0</v>
      </c>
      <c r="L59" s="9">
        <f t="shared" si="7"/>
        <v>0</v>
      </c>
      <c r="M59" s="31">
        <f t="shared" si="3"/>
        <v>357</v>
      </c>
      <c r="N59" s="16">
        <f t="shared" si="4"/>
        <v>947885.89677599992</v>
      </c>
      <c r="P59" s="11">
        <v>901216.6601000001</v>
      </c>
      <c r="Q59" s="11">
        <f t="shared" si="5"/>
        <v>46669.236675999826</v>
      </c>
      <c r="S59" s="30">
        <v>331</v>
      </c>
      <c r="T59" s="30">
        <v>0</v>
      </c>
      <c r="U59" s="30">
        <v>0</v>
      </c>
      <c r="W59" s="11">
        <f t="shared" si="8"/>
        <v>26</v>
      </c>
      <c r="X59" s="11">
        <f t="shared" si="8"/>
        <v>0</v>
      </c>
      <c r="Y59" s="11">
        <f t="shared" si="8"/>
        <v>0</v>
      </c>
      <c r="AC59" s="16">
        <v>901216.6601000001</v>
      </c>
      <c r="AD59" s="16">
        <f t="shared" si="6"/>
        <v>0</v>
      </c>
    </row>
    <row r="60" spans="1:30" x14ac:dyDescent="0.25">
      <c r="A60" s="9" t="s">
        <v>55</v>
      </c>
      <c r="B60" s="10">
        <v>2429</v>
      </c>
      <c r="C60" s="9">
        <v>147</v>
      </c>
      <c r="D60" s="9">
        <v>0</v>
      </c>
      <c r="E60" s="9">
        <v>0</v>
      </c>
      <c r="F60" s="9">
        <f t="shared" si="2"/>
        <v>147</v>
      </c>
      <c r="G60" s="9">
        <v>0</v>
      </c>
      <c r="H60" s="9">
        <v>0</v>
      </c>
      <c r="I60" s="9">
        <v>0</v>
      </c>
      <c r="J60" s="9">
        <f t="shared" si="7"/>
        <v>147</v>
      </c>
      <c r="K60" s="9">
        <f t="shared" si="7"/>
        <v>0</v>
      </c>
      <c r="L60" s="9">
        <f t="shared" si="7"/>
        <v>0</v>
      </c>
      <c r="M60" s="31">
        <f t="shared" si="3"/>
        <v>147</v>
      </c>
      <c r="N60" s="16">
        <f t="shared" si="4"/>
        <v>390305.95749599999</v>
      </c>
      <c r="P60" s="11">
        <v>382953.25500000006</v>
      </c>
      <c r="Q60" s="11">
        <f t="shared" si="5"/>
        <v>7352.7024959999253</v>
      </c>
      <c r="S60" s="30">
        <v>155</v>
      </c>
      <c r="T60" s="30">
        <v>0</v>
      </c>
      <c r="U60" s="30">
        <v>0</v>
      </c>
      <c r="W60" s="11">
        <f t="shared" si="8"/>
        <v>-8</v>
      </c>
      <c r="X60" s="11">
        <f t="shared" si="8"/>
        <v>0</v>
      </c>
      <c r="Y60" s="11">
        <f t="shared" si="8"/>
        <v>0</v>
      </c>
      <c r="AC60" s="16">
        <v>382953.25500000006</v>
      </c>
      <c r="AD60" s="16">
        <f t="shared" si="6"/>
        <v>0</v>
      </c>
    </row>
    <row r="61" spans="1:30" x14ac:dyDescent="0.25">
      <c r="A61" s="9" t="s">
        <v>56</v>
      </c>
      <c r="B61" s="10">
        <v>2444</v>
      </c>
      <c r="C61" s="9">
        <v>211</v>
      </c>
      <c r="D61" s="9">
        <v>0</v>
      </c>
      <c r="E61" s="9">
        <v>0</v>
      </c>
      <c r="F61" s="9">
        <f t="shared" si="2"/>
        <v>211</v>
      </c>
      <c r="G61" s="9">
        <v>0</v>
      </c>
      <c r="H61" s="9">
        <v>0</v>
      </c>
      <c r="I61" s="9">
        <v>0</v>
      </c>
      <c r="J61" s="9">
        <f t="shared" si="7"/>
        <v>211</v>
      </c>
      <c r="K61" s="9">
        <f t="shared" si="7"/>
        <v>0</v>
      </c>
      <c r="L61" s="9">
        <f t="shared" si="7"/>
        <v>0</v>
      </c>
      <c r="M61" s="31">
        <f t="shared" si="3"/>
        <v>211</v>
      </c>
      <c r="N61" s="16">
        <f t="shared" si="4"/>
        <v>560235.08184799994</v>
      </c>
      <c r="P61" s="11">
        <v>531028.51360000006</v>
      </c>
      <c r="Q61" s="11">
        <f t="shared" si="5"/>
        <v>29206.56824799988</v>
      </c>
      <c r="S61" s="30">
        <v>209</v>
      </c>
      <c r="T61" s="30">
        <v>0</v>
      </c>
      <c r="U61" s="30">
        <v>0</v>
      </c>
      <c r="W61" s="11">
        <f t="shared" si="8"/>
        <v>2</v>
      </c>
      <c r="X61" s="11">
        <f t="shared" si="8"/>
        <v>0</v>
      </c>
      <c r="Y61" s="11">
        <f t="shared" si="8"/>
        <v>0</v>
      </c>
      <c r="AC61" s="16">
        <v>531028.51360000006</v>
      </c>
      <c r="AD61" s="16">
        <f t="shared" si="6"/>
        <v>0</v>
      </c>
    </row>
    <row r="62" spans="1:30" x14ac:dyDescent="0.25">
      <c r="A62" s="9" t="s">
        <v>57</v>
      </c>
      <c r="B62" s="10">
        <v>5209</v>
      </c>
      <c r="C62" s="9">
        <v>261</v>
      </c>
      <c r="D62" s="9">
        <v>0</v>
      </c>
      <c r="E62" s="9">
        <v>0</v>
      </c>
      <c r="F62" s="9">
        <f t="shared" si="2"/>
        <v>261</v>
      </c>
      <c r="G62" s="9">
        <v>0</v>
      </c>
      <c r="H62" s="9">
        <v>0</v>
      </c>
      <c r="I62" s="9">
        <v>0</v>
      </c>
      <c r="J62" s="9">
        <f t="shared" si="7"/>
        <v>261</v>
      </c>
      <c r="K62" s="9">
        <f t="shared" si="7"/>
        <v>0</v>
      </c>
      <c r="L62" s="9">
        <f t="shared" si="7"/>
        <v>0</v>
      </c>
      <c r="M62" s="31">
        <f t="shared" si="3"/>
        <v>261</v>
      </c>
      <c r="N62" s="16">
        <f t="shared" si="4"/>
        <v>692992.21024799999</v>
      </c>
      <c r="P62" s="11">
        <v>699527.9458000001</v>
      </c>
      <c r="Q62" s="11">
        <f t="shared" si="5"/>
        <v>-6535.7355520001147</v>
      </c>
      <c r="S62" s="30">
        <v>270</v>
      </c>
      <c r="T62" s="30">
        <v>0</v>
      </c>
      <c r="U62" s="30">
        <v>0</v>
      </c>
      <c r="W62" s="11">
        <f t="shared" si="8"/>
        <v>-9</v>
      </c>
      <c r="X62" s="11">
        <f t="shared" si="8"/>
        <v>0</v>
      </c>
      <c r="Y62" s="11">
        <f t="shared" si="8"/>
        <v>0</v>
      </c>
      <c r="AC62" s="16">
        <v>699527.9458000001</v>
      </c>
      <c r="AD62" s="16">
        <f t="shared" si="6"/>
        <v>0</v>
      </c>
    </row>
    <row r="63" spans="1:30" x14ac:dyDescent="0.25">
      <c r="A63" s="9" t="s">
        <v>58</v>
      </c>
      <c r="B63" s="10">
        <v>2469</v>
      </c>
      <c r="C63" s="9">
        <v>417</v>
      </c>
      <c r="D63" s="9">
        <v>0</v>
      </c>
      <c r="E63" s="9">
        <v>0</v>
      </c>
      <c r="F63" s="9">
        <f t="shared" si="2"/>
        <v>417</v>
      </c>
      <c r="G63" s="9">
        <v>0</v>
      </c>
      <c r="H63" s="9">
        <v>0</v>
      </c>
      <c r="I63" s="9">
        <v>0</v>
      </c>
      <c r="J63" s="9">
        <f t="shared" si="7"/>
        <v>417</v>
      </c>
      <c r="K63" s="9">
        <f t="shared" si="7"/>
        <v>0</v>
      </c>
      <c r="L63" s="9">
        <f t="shared" si="7"/>
        <v>0</v>
      </c>
      <c r="M63" s="31">
        <f t="shared" si="3"/>
        <v>417</v>
      </c>
      <c r="N63" s="16">
        <f t="shared" si="4"/>
        <v>1107194.450856</v>
      </c>
      <c r="P63" s="11">
        <v>1049291.9187</v>
      </c>
      <c r="Q63" s="11">
        <f t="shared" si="5"/>
        <v>57902.532155999914</v>
      </c>
      <c r="S63" s="30">
        <v>412</v>
      </c>
      <c r="T63" s="30">
        <v>0</v>
      </c>
      <c r="U63" s="30">
        <v>0</v>
      </c>
      <c r="W63" s="11">
        <f t="shared" si="8"/>
        <v>5</v>
      </c>
      <c r="X63" s="11">
        <f t="shared" si="8"/>
        <v>0</v>
      </c>
      <c r="Y63" s="11">
        <f t="shared" si="8"/>
        <v>0</v>
      </c>
      <c r="AC63" s="16">
        <v>1049291.9187</v>
      </c>
      <c r="AD63" s="16">
        <f t="shared" si="6"/>
        <v>0</v>
      </c>
    </row>
    <row r="64" spans="1:30" x14ac:dyDescent="0.25">
      <c r="A64" s="9" t="s">
        <v>441</v>
      </c>
      <c r="B64" s="10">
        <v>2430</v>
      </c>
      <c r="C64" s="9">
        <v>126</v>
      </c>
      <c r="D64" s="9">
        <v>0</v>
      </c>
      <c r="E64" s="9">
        <v>0</v>
      </c>
      <c r="F64" s="9">
        <f t="shared" si="2"/>
        <v>126</v>
      </c>
      <c r="G64" s="9">
        <v>0</v>
      </c>
      <c r="H64" s="9">
        <v>0</v>
      </c>
      <c r="I64" s="9">
        <v>0</v>
      </c>
      <c r="J64" s="9">
        <f t="shared" si="7"/>
        <v>126</v>
      </c>
      <c r="K64" s="9">
        <f t="shared" si="7"/>
        <v>0</v>
      </c>
      <c r="L64" s="9">
        <f t="shared" si="7"/>
        <v>0</v>
      </c>
      <c r="M64" s="31">
        <f t="shared" si="3"/>
        <v>126</v>
      </c>
      <c r="N64" s="16">
        <f t="shared" si="4"/>
        <v>334547.96356799995</v>
      </c>
      <c r="P64" s="11">
        <v>306362.60400000005</v>
      </c>
      <c r="Q64" s="11">
        <f t="shared" si="5"/>
        <v>28185.359567999898</v>
      </c>
      <c r="S64" s="30">
        <v>113</v>
      </c>
      <c r="T64" s="30">
        <v>0</v>
      </c>
      <c r="U64" s="30">
        <v>0</v>
      </c>
      <c r="W64" s="11">
        <f t="shared" si="8"/>
        <v>13</v>
      </c>
      <c r="X64" s="11">
        <f t="shared" si="8"/>
        <v>0</v>
      </c>
      <c r="Y64" s="11">
        <f t="shared" si="8"/>
        <v>0</v>
      </c>
      <c r="AC64" s="16">
        <v>306362.60400000005</v>
      </c>
      <c r="AD64" s="16">
        <f t="shared" si="6"/>
        <v>0</v>
      </c>
    </row>
    <row r="65" spans="1:30" x14ac:dyDescent="0.25">
      <c r="A65" s="9" t="s">
        <v>59</v>
      </c>
      <c r="B65" s="10">
        <v>2466</v>
      </c>
      <c r="C65" s="9">
        <v>240</v>
      </c>
      <c r="D65" s="9">
        <v>0</v>
      </c>
      <c r="E65" s="9">
        <v>0</v>
      </c>
      <c r="F65" s="9">
        <f t="shared" si="2"/>
        <v>240</v>
      </c>
      <c r="G65" s="732">
        <v>19</v>
      </c>
      <c r="H65" s="9">
        <v>0</v>
      </c>
      <c r="I65" s="9">
        <v>0</v>
      </c>
      <c r="J65" s="9">
        <f t="shared" si="7"/>
        <v>221</v>
      </c>
      <c r="K65" s="9">
        <f t="shared" si="7"/>
        <v>0</v>
      </c>
      <c r="L65" s="9">
        <f t="shared" si="7"/>
        <v>0</v>
      </c>
      <c r="M65" s="31">
        <f t="shared" si="3"/>
        <v>221</v>
      </c>
      <c r="N65" s="16">
        <f t="shared" si="4"/>
        <v>586786.50752799993</v>
      </c>
      <c r="P65" s="11">
        <v>502945.27490000002</v>
      </c>
      <c r="Q65" s="11">
        <f t="shared" si="5"/>
        <v>83841.232627999911</v>
      </c>
      <c r="S65" s="30">
        <v>164</v>
      </c>
      <c r="T65" s="30">
        <v>0</v>
      </c>
      <c r="U65" s="30">
        <v>0</v>
      </c>
      <c r="W65" s="11">
        <f t="shared" si="8"/>
        <v>57</v>
      </c>
      <c r="X65" s="11">
        <f t="shared" si="8"/>
        <v>0</v>
      </c>
      <c r="Y65" s="11">
        <f t="shared" si="8"/>
        <v>0</v>
      </c>
      <c r="AC65" s="16">
        <v>502945.27490000002</v>
      </c>
      <c r="AD65" s="16">
        <f t="shared" si="6"/>
        <v>0</v>
      </c>
    </row>
    <row r="66" spans="1:30" x14ac:dyDescent="0.25">
      <c r="A66" s="9" t="s">
        <v>60</v>
      </c>
      <c r="B66" s="10">
        <v>3543</v>
      </c>
      <c r="C66" s="9">
        <v>303</v>
      </c>
      <c r="D66" s="9">
        <v>0</v>
      </c>
      <c r="E66" s="9">
        <v>0</v>
      </c>
      <c r="F66" s="9">
        <f t="shared" si="2"/>
        <v>303</v>
      </c>
      <c r="G66" s="9">
        <v>0</v>
      </c>
      <c r="H66" s="9">
        <v>0</v>
      </c>
      <c r="I66" s="9">
        <v>0</v>
      </c>
      <c r="J66" s="9">
        <f t="shared" si="7"/>
        <v>303</v>
      </c>
      <c r="K66" s="9">
        <f t="shared" si="7"/>
        <v>0</v>
      </c>
      <c r="L66" s="9">
        <f t="shared" si="7"/>
        <v>0</v>
      </c>
      <c r="M66" s="31">
        <f t="shared" si="3"/>
        <v>303</v>
      </c>
      <c r="N66" s="16">
        <f t="shared" si="4"/>
        <v>804508.19810399995</v>
      </c>
      <c r="P66" s="11">
        <v>768459.53170000005</v>
      </c>
      <c r="Q66" s="11">
        <f t="shared" si="5"/>
        <v>36048.666403999901</v>
      </c>
      <c r="S66" s="30">
        <v>293</v>
      </c>
      <c r="T66" s="30">
        <v>0</v>
      </c>
      <c r="U66" s="30">
        <v>0</v>
      </c>
      <c r="W66" s="11">
        <f t="shared" si="8"/>
        <v>10</v>
      </c>
      <c r="X66" s="11">
        <f t="shared" si="8"/>
        <v>0</v>
      </c>
      <c r="Y66" s="11">
        <f t="shared" si="8"/>
        <v>0</v>
      </c>
      <c r="AC66" s="16">
        <v>768459.53170000005</v>
      </c>
      <c r="AD66" s="16">
        <f t="shared" si="6"/>
        <v>0</v>
      </c>
    </row>
    <row r="67" spans="1:30" s="33" customFormat="1" x14ac:dyDescent="0.25">
      <c r="A67" s="729" t="s">
        <v>62</v>
      </c>
      <c r="B67" s="27">
        <v>3531</v>
      </c>
      <c r="C67" s="729">
        <v>345</v>
      </c>
      <c r="D67" s="729">
        <v>0</v>
      </c>
      <c r="E67" s="729">
        <v>0</v>
      </c>
      <c r="F67" s="729">
        <f t="shared" si="2"/>
        <v>345</v>
      </c>
      <c r="G67" s="729">
        <v>0</v>
      </c>
      <c r="H67" s="729">
        <v>0</v>
      </c>
      <c r="I67" s="729">
        <v>0</v>
      </c>
      <c r="J67" s="729">
        <f t="shared" si="7"/>
        <v>345</v>
      </c>
      <c r="K67" s="729">
        <f t="shared" si="7"/>
        <v>0</v>
      </c>
      <c r="L67" s="729">
        <f t="shared" si="7"/>
        <v>0</v>
      </c>
      <c r="M67" s="730">
        <f t="shared" si="3"/>
        <v>345</v>
      </c>
      <c r="N67" s="731">
        <f t="shared" si="4"/>
        <v>916024.18595999992</v>
      </c>
      <c r="O67" s="733"/>
      <c r="P67" s="733">
        <v>898663.63840000005</v>
      </c>
      <c r="Q67" s="733">
        <f t="shared" si="5"/>
        <v>17360.547559999861</v>
      </c>
      <c r="S67" s="33">
        <v>350</v>
      </c>
      <c r="T67" s="33">
        <v>0</v>
      </c>
      <c r="U67" s="33">
        <v>0</v>
      </c>
      <c r="W67" s="733">
        <f t="shared" si="8"/>
        <v>-5</v>
      </c>
      <c r="X67" s="733">
        <f t="shared" si="8"/>
        <v>0</v>
      </c>
      <c r="Y67" s="733">
        <f t="shared" si="8"/>
        <v>0</v>
      </c>
      <c r="AC67" s="16">
        <v>898663.63840000005</v>
      </c>
      <c r="AD67" s="16">
        <f t="shared" si="6"/>
        <v>0</v>
      </c>
    </row>
    <row r="68" spans="1:30" x14ac:dyDescent="0.25">
      <c r="A68" s="9" t="s">
        <v>103</v>
      </c>
      <c r="B68" s="10">
        <v>3526</v>
      </c>
      <c r="C68" s="9">
        <v>90</v>
      </c>
      <c r="D68" s="9">
        <v>0</v>
      </c>
      <c r="E68" s="9">
        <v>0</v>
      </c>
      <c r="F68" s="9">
        <f t="shared" si="2"/>
        <v>90</v>
      </c>
      <c r="G68" s="9">
        <v>0</v>
      </c>
      <c r="H68" s="9">
        <v>0</v>
      </c>
      <c r="I68" s="9">
        <v>0</v>
      </c>
      <c r="J68" s="9">
        <f t="shared" si="7"/>
        <v>90</v>
      </c>
      <c r="K68" s="9">
        <f t="shared" si="7"/>
        <v>0</v>
      </c>
      <c r="L68" s="9">
        <f t="shared" si="7"/>
        <v>0</v>
      </c>
      <c r="M68" s="31">
        <f t="shared" si="3"/>
        <v>90</v>
      </c>
      <c r="N68" s="16">
        <f t="shared" si="4"/>
        <v>238962.83111999999</v>
      </c>
      <c r="P68" s="11">
        <v>217006.84450000001</v>
      </c>
      <c r="Q68" s="11">
        <f t="shared" si="5"/>
        <v>21955.986619999981</v>
      </c>
      <c r="S68" s="30">
        <v>83</v>
      </c>
      <c r="T68" s="30">
        <v>0</v>
      </c>
      <c r="U68" s="30">
        <v>0</v>
      </c>
      <c r="W68" s="11">
        <f t="shared" si="8"/>
        <v>7</v>
      </c>
      <c r="X68" s="11">
        <f t="shared" si="8"/>
        <v>0</v>
      </c>
      <c r="Y68" s="11">
        <f t="shared" si="8"/>
        <v>0</v>
      </c>
      <c r="AC68" s="16">
        <v>217006.84450000001</v>
      </c>
      <c r="AD68" s="16">
        <f t="shared" si="6"/>
        <v>0</v>
      </c>
    </row>
    <row r="69" spans="1:30" x14ac:dyDescent="0.25">
      <c r="A69" s="9" t="s">
        <v>104</v>
      </c>
      <c r="B69" s="10">
        <v>3535</v>
      </c>
      <c r="C69" s="9">
        <v>283</v>
      </c>
      <c r="D69" s="9">
        <v>0</v>
      </c>
      <c r="E69" s="9">
        <v>0</v>
      </c>
      <c r="F69" s="9">
        <f t="shared" si="2"/>
        <v>283</v>
      </c>
      <c r="G69" s="9">
        <v>0</v>
      </c>
      <c r="H69" s="9">
        <v>0</v>
      </c>
      <c r="I69" s="9">
        <v>0</v>
      </c>
      <c r="J69" s="9">
        <f t="shared" si="7"/>
        <v>283</v>
      </c>
      <c r="K69" s="9">
        <f t="shared" si="7"/>
        <v>0</v>
      </c>
      <c r="L69" s="9">
        <f t="shared" si="7"/>
        <v>0</v>
      </c>
      <c r="M69" s="31">
        <f t="shared" si="3"/>
        <v>283</v>
      </c>
      <c r="N69" s="16">
        <f t="shared" si="4"/>
        <v>751405.34674399998</v>
      </c>
      <c r="P69" s="11">
        <v>758247.44490000012</v>
      </c>
      <c r="Q69" s="11">
        <f t="shared" si="5"/>
        <v>-6842.0981560001383</v>
      </c>
      <c r="S69" s="30">
        <v>302</v>
      </c>
      <c r="T69" s="30">
        <v>0</v>
      </c>
      <c r="U69" s="30">
        <v>0</v>
      </c>
      <c r="W69" s="11">
        <f t="shared" si="8"/>
        <v>-19</v>
      </c>
      <c r="X69" s="11">
        <f t="shared" si="8"/>
        <v>0</v>
      </c>
      <c r="Y69" s="11">
        <f t="shared" si="8"/>
        <v>0</v>
      </c>
      <c r="AC69" s="16">
        <v>758247.44490000012</v>
      </c>
      <c r="AD69" s="16">
        <f t="shared" si="6"/>
        <v>0</v>
      </c>
    </row>
    <row r="70" spans="1:30" s="33" customFormat="1" x14ac:dyDescent="0.25">
      <c r="A70" s="734" t="s">
        <v>64</v>
      </c>
      <c r="B70" s="27">
        <v>2008</v>
      </c>
      <c r="C70" s="729">
        <v>226</v>
      </c>
      <c r="D70" s="729">
        <v>0</v>
      </c>
      <c r="E70" s="729">
        <v>0</v>
      </c>
      <c r="F70" s="729">
        <f t="shared" si="2"/>
        <v>226</v>
      </c>
      <c r="G70" s="729">
        <v>0</v>
      </c>
      <c r="H70" s="729">
        <v>0</v>
      </c>
      <c r="I70" s="729">
        <v>0</v>
      </c>
      <c r="J70" s="729">
        <f t="shared" si="7"/>
        <v>226</v>
      </c>
      <c r="K70" s="729">
        <f t="shared" si="7"/>
        <v>0</v>
      </c>
      <c r="L70" s="729">
        <f t="shared" si="7"/>
        <v>0</v>
      </c>
      <c r="M70" s="730">
        <f t="shared" si="3"/>
        <v>226</v>
      </c>
      <c r="N70" s="731">
        <f t="shared" si="4"/>
        <v>600062.22036799998</v>
      </c>
      <c r="O70" s="733"/>
      <c r="P70" s="733">
        <v>582088.94760000007</v>
      </c>
      <c r="Q70" s="733">
        <f t="shared" si="5"/>
        <v>17973.272767999908</v>
      </c>
      <c r="S70" s="33">
        <v>221</v>
      </c>
      <c r="T70" s="33">
        <v>0</v>
      </c>
      <c r="U70" s="33">
        <v>0</v>
      </c>
      <c r="W70" s="733">
        <f t="shared" si="8"/>
        <v>5</v>
      </c>
      <c r="X70" s="733">
        <f t="shared" si="8"/>
        <v>0</v>
      </c>
      <c r="Y70" s="733">
        <f t="shared" si="8"/>
        <v>0</v>
      </c>
      <c r="AC70" s="16">
        <v>582088.94760000007</v>
      </c>
      <c r="AD70" s="16">
        <f t="shared" si="6"/>
        <v>0</v>
      </c>
    </row>
    <row r="71" spans="1:30" x14ac:dyDescent="0.25">
      <c r="A71" s="9" t="s">
        <v>105</v>
      </c>
      <c r="B71" s="10">
        <v>3542</v>
      </c>
      <c r="C71" s="9">
        <v>352</v>
      </c>
      <c r="D71" s="9">
        <v>0</v>
      </c>
      <c r="E71" s="9">
        <v>0</v>
      </c>
      <c r="F71" s="9">
        <f t="shared" si="2"/>
        <v>352</v>
      </c>
      <c r="G71" s="9">
        <v>0</v>
      </c>
      <c r="H71" s="9">
        <v>0</v>
      </c>
      <c r="I71" s="9">
        <v>0</v>
      </c>
      <c r="J71" s="9">
        <f t="shared" si="7"/>
        <v>352</v>
      </c>
      <c r="K71" s="9">
        <f t="shared" si="7"/>
        <v>0</v>
      </c>
      <c r="L71" s="9">
        <f t="shared" si="7"/>
        <v>0</v>
      </c>
      <c r="M71" s="31">
        <f t="shared" si="3"/>
        <v>352</v>
      </c>
      <c r="N71" s="16">
        <f t="shared" si="4"/>
        <v>934610.18393599987</v>
      </c>
      <c r="P71" s="11">
        <v>896110.61670000013</v>
      </c>
      <c r="Q71" s="11">
        <f t="shared" si="5"/>
        <v>38499.567235999741</v>
      </c>
      <c r="S71" s="30">
        <v>359</v>
      </c>
      <c r="T71" s="30">
        <v>0</v>
      </c>
      <c r="U71" s="30">
        <v>0</v>
      </c>
      <c r="W71" s="11">
        <f t="shared" si="8"/>
        <v>-7</v>
      </c>
      <c r="X71" s="11">
        <f t="shared" si="8"/>
        <v>0</v>
      </c>
      <c r="Y71" s="11">
        <f t="shared" si="8"/>
        <v>0</v>
      </c>
      <c r="AC71" s="16">
        <v>896110.61670000013</v>
      </c>
      <c r="AD71" s="16">
        <f t="shared" si="6"/>
        <v>0</v>
      </c>
    </row>
    <row r="72" spans="1:30" x14ac:dyDescent="0.25">
      <c r="A72" s="9" t="s">
        <v>106</v>
      </c>
      <c r="B72" s="10">
        <v>3528</v>
      </c>
      <c r="C72" s="9">
        <v>346</v>
      </c>
      <c r="D72" s="9">
        <v>0</v>
      </c>
      <c r="E72" s="9">
        <v>0</v>
      </c>
      <c r="F72" s="9">
        <f t="shared" ref="F72:F78" si="9">SUM(C72:E72)</f>
        <v>346</v>
      </c>
      <c r="G72" s="9">
        <v>0</v>
      </c>
      <c r="H72" s="9">
        <v>0</v>
      </c>
      <c r="I72" s="9">
        <v>0</v>
      </c>
      <c r="J72" s="9">
        <f t="shared" si="7"/>
        <v>346</v>
      </c>
      <c r="K72" s="9">
        <f t="shared" si="7"/>
        <v>0</v>
      </c>
      <c r="L72" s="9">
        <f t="shared" si="7"/>
        <v>0</v>
      </c>
      <c r="M72" s="31">
        <f t="shared" si="3"/>
        <v>346</v>
      </c>
      <c r="N72" s="16">
        <f t="shared" si="4"/>
        <v>918679.32852799993</v>
      </c>
      <c r="P72" s="11">
        <v>885898.52990000008</v>
      </c>
      <c r="Q72" s="11">
        <f t="shared" si="5"/>
        <v>32780.798627999844</v>
      </c>
      <c r="S72" s="30">
        <v>352</v>
      </c>
      <c r="T72" s="30">
        <v>0</v>
      </c>
      <c r="U72" s="30">
        <v>0</v>
      </c>
      <c r="W72" s="11">
        <f t="shared" si="8"/>
        <v>-6</v>
      </c>
      <c r="X72" s="11">
        <f t="shared" si="8"/>
        <v>0</v>
      </c>
      <c r="Y72" s="11">
        <f t="shared" si="8"/>
        <v>0</v>
      </c>
      <c r="AC72" s="16">
        <v>885898.52990000008</v>
      </c>
      <c r="AD72" s="16">
        <f t="shared" si="6"/>
        <v>0</v>
      </c>
    </row>
    <row r="73" spans="1:30" x14ac:dyDescent="0.25">
      <c r="A73" s="9" t="s">
        <v>107</v>
      </c>
      <c r="B73" s="10">
        <v>3534</v>
      </c>
      <c r="C73" s="9">
        <v>255</v>
      </c>
      <c r="D73" s="9">
        <v>0</v>
      </c>
      <c r="E73" s="9">
        <v>0</v>
      </c>
      <c r="F73" s="9">
        <f t="shared" si="9"/>
        <v>255</v>
      </c>
      <c r="G73" s="9">
        <v>0</v>
      </c>
      <c r="H73" s="9">
        <v>0</v>
      </c>
      <c r="I73" s="9">
        <v>0</v>
      </c>
      <c r="J73" s="9">
        <f t="shared" si="7"/>
        <v>255</v>
      </c>
      <c r="K73" s="9">
        <f t="shared" si="7"/>
        <v>0</v>
      </c>
      <c r="L73" s="9">
        <f t="shared" si="7"/>
        <v>0</v>
      </c>
      <c r="M73" s="31">
        <f t="shared" ref="M73:M78" si="10">SUM(J73:L73)</f>
        <v>255</v>
      </c>
      <c r="N73" s="16">
        <f t="shared" ref="N73:N78" si="11">SUM(J73*$C$1)+SUM(K73*$D$3)+SUM(L73*$E$4)</f>
        <v>677061.35483999993</v>
      </c>
      <c r="P73" s="11">
        <v>622937.29480000003</v>
      </c>
      <c r="Q73" s="11">
        <f t="shared" ref="Q73:Q78" si="12">N73-P73</f>
        <v>54124.060039999895</v>
      </c>
      <c r="S73" s="30">
        <v>239</v>
      </c>
      <c r="T73" s="30">
        <v>0</v>
      </c>
      <c r="U73" s="30">
        <v>0</v>
      </c>
      <c r="W73" s="11">
        <f t="shared" si="8"/>
        <v>16</v>
      </c>
      <c r="X73" s="11">
        <f t="shared" si="8"/>
        <v>0</v>
      </c>
      <c r="Y73" s="11">
        <f t="shared" si="8"/>
        <v>0</v>
      </c>
      <c r="AC73" s="16">
        <v>622937.29480000003</v>
      </c>
      <c r="AD73" s="16">
        <f t="shared" ref="AD73:AD112" si="13">AC73-P73</f>
        <v>0</v>
      </c>
    </row>
    <row r="74" spans="1:30" x14ac:dyDescent="0.25">
      <c r="A74" s="9" t="s">
        <v>108</v>
      </c>
      <c r="B74" s="10">
        <v>3532</v>
      </c>
      <c r="C74" s="9">
        <v>317</v>
      </c>
      <c r="D74" s="9">
        <v>0</v>
      </c>
      <c r="E74" s="9">
        <v>0</v>
      </c>
      <c r="F74" s="9">
        <f t="shared" si="9"/>
        <v>317</v>
      </c>
      <c r="G74" s="9">
        <v>0</v>
      </c>
      <c r="H74" s="9">
        <v>0</v>
      </c>
      <c r="I74" s="9">
        <v>0</v>
      </c>
      <c r="J74" s="9">
        <f t="shared" si="7"/>
        <v>317</v>
      </c>
      <c r="K74" s="9">
        <f t="shared" si="7"/>
        <v>0</v>
      </c>
      <c r="L74" s="9">
        <f t="shared" si="7"/>
        <v>0</v>
      </c>
      <c r="M74" s="31">
        <f t="shared" si="10"/>
        <v>317</v>
      </c>
      <c r="N74" s="16">
        <f t="shared" si="11"/>
        <v>841680.19405599998</v>
      </c>
      <c r="P74" s="11">
        <v>791436.72700000007</v>
      </c>
      <c r="Q74" s="11">
        <f t="shared" si="12"/>
        <v>50243.467055999907</v>
      </c>
      <c r="S74" s="30">
        <v>303</v>
      </c>
      <c r="T74" s="30">
        <v>0</v>
      </c>
      <c r="U74" s="30">
        <v>0</v>
      </c>
      <c r="W74" s="11">
        <f t="shared" si="8"/>
        <v>14</v>
      </c>
      <c r="X74" s="11">
        <f t="shared" si="8"/>
        <v>0</v>
      </c>
      <c r="Y74" s="11">
        <f t="shared" si="8"/>
        <v>0</v>
      </c>
      <c r="AC74" s="16">
        <v>791436.72700000007</v>
      </c>
      <c r="AD74" s="16">
        <f t="shared" si="13"/>
        <v>0</v>
      </c>
    </row>
    <row r="75" spans="1:30" x14ac:dyDescent="0.25">
      <c r="A75" s="9" t="s">
        <v>65</v>
      </c>
      <c r="B75" s="10">
        <v>3546</v>
      </c>
      <c r="C75" s="9">
        <v>585</v>
      </c>
      <c r="D75" s="9">
        <v>0</v>
      </c>
      <c r="E75" s="9">
        <v>0</v>
      </c>
      <c r="F75" s="9">
        <f t="shared" si="9"/>
        <v>585</v>
      </c>
      <c r="G75" s="9">
        <v>0</v>
      </c>
      <c r="H75" s="9">
        <v>0</v>
      </c>
      <c r="I75" s="9">
        <v>0</v>
      </c>
      <c r="J75" s="9">
        <f t="shared" si="7"/>
        <v>585</v>
      </c>
      <c r="K75" s="9">
        <f t="shared" si="7"/>
        <v>0</v>
      </c>
      <c r="L75" s="9">
        <f t="shared" si="7"/>
        <v>0</v>
      </c>
      <c r="M75" s="31">
        <f t="shared" si="10"/>
        <v>585</v>
      </c>
      <c r="N75" s="16">
        <f t="shared" si="11"/>
        <v>1553258.4022799998</v>
      </c>
      <c r="P75" s="11">
        <v>1393949.8482000001</v>
      </c>
      <c r="Q75" s="11">
        <f t="shared" si="12"/>
        <v>159308.55407999968</v>
      </c>
      <c r="S75" s="30">
        <v>533</v>
      </c>
      <c r="T75" s="30">
        <v>0</v>
      </c>
      <c r="U75" s="30">
        <v>0</v>
      </c>
      <c r="W75" s="11">
        <f t="shared" si="8"/>
        <v>52</v>
      </c>
      <c r="X75" s="11">
        <f t="shared" si="8"/>
        <v>0</v>
      </c>
      <c r="Y75" s="11">
        <f t="shared" si="8"/>
        <v>0</v>
      </c>
      <c r="AC75" s="16">
        <v>1393949.8482000001</v>
      </c>
      <c r="AD75" s="16">
        <f t="shared" si="13"/>
        <v>0</v>
      </c>
    </row>
    <row r="76" spans="1:30" x14ac:dyDescent="0.25">
      <c r="A76" s="9" t="s">
        <v>109</v>
      </c>
      <c r="B76" s="10">
        <v>3530</v>
      </c>
      <c r="C76" s="9">
        <v>335</v>
      </c>
      <c r="D76" s="9">
        <v>0</v>
      </c>
      <c r="E76" s="9">
        <v>0</v>
      </c>
      <c r="F76" s="9">
        <f t="shared" si="9"/>
        <v>335</v>
      </c>
      <c r="G76" s="9">
        <v>0</v>
      </c>
      <c r="H76" s="9">
        <v>0</v>
      </c>
      <c r="I76" s="9">
        <v>0</v>
      </c>
      <c r="J76" s="9">
        <f t="shared" si="7"/>
        <v>335</v>
      </c>
      <c r="K76" s="9">
        <f t="shared" si="7"/>
        <v>0</v>
      </c>
      <c r="L76" s="9">
        <f t="shared" si="7"/>
        <v>0</v>
      </c>
      <c r="M76" s="31">
        <f t="shared" si="10"/>
        <v>335</v>
      </c>
      <c r="N76" s="16">
        <f t="shared" si="11"/>
        <v>889472.76027999993</v>
      </c>
      <c r="P76" s="11">
        <v>809307.87890000013</v>
      </c>
      <c r="Q76" s="11">
        <f t="shared" si="12"/>
        <v>80164.881379999802</v>
      </c>
      <c r="S76" s="30">
        <v>311</v>
      </c>
      <c r="T76" s="30">
        <v>0</v>
      </c>
      <c r="U76" s="30">
        <v>0</v>
      </c>
      <c r="W76" s="11">
        <f t="shared" si="8"/>
        <v>24</v>
      </c>
      <c r="X76" s="11">
        <f t="shared" si="8"/>
        <v>0</v>
      </c>
      <c r="Y76" s="11">
        <f t="shared" si="8"/>
        <v>0</v>
      </c>
      <c r="AC76" s="16">
        <v>809307.87890000013</v>
      </c>
      <c r="AD76" s="16">
        <f t="shared" si="13"/>
        <v>0</v>
      </c>
    </row>
    <row r="77" spans="1:30" x14ac:dyDescent="0.25">
      <c r="A77" s="9" t="s">
        <v>67</v>
      </c>
      <c r="B77" s="10">
        <v>2459</v>
      </c>
      <c r="C77" s="9">
        <v>382</v>
      </c>
      <c r="D77" s="9">
        <v>0</v>
      </c>
      <c r="E77" s="9">
        <v>0</v>
      </c>
      <c r="F77" s="9">
        <f t="shared" si="9"/>
        <v>382</v>
      </c>
      <c r="G77" s="9">
        <v>0</v>
      </c>
      <c r="H77" s="9">
        <v>0</v>
      </c>
      <c r="I77" s="9">
        <v>0</v>
      </c>
      <c r="J77" s="9">
        <f t="shared" si="7"/>
        <v>382</v>
      </c>
      <c r="K77" s="9">
        <f t="shared" si="7"/>
        <v>0</v>
      </c>
      <c r="L77" s="9">
        <f t="shared" si="7"/>
        <v>0</v>
      </c>
      <c r="M77" s="31">
        <f t="shared" si="10"/>
        <v>382</v>
      </c>
      <c r="N77" s="16">
        <f t="shared" si="11"/>
        <v>1014264.4609759999</v>
      </c>
      <c r="P77" s="11">
        <v>995678.46300000011</v>
      </c>
      <c r="Q77" s="11">
        <f t="shared" si="12"/>
        <v>18585.997975999839</v>
      </c>
      <c r="S77" s="30">
        <v>387</v>
      </c>
      <c r="T77" s="30">
        <v>0</v>
      </c>
      <c r="U77" s="30">
        <v>0</v>
      </c>
      <c r="W77" s="11">
        <f t="shared" si="8"/>
        <v>-5</v>
      </c>
      <c r="X77" s="11">
        <f t="shared" si="8"/>
        <v>0</v>
      </c>
      <c r="Y77" s="11">
        <f t="shared" si="8"/>
        <v>0</v>
      </c>
      <c r="AC77" s="16">
        <v>995678.46300000011</v>
      </c>
      <c r="AD77" s="16">
        <f t="shared" si="13"/>
        <v>0</v>
      </c>
    </row>
    <row r="78" spans="1:30" s="33" customFormat="1" x14ac:dyDescent="0.25">
      <c r="A78" s="729" t="s">
        <v>846</v>
      </c>
      <c r="B78" s="27">
        <v>4000</v>
      </c>
      <c r="C78" s="729">
        <v>213.75</v>
      </c>
      <c r="D78" s="729">
        <v>0</v>
      </c>
      <c r="E78" s="729">
        <v>0</v>
      </c>
      <c r="F78" s="729">
        <f t="shared" si="9"/>
        <v>213.75</v>
      </c>
      <c r="G78" s="729">
        <v>0</v>
      </c>
      <c r="H78" s="729">
        <v>0</v>
      </c>
      <c r="I78" s="729">
        <v>0</v>
      </c>
      <c r="J78" s="729">
        <f t="shared" si="7"/>
        <v>213.75</v>
      </c>
      <c r="K78" s="729">
        <f t="shared" si="7"/>
        <v>0</v>
      </c>
      <c r="L78" s="729">
        <f t="shared" si="7"/>
        <v>0</v>
      </c>
      <c r="M78" s="730">
        <f t="shared" si="10"/>
        <v>213.75</v>
      </c>
      <c r="N78" s="731">
        <f t="shared" si="11"/>
        <v>567536.72390999994</v>
      </c>
      <c r="O78" s="733"/>
      <c r="P78" s="733">
        <v>584641.9693</v>
      </c>
      <c r="Q78" s="733">
        <f t="shared" si="12"/>
        <v>-17105.245390000055</v>
      </c>
      <c r="R78" s="33" t="s">
        <v>847</v>
      </c>
      <c r="S78" s="33">
        <v>0</v>
      </c>
      <c r="T78" s="33">
        <v>0</v>
      </c>
      <c r="U78" s="33">
        <v>0</v>
      </c>
      <c r="W78" s="733">
        <f t="shared" si="8"/>
        <v>213.75</v>
      </c>
      <c r="X78" s="733">
        <f t="shared" si="8"/>
        <v>0</v>
      </c>
      <c r="Y78" s="733">
        <f t="shared" si="8"/>
        <v>0</v>
      </c>
      <c r="AC78" s="16">
        <v>584641.9693</v>
      </c>
      <c r="AD78" s="16">
        <f t="shared" si="13"/>
        <v>0</v>
      </c>
    </row>
    <row r="79" spans="1:30" x14ac:dyDescent="0.25">
      <c r="A79" s="9"/>
      <c r="B79" s="10"/>
      <c r="C79" s="9"/>
      <c r="D79" s="9"/>
      <c r="E79" s="9"/>
      <c r="F79" s="9"/>
      <c r="G79" s="9"/>
      <c r="H79" s="9"/>
      <c r="I79" s="9"/>
      <c r="J79" s="9"/>
      <c r="K79" s="9"/>
      <c r="L79" s="9"/>
      <c r="M79" s="31"/>
      <c r="N79" s="16"/>
      <c r="AC79" s="16"/>
      <c r="AD79" s="16">
        <f t="shared" si="13"/>
        <v>0</v>
      </c>
    </row>
    <row r="80" spans="1:30" x14ac:dyDescent="0.25">
      <c r="A80" s="1" t="s">
        <v>110</v>
      </c>
      <c r="B80" s="1" t="s">
        <v>110</v>
      </c>
      <c r="C80" s="1">
        <f t="shared" ref="C80:N80" si="14">SUM(C7:C79)</f>
        <v>22413.416666666664</v>
      </c>
      <c r="D80" s="1">
        <f t="shared" si="14"/>
        <v>0</v>
      </c>
      <c r="E80" s="1">
        <f t="shared" si="14"/>
        <v>0</v>
      </c>
      <c r="F80" s="1">
        <f t="shared" si="14"/>
        <v>22413.416666666664</v>
      </c>
      <c r="G80" s="1">
        <f t="shared" si="14"/>
        <v>160</v>
      </c>
      <c r="H80" s="1">
        <f t="shared" si="14"/>
        <v>0</v>
      </c>
      <c r="I80" s="1">
        <f t="shared" si="14"/>
        <v>0</v>
      </c>
      <c r="J80" s="1">
        <f t="shared" si="14"/>
        <v>22253.416666666664</v>
      </c>
      <c r="K80" s="1">
        <f t="shared" si="14"/>
        <v>0</v>
      </c>
      <c r="L80" s="1">
        <f t="shared" si="14"/>
        <v>0</v>
      </c>
      <c r="M80" s="735">
        <f t="shared" si="14"/>
        <v>22253.416666666664</v>
      </c>
      <c r="N80" s="1">
        <f t="shared" si="14"/>
        <v>59085993.875107348</v>
      </c>
      <c r="O80" s="1"/>
      <c r="P80" s="1">
        <f t="shared" ref="P80:Y80" si="15">SUM(P7:P79)</f>
        <v>55934152.425299987</v>
      </c>
      <c r="Q80" s="1">
        <f t="shared" si="15"/>
        <v>3151841.4498073226</v>
      </c>
      <c r="R80" s="1"/>
      <c r="S80" s="1">
        <f t="shared" si="15"/>
        <v>21322</v>
      </c>
      <c r="T80" s="1">
        <f t="shared" si="15"/>
        <v>0</v>
      </c>
      <c r="U80" s="1">
        <f t="shared" si="15"/>
        <v>0</v>
      </c>
      <c r="W80" s="1">
        <f t="shared" si="15"/>
        <v>931.41666666666674</v>
      </c>
      <c r="X80" s="1">
        <f t="shared" si="15"/>
        <v>0</v>
      </c>
      <c r="Y80" s="1">
        <f t="shared" si="15"/>
        <v>0</v>
      </c>
      <c r="AC80" s="1">
        <f t="shared" ref="AC80" si="16">SUM(AC7:AC79)</f>
        <v>56786861.673099987</v>
      </c>
      <c r="AD80" s="16">
        <f t="shared" si="13"/>
        <v>852709.24780000001</v>
      </c>
    </row>
    <row r="81" spans="1:30" x14ac:dyDescent="0.25">
      <c r="A81" s="9"/>
      <c r="B81" s="10"/>
      <c r="C81" s="9"/>
      <c r="D81" s="9"/>
      <c r="E81" s="9"/>
      <c r="F81" s="9"/>
      <c r="G81" s="9"/>
      <c r="H81" s="9"/>
      <c r="I81" s="9"/>
      <c r="J81" s="9"/>
      <c r="K81" s="9"/>
      <c r="L81" s="9"/>
      <c r="M81" s="31"/>
      <c r="N81" s="16">
        <v>0</v>
      </c>
      <c r="O81" s="736"/>
      <c r="AC81" s="16"/>
      <c r="AD81" s="16">
        <f t="shared" si="13"/>
        <v>0</v>
      </c>
    </row>
    <row r="82" spans="1:30" s="33" customFormat="1" x14ac:dyDescent="0.25">
      <c r="A82" s="729" t="s">
        <v>75</v>
      </c>
      <c r="B82" s="27">
        <v>5402</v>
      </c>
      <c r="C82" s="729">
        <v>0</v>
      </c>
      <c r="D82" s="729">
        <v>807</v>
      </c>
      <c r="E82" s="729">
        <v>511</v>
      </c>
      <c r="F82" s="729">
        <f t="shared" ref="F82:F96" si="17">SUM(C82:E82)</f>
        <v>1318</v>
      </c>
      <c r="G82" s="729">
        <v>0</v>
      </c>
      <c r="H82" s="729">
        <v>0</v>
      </c>
      <c r="I82" s="729">
        <v>0</v>
      </c>
      <c r="J82" s="729">
        <f t="shared" ref="J82:L96" si="18">C82-G82</f>
        <v>0</v>
      </c>
      <c r="K82" s="729">
        <f t="shared" si="18"/>
        <v>807</v>
      </c>
      <c r="L82" s="729">
        <f t="shared" si="18"/>
        <v>511</v>
      </c>
      <c r="M82" s="730">
        <f t="shared" ref="M82:M96" si="19">SUM(J82:L82)</f>
        <v>1318</v>
      </c>
      <c r="N82" s="731">
        <f>SUM(J82*$C$1)+SUM(K82*$D$3)+SUM(L82*$E$4)</f>
        <v>5129196.3565440001</v>
      </c>
      <c r="O82" s="733"/>
      <c r="P82" s="733">
        <v>4970365.2</v>
      </c>
      <c r="Q82" s="733">
        <f t="shared" ref="Q82:Q96" si="20">N82-P82</f>
        <v>158831.15654399991</v>
      </c>
      <c r="S82" s="33">
        <v>0</v>
      </c>
      <c r="T82" s="33">
        <v>784</v>
      </c>
      <c r="U82" s="33">
        <v>549</v>
      </c>
      <c r="W82" s="733">
        <f t="shared" ref="W82:Y96" si="21">J82-S82</f>
        <v>0</v>
      </c>
      <c r="X82" s="733">
        <f t="shared" si="21"/>
        <v>23</v>
      </c>
      <c r="Y82" s="733">
        <f t="shared" si="21"/>
        <v>-38</v>
      </c>
      <c r="AC82" s="16">
        <v>4970365.2</v>
      </c>
      <c r="AD82" s="16">
        <f t="shared" si="13"/>
        <v>0</v>
      </c>
    </row>
    <row r="83" spans="1:30" x14ac:dyDescent="0.25">
      <c r="A83" s="9" t="s">
        <v>68</v>
      </c>
      <c r="B83" s="10">
        <v>4608</v>
      </c>
      <c r="C83" s="9">
        <v>0</v>
      </c>
      <c r="D83" s="9">
        <v>335</v>
      </c>
      <c r="E83" s="9">
        <v>220</v>
      </c>
      <c r="F83" s="9">
        <f t="shared" si="17"/>
        <v>555</v>
      </c>
      <c r="G83" s="9">
        <v>0</v>
      </c>
      <c r="H83" s="9">
        <v>0</v>
      </c>
      <c r="I83" s="9">
        <v>0</v>
      </c>
      <c r="J83" s="9">
        <f t="shared" si="18"/>
        <v>0</v>
      </c>
      <c r="K83" s="9">
        <f t="shared" si="18"/>
        <v>335</v>
      </c>
      <c r="L83" s="9">
        <f t="shared" si="18"/>
        <v>220</v>
      </c>
      <c r="M83" s="31">
        <f t="shared" si="19"/>
        <v>555</v>
      </c>
      <c r="N83" s="16">
        <f t="shared" ref="N83:N96" si="22">SUM(J83*$C$1)+SUM(K83*$D$3)+SUM(L83*$E$4)</f>
        <v>2162011.0096</v>
      </c>
      <c r="P83" s="11">
        <v>2081695.5736000002</v>
      </c>
      <c r="Q83" s="11">
        <f t="shared" si="20"/>
        <v>80315.435999999754</v>
      </c>
      <c r="S83" s="30">
        <v>0</v>
      </c>
      <c r="T83" s="30">
        <v>317</v>
      </c>
      <c r="U83" s="30">
        <v>241</v>
      </c>
      <c r="W83" s="11">
        <f t="shared" si="21"/>
        <v>0</v>
      </c>
      <c r="X83" s="11">
        <f t="shared" si="21"/>
        <v>18</v>
      </c>
      <c r="Y83" s="11">
        <f t="shared" si="21"/>
        <v>-21</v>
      </c>
      <c r="AC83" s="16">
        <v>2081695.5736000002</v>
      </c>
      <c r="AD83" s="16">
        <f t="shared" si="13"/>
        <v>0</v>
      </c>
    </row>
    <row r="84" spans="1:30" x14ac:dyDescent="0.25">
      <c r="A84" s="9" t="s">
        <v>111</v>
      </c>
      <c r="B84" s="10">
        <v>4178</v>
      </c>
      <c r="C84" s="9">
        <v>0</v>
      </c>
      <c r="D84" s="9">
        <v>781</v>
      </c>
      <c r="E84" s="9">
        <v>512</v>
      </c>
      <c r="F84" s="9">
        <f t="shared" si="17"/>
        <v>1293</v>
      </c>
      <c r="G84" s="9">
        <v>0</v>
      </c>
      <c r="H84" s="9">
        <v>0</v>
      </c>
      <c r="I84" s="9">
        <v>0</v>
      </c>
      <c r="J84" s="9">
        <f t="shared" si="18"/>
        <v>0</v>
      </c>
      <c r="K84" s="9">
        <f t="shared" si="18"/>
        <v>781</v>
      </c>
      <c r="L84" s="9">
        <f t="shared" si="18"/>
        <v>512</v>
      </c>
      <c r="M84" s="31">
        <f t="shared" si="19"/>
        <v>1293</v>
      </c>
      <c r="N84" s="16">
        <f t="shared" si="22"/>
        <v>5036660.9072000002</v>
      </c>
      <c r="P84" s="11">
        <v>4900434.6136000007</v>
      </c>
      <c r="Q84" s="11">
        <f t="shared" si="20"/>
        <v>136226.29359999951</v>
      </c>
      <c r="S84" s="30">
        <v>0</v>
      </c>
      <c r="T84" s="30">
        <v>783</v>
      </c>
      <c r="U84" s="30">
        <v>525</v>
      </c>
      <c r="W84" s="11">
        <f t="shared" si="21"/>
        <v>0</v>
      </c>
      <c r="X84" s="11">
        <f t="shared" si="21"/>
        <v>-2</v>
      </c>
      <c r="Y84" s="11">
        <f t="shared" si="21"/>
        <v>-13</v>
      </c>
      <c r="AC84" s="16">
        <v>4900434.6136000007</v>
      </c>
      <c r="AD84" s="16">
        <f t="shared" si="13"/>
        <v>0</v>
      </c>
    </row>
    <row r="85" spans="1:30" s="33" customFormat="1" x14ac:dyDescent="0.25">
      <c r="A85" s="729" t="s">
        <v>69</v>
      </c>
      <c r="B85" s="27">
        <v>4181</v>
      </c>
      <c r="C85" s="729">
        <v>0</v>
      </c>
      <c r="D85" s="729">
        <v>642</v>
      </c>
      <c r="E85" s="729">
        <v>439</v>
      </c>
      <c r="F85" s="729">
        <f t="shared" si="17"/>
        <v>1081</v>
      </c>
      <c r="G85" s="729">
        <v>0</v>
      </c>
      <c r="H85" s="732">
        <v>8</v>
      </c>
      <c r="I85" s="732">
        <v>8</v>
      </c>
      <c r="J85" s="729">
        <f t="shared" si="18"/>
        <v>0</v>
      </c>
      <c r="K85" s="729">
        <f t="shared" si="18"/>
        <v>634</v>
      </c>
      <c r="L85" s="729">
        <f t="shared" si="18"/>
        <v>431</v>
      </c>
      <c r="M85" s="730">
        <f t="shared" si="19"/>
        <v>1065</v>
      </c>
      <c r="N85" s="731">
        <f t="shared" si="22"/>
        <v>4152654.6613759999</v>
      </c>
      <c r="O85" s="733"/>
      <c r="P85" s="733">
        <v>3980652.8528</v>
      </c>
      <c r="Q85" s="733">
        <f t="shared" si="20"/>
        <v>172001.80857599992</v>
      </c>
      <c r="S85" s="33">
        <v>0</v>
      </c>
      <c r="T85" s="33">
        <v>643</v>
      </c>
      <c r="U85" s="33">
        <v>424</v>
      </c>
      <c r="W85" s="733">
        <f t="shared" si="21"/>
        <v>0</v>
      </c>
      <c r="X85" s="733">
        <f t="shared" si="21"/>
        <v>-9</v>
      </c>
      <c r="Y85" s="733">
        <f t="shared" si="21"/>
        <v>7</v>
      </c>
      <c r="AC85" s="16">
        <v>3980652.8528</v>
      </c>
      <c r="AD85" s="16">
        <f t="shared" si="13"/>
        <v>0</v>
      </c>
    </row>
    <row r="86" spans="1:30" x14ac:dyDescent="0.25">
      <c r="A86" s="9" t="s">
        <v>70</v>
      </c>
      <c r="B86" s="10">
        <v>4182</v>
      </c>
      <c r="C86" s="9">
        <v>0</v>
      </c>
      <c r="D86" s="9">
        <v>884</v>
      </c>
      <c r="E86" s="9">
        <v>544</v>
      </c>
      <c r="F86" s="9">
        <f t="shared" si="17"/>
        <v>1428</v>
      </c>
      <c r="G86" s="9">
        <v>0</v>
      </c>
      <c r="H86" s="9">
        <v>0</v>
      </c>
      <c r="I86" s="9">
        <v>0</v>
      </c>
      <c r="J86" s="9">
        <f t="shared" si="18"/>
        <v>0</v>
      </c>
      <c r="K86" s="9">
        <f t="shared" si="18"/>
        <v>884</v>
      </c>
      <c r="L86" s="9">
        <f t="shared" si="18"/>
        <v>544</v>
      </c>
      <c r="M86" s="31">
        <f t="shared" si="19"/>
        <v>1428</v>
      </c>
      <c r="N86" s="16">
        <f t="shared" si="22"/>
        <v>5552986.8459520005</v>
      </c>
      <c r="P86" s="11">
        <v>5223144.5624000002</v>
      </c>
      <c r="Q86" s="11">
        <f t="shared" si="20"/>
        <v>329842.2835520003</v>
      </c>
      <c r="S86" s="30">
        <v>0</v>
      </c>
      <c r="T86" s="30">
        <v>842</v>
      </c>
      <c r="U86" s="30">
        <v>530</v>
      </c>
      <c r="W86" s="11">
        <f t="shared" si="21"/>
        <v>0</v>
      </c>
      <c r="X86" s="11">
        <f t="shared" si="21"/>
        <v>42</v>
      </c>
      <c r="Y86" s="11">
        <f t="shared" si="21"/>
        <v>14</v>
      </c>
      <c r="AC86" s="16">
        <v>5223144.5624000002</v>
      </c>
      <c r="AD86" s="16">
        <f t="shared" si="13"/>
        <v>0</v>
      </c>
    </row>
    <row r="87" spans="1:30" s="33" customFormat="1" x14ac:dyDescent="0.25">
      <c r="A87" s="729" t="s">
        <v>71</v>
      </c>
      <c r="B87" s="28">
        <v>4001</v>
      </c>
      <c r="C87" s="729">
        <v>0</v>
      </c>
      <c r="D87" s="729">
        <v>400</v>
      </c>
      <c r="E87" s="729">
        <v>263</v>
      </c>
      <c r="F87" s="729">
        <f t="shared" si="17"/>
        <v>663</v>
      </c>
      <c r="G87" s="729">
        <v>0</v>
      </c>
      <c r="H87" s="729">
        <v>0</v>
      </c>
      <c r="I87" s="729">
        <v>0</v>
      </c>
      <c r="J87" s="729">
        <f t="shared" si="18"/>
        <v>0</v>
      </c>
      <c r="K87" s="729">
        <f t="shared" si="18"/>
        <v>400</v>
      </c>
      <c r="L87" s="729">
        <f t="shared" si="18"/>
        <v>263</v>
      </c>
      <c r="M87" s="730">
        <f t="shared" si="19"/>
        <v>663</v>
      </c>
      <c r="N87" s="731">
        <f t="shared" si="22"/>
        <v>2582810.8117760001</v>
      </c>
      <c r="O87" s="733"/>
      <c r="P87" s="733">
        <v>2753166.2944</v>
      </c>
      <c r="Q87" s="733">
        <f t="shared" si="20"/>
        <v>-170355.48262399994</v>
      </c>
      <c r="S87" s="33">
        <v>0</v>
      </c>
      <c r="T87" s="33">
        <v>426</v>
      </c>
      <c r="U87" s="33">
        <v>339</v>
      </c>
      <c r="W87" s="733">
        <f t="shared" si="21"/>
        <v>0</v>
      </c>
      <c r="X87" s="733">
        <f t="shared" si="21"/>
        <v>-26</v>
      </c>
      <c r="Y87" s="733">
        <f t="shared" si="21"/>
        <v>-76</v>
      </c>
      <c r="AC87" s="16">
        <v>2753166.2944</v>
      </c>
      <c r="AD87" s="16">
        <f t="shared" si="13"/>
        <v>0</v>
      </c>
    </row>
    <row r="88" spans="1:30" x14ac:dyDescent="0.25">
      <c r="A88" s="9" t="s">
        <v>112</v>
      </c>
      <c r="B88" s="10">
        <v>5406</v>
      </c>
      <c r="C88" s="9">
        <v>0</v>
      </c>
      <c r="D88" s="9">
        <v>509</v>
      </c>
      <c r="E88" s="9">
        <v>314</v>
      </c>
      <c r="F88" s="9">
        <f t="shared" si="17"/>
        <v>823</v>
      </c>
      <c r="G88" s="9">
        <v>0</v>
      </c>
      <c r="H88" s="9">
        <v>0</v>
      </c>
      <c r="I88" s="9">
        <v>0</v>
      </c>
      <c r="J88" s="9">
        <f t="shared" si="18"/>
        <v>0</v>
      </c>
      <c r="K88" s="9">
        <f t="shared" si="18"/>
        <v>509</v>
      </c>
      <c r="L88" s="9">
        <f t="shared" si="18"/>
        <v>314</v>
      </c>
      <c r="M88" s="31">
        <f t="shared" si="19"/>
        <v>823</v>
      </c>
      <c r="N88" s="16">
        <f t="shared" si="22"/>
        <v>3200567.6609920003</v>
      </c>
      <c r="P88" s="11">
        <v>3218421.4183999998</v>
      </c>
      <c r="Q88" s="11">
        <f t="shared" si="20"/>
        <v>-17853.757407999597</v>
      </c>
      <c r="S88" s="30">
        <v>0</v>
      </c>
      <c r="T88" s="30">
        <v>478</v>
      </c>
      <c r="U88" s="30">
        <v>372</v>
      </c>
      <c r="W88" s="11">
        <f t="shared" si="21"/>
        <v>0</v>
      </c>
      <c r="X88" s="11">
        <f t="shared" si="21"/>
        <v>31</v>
      </c>
      <c r="Y88" s="11">
        <f t="shared" si="21"/>
        <v>-58</v>
      </c>
      <c r="AC88" s="16">
        <v>3218421.4183999998</v>
      </c>
      <c r="AD88" s="16">
        <f t="shared" si="13"/>
        <v>0</v>
      </c>
    </row>
    <row r="89" spans="1:30" x14ac:dyDescent="0.25">
      <c r="A89" s="9" t="s">
        <v>113</v>
      </c>
      <c r="B89" s="10">
        <v>5407</v>
      </c>
      <c r="C89" s="9">
        <v>0</v>
      </c>
      <c r="D89" s="9">
        <v>730</v>
      </c>
      <c r="E89" s="9">
        <v>372</v>
      </c>
      <c r="F89" s="9">
        <f t="shared" si="17"/>
        <v>1102</v>
      </c>
      <c r="G89" s="9">
        <v>0</v>
      </c>
      <c r="H89" s="9">
        <v>0</v>
      </c>
      <c r="I89" s="9">
        <v>0</v>
      </c>
      <c r="J89" s="9">
        <f t="shared" si="18"/>
        <v>0</v>
      </c>
      <c r="K89" s="9">
        <f t="shared" si="18"/>
        <v>730</v>
      </c>
      <c r="L89" s="9">
        <f t="shared" si="18"/>
        <v>372</v>
      </c>
      <c r="M89" s="31">
        <f t="shared" si="19"/>
        <v>1102</v>
      </c>
      <c r="N89" s="16">
        <f t="shared" si="22"/>
        <v>4264023.7802240001</v>
      </c>
      <c r="P89" s="11">
        <v>3862558.3168000001</v>
      </c>
      <c r="Q89" s="11">
        <f t="shared" si="20"/>
        <v>401465.46342399996</v>
      </c>
      <c r="S89" s="30">
        <v>0</v>
      </c>
      <c r="T89" s="30">
        <v>612</v>
      </c>
      <c r="U89" s="30">
        <v>383</v>
      </c>
      <c r="W89" s="11">
        <f t="shared" si="21"/>
        <v>0</v>
      </c>
      <c r="X89" s="11">
        <f t="shared" si="21"/>
        <v>118</v>
      </c>
      <c r="Y89" s="11">
        <f t="shared" si="21"/>
        <v>-11</v>
      </c>
      <c r="AC89" s="16">
        <v>3862558.3168000001</v>
      </c>
      <c r="AD89" s="16">
        <f t="shared" si="13"/>
        <v>0</v>
      </c>
    </row>
    <row r="90" spans="1:30" s="33" customFormat="1" x14ac:dyDescent="0.25">
      <c r="A90" s="729" t="s">
        <v>72</v>
      </c>
      <c r="B90" s="27">
        <v>4607</v>
      </c>
      <c r="C90" s="729">
        <v>0</v>
      </c>
      <c r="D90" s="729">
        <v>699</v>
      </c>
      <c r="E90" s="729">
        <v>456</v>
      </c>
      <c r="F90" s="729">
        <f t="shared" si="17"/>
        <v>1155</v>
      </c>
      <c r="G90" s="729">
        <v>0</v>
      </c>
      <c r="H90" s="732">
        <v>10</v>
      </c>
      <c r="I90" s="732">
        <v>12</v>
      </c>
      <c r="J90" s="729">
        <f t="shared" si="18"/>
        <v>0</v>
      </c>
      <c r="K90" s="729">
        <f t="shared" si="18"/>
        <v>689</v>
      </c>
      <c r="L90" s="729">
        <f t="shared" si="18"/>
        <v>444</v>
      </c>
      <c r="M90" s="730">
        <f t="shared" si="19"/>
        <v>1133</v>
      </c>
      <c r="N90" s="731">
        <f t="shared" si="22"/>
        <v>4411342.9160320004</v>
      </c>
      <c r="O90" s="733"/>
      <c r="P90" s="733">
        <v>4286846.1655999999</v>
      </c>
      <c r="Q90" s="733">
        <f t="shared" si="20"/>
        <v>124496.7504320005</v>
      </c>
      <c r="S90" s="33">
        <v>0</v>
      </c>
      <c r="T90" s="33">
        <v>701</v>
      </c>
      <c r="U90" s="33">
        <v>455</v>
      </c>
      <c r="W90" s="733">
        <f t="shared" si="21"/>
        <v>0</v>
      </c>
      <c r="X90" s="733">
        <f t="shared" si="21"/>
        <v>-12</v>
      </c>
      <c r="Y90" s="733">
        <f t="shared" si="21"/>
        <v>-11</v>
      </c>
      <c r="AC90" s="16">
        <v>4286846.1655999999</v>
      </c>
      <c r="AD90" s="16">
        <f t="shared" si="13"/>
        <v>0</v>
      </c>
    </row>
    <row r="91" spans="1:30" s="33" customFormat="1" x14ac:dyDescent="0.25">
      <c r="A91" s="729" t="s">
        <v>137</v>
      </c>
      <c r="B91" s="28">
        <v>4002</v>
      </c>
      <c r="C91" s="729">
        <v>0</v>
      </c>
      <c r="D91" s="729">
        <v>487</v>
      </c>
      <c r="E91" s="729">
        <v>282</v>
      </c>
      <c r="F91" s="729">
        <f t="shared" si="17"/>
        <v>769</v>
      </c>
      <c r="G91" s="729">
        <v>0</v>
      </c>
      <c r="H91" s="729">
        <v>0</v>
      </c>
      <c r="I91" s="729">
        <v>0</v>
      </c>
      <c r="J91" s="729">
        <f t="shared" si="18"/>
        <v>0</v>
      </c>
      <c r="K91" s="729">
        <f t="shared" si="18"/>
        <v>487</v>
      </c>
      <c r="L91" s="729">
        <f t="shared" si="18"/>
        <v>282</v>
      </c>
      <c r="M91" s="730">
        <f t="shared" si="19"/>
        <v>769</v>
      </c>
      <c r="N91" s="731">
        <f t="shared" si="22"/>
        <v>2985497.6428159997</v>
      </c>
      <c r="O91" s="733"/>
      <c r="P91" s="733">
        <v>2925522.5912000001</v>
      </c>
      <c r="Q91" s="733">
        <f t="shared" si="20"/>
        <v>59975.051615999546</v>
      </c>
      <c r="S91" s="33">
        <v>0</v>
      </c>
      <c r="T91" s="33">
        <v>368</v>
      </c>
      <c r="U91" s="33">
        <v>382</v>
      </c>
      <c r="W91" s="733">
        <f t="shared" si="21"/>
        <v>0</v>
      </c>
      <c r="X91" s="733">
        <f t="shared" si="21"/>
        <v>119</v>
      </c>
      <c r="Y91" s="733">
        <f t="shared" si="21"/>
        <v>-100</v>
      </c>
      <c r="AC91" s="16">
        <v>2925522.5912000001</v>
      </c>
      <c r="AD91" s="16">
        <f t="shared" si="13"/>
        <v>0</v>
      </c>
    </row>
    <row r="92" spans="1:30" s="33" customFormat="1" x14ac:dyDescent="0.25">
      <c r="A92" s="729" t="s">
        <v>74</v>
      </c>
      <c r="B92" s="27">
        <v>5412</v>
      </c>
      <c r="C92" s="729">
        <v>0</v>
      </c>
      <c r="D92" s="729">
        <v>770</v>
      </c>
      <c r="E92" s="729">
        <v>484</v>
      </c>
      <c r="F92" s="729">
        <f t="shared" si="17"/>
        <v>1254</v>
      </c>
      <c r="G92" s="729">
        <v>0</v>
      </c>
      <c r="H92" s="729">
        <v>0</v>
      </c>
      <c r="I92" s="729">
        <v>0</v>
      </c>
      <c r="J92" s="729">
        <f t="shared" si="18"/>
        <v>0</v>
      </c>
      <c r="K92" s="729">
        <f t="shared" si="18"/>
        <v>770</v>
      </c>
      <c r="L92" s="729">
        <f t="shared" si="18"/>
        <v>484</v>
      </c>
      <c r="M92" s="730">
        <f t="shared" si="19"/>
        <v>1254</v>
      </c>
      <c r="N92" s="731">
        <f t="shared" si="22"/>
        <v>4879158.1146879997</v>
      </c>
      <c r="O92" s="733"/>
      <c r="P92" s="733">
        <v>4714629</v>
      </c>
      <c r="Q92" s="733">
        <f t="shared" si="20"/>
        <v>164529.11468799971</v>
      </c>
      <c r="S92" s="33">
        <v>0</v>
      </c>
      <c r="T92" s="33">
        <v>742</v>
      </c>
      <c r="U92" s="33">
        <v>501</v>
      </c>
      <c r="W92" s="733">
        <f t="shared" si="21"/>
        <v>0</v>
      </c>
      <c r="X92" s="733">
        <f t="shared" si="21"/>
        <v>28</v>
      </c>
      <c r="Y92" s="733">
        <f t="shared" si="21"/>
        <v>-17</v>
      </c>
      <c r="AC92" s="16">
        <v>4714629</v>
      </c>
      <c r="AD92" s="16">
        <f t="shared" si="13"/>
        <v>0</v>
      </c>
    </row>
    <row r="93" spans="1:30" s="33" customFormat="1" x14ac:dyDescent="0.25">
      <c r="A93" s="729" t="s">
        <v>73</v>
      </c>
      <c r="B93" s="27">
        <v>5414</v>
      </c>
      <c r="C93" s="729">
        <v>0</v>
      </c>
      <c r="D93" s="729">
        <v>657</v>
      </c>
      <c r="E93" s="729">
        <v>415</v>
      </c>
      <c r="F93" s="729">
        <f t="shared" si="17"/>
        <v>1072</v>
      </c>
      <c r="G93" s="729">
        <v>0</v>
      </c>
      <c r="H93" s="729">
        <v>0</v>
      </c>
      <c r="I93" s="732">
        <v>14</v>
      </c>
      <c r="J93" s="729">
        <f t="shared" si="18"/>
        <v>0</v>
      </c>
      <c r="K93" s="729">
        <f t="shared" si="18"/>
        <v>657</v>
      </c>
      <c r="L93" s="729">
        <f t="shared" si="18"/>
        <v>401</v>
      </c>
      <c r="M93" s="730">
        <f t="shared" si="19"/>
        <v>1058</v>
      </c>
      <c r="N93" s="731">
        <f t="shared" si="22"/>
        <v>4113277.0074239997</v>
      </c>
      <c r="O93" s="733"/>
      <c r="P93" s="733">
        <v>3892996.2856000001</v>
      </c>
      <c r="Q93" s="733">
        <f t="shared" si="20"/>
        <v>220280.72182399966</v>
      </c>
      <c r="S93" s="33">
        <v>0</v>
      </c>
      <c r="T93" s="33">
        <v>632</v>
      </c>
      <c r="U93" s="33">
        <v>391</v>
      </c>
      <c r="W93" s="733">
        <f t="shared" si="21"/>
        <v>0</v>
      </c>
      <c r="X93" s="733">
        <f t="shared" si="21"/>
        <v>25</v>
      </c>
      <c r="Y93" s="733">
        <f t="shared" si="21"/>
        <v>10</v>
      </c>
      <c r="AC93" s="16">
        <v>3892996.2856000001</v>
      </c>
      <c r="AD93" s="16">
        <f t="shared" si="13"/>
        <v>0</v>
      </c>
    </row>
    <row r="94" spans="1:30" s="33" customFormat="1" x14ac:dyDescent="0.25">
      <c r="A94" s="729" t="s">
        <v>1306</v>
      </c>
      <c r="B94" s="27">
        <v>4003</v>
      </c>
      <c r="C94" s="729">
        <v>0</v>
      </c>
      <c r="D94" s="729">
        <v>0</v>
      </c>
      <c r="E94" s="729">
        <v>200</v>
      </c>
      <c r="F94" s="729">
        <f t="shared" ref="F94" si="23">SUM(C94:E94)</f>
        <v>200</v>
      </c>
      <c r="G94" s="729">
        <v>0</v>
      </c>
      <c r="H94" s="729">
        <v>0</v>
      </c>
      <c r="I94" s="729">
        <v>0</v>
      </c>
      <c r="J94" s="729">
        <f t="shared" si="18"/>
        <v>0</v>
      </c>
      <c r="K94" s="729">
        <f t="shared" si="18"/>
        <v>0</v>
      </c>
      <c r="L94" s="729">
        <f t="shared" si="18"/>
        <v>200</v>
      </c>
      <c r="M94" s="730">
        <f t="shared" si="19"/>
        <v>200</v>
      </c>
      <c r="N94" s="731">
        <f t="shared" si="22"/>
        <v>832796.39040000003</v>
      </c>
      <c r="O94" s="733"/>
      <c r="P94" s="733">
        <v>520497.74400000001</v>
      </c>
      <c r="Q94" s="733">
        <f t="shared" si="20"/>
        <v>312298.64640000003</v>
      </c>
      <c r="R94" s="33" t="s">
        <v>847</v>
      </c>
      <c r="S94" s="33">
        <v>0</v>
      </c>
      <c r="T94" s="33">
        <v>0</v>
      </c>
      <c r="U94" s="33">
        <v>0</v>
      </c>
      <c r="W94" s="733">
        <f t="shared" si="21"/>
        <v>0</v>
      </c>
      <c r="X94" s="733">
        <f t="shared" si="21"/>
        <v>0</v>
      </c>
      <c r="Y94" s="733">
        <f t="shared" si="21"/>
        <v>200</v>
      </c>
      <c r="AC94" s="16">
        <v>0</v>
      </c>
      <c r="AD94" s="16">
        <f t="shared" si="13"/>
        <v>-520497.74400000001</v>
      </c>
    </row>
    <row r="95" spans="1:30" s="33" customFormat="1" x14ac:dyDescent="0.25">
      <c r="A95" s="729" t="s">
        <v>846</v>
      </c>
      <c r="B95" s="27">
        <v>4000</v>
      </c>
      <c r="C95" s="729">
        <v>0</v>
      </c>
      <c r="D95" s="729">
        <v>0</v>
      </c>
      <c r="E95" s="729">
        <v>0</v>
      </c>
      <c r="F95" s="729">
        <f t="shared" si="17"/>
        <v>0</v>
      </c>
      <c r="G95" s="729">
        <v>0</v>
      </c>
      <c r="H95" s="729">
        <v>0</v>
      </c>
      <c r="I95" s="729">
        <v>0</v>
      </c>
      <c r="J95" s="729">
        <f t="shared" si="18"/>
        <v>0</v>
      </c>
      <c r="K95" s="729">
        <f t="shared" si="18"/>
        <v>0</v>
      </c>
      <c r="L95" s="729">
        <f t="shared" si="18"/>
        <v>0</v>
      </c>
      <c r="M95" s="730">
        <f t="shared" si="19"/>
        <v>0</v>
      </c>
      <c r="N95" s="731">
        <f t="shared" si="22"/>
        <v>0</v>
      </c>
      <c r="O95" s="733"/>
      <c r="P95" s="1110">
        <v>0</v>
      </c>
      <c r="Q95" s="733">
        <f t="shared" si="20"/>
        <v>0</v>
      </c>
      <c r="S95" s="33">
        <v>0</v>
      </c>
      <c r="T95" s="33">
        <v>0</v>
      </c>
      <c r="U95" s="33">
        <v>0</v>
      </c>
      <c r="W95" s="733">
        <f t="shared" si="21"/>
        <v>0</v>
      </c>
      <c r="X95" s="733">
        <f t="shared" si="21"/>
        <v>0</v>
      </c>
      <c r="Y95" s="733">
        <f t="shared" si="21"/>
        <v>0</v>
      </c>
      <c r="AC95" s="16">
        <v>0</v>
      </c>
      <c r="AD95" s="16">
        <f t="shared" si="13"/>
        <v>0</v>
      </c>
    </row>
    <row r="96" spans="1:30" s="33" customFormat="1" x14ac:dyDescent="0.25">
      <c r="A96" s="729" t="s">
        <v>569</v>
      </c>
      <c r="B96" s="27">
        <v>6905</v>
      </c>
      <c r="C96" s="729">
        <v>0</v>
      </c>
      <c r="D96" s="729">
        <v>500</v>
      </c>
      <c r="E96" s="729">
        <v>330</v>
      </c>
      <c r="F96" s="729">
        <f t="shared" si="17"/>
        <v>830</v>
      </c>
      <c r="G96" s="729">
        <v>0</v>
      </c>
      <c r="H96" s="729">
        <v>0</v>
      </c>
      <c r="I96" s="729">
        <v>0</v>
      </c>
      <c r="J96" s="729">
        <f t="shared" si="18"/>
        <v>0</v>
      </c>
      <c r="K96" s="729">
        <f t="shared" si="18"/>
        <v>500</v>
      </c>
      <c r="L96" s="729">
        <f t="shared" si="18"/>
        <v>330</v>
      </c>
      <c r="M96" s="730">
        <f t="shared" si="19"/>
        <v>830</v>
      </c>
      <c r="N96" s="731">
        <f t="shared" si="22"/>
        <v>3233718.4921599999</v>
      </c>
      <c r="O96" s="733"/>
      <c r="P96" s="733">
        <v>3162404.6424000002</v>
      </c>
      <c r="Q96" s="733">
        <f t="shared" si="20"/>
        <v>71313.849759999663</v>
      </c>
      <c r="R96" s="33" t="s">
        <v>847</v>
      </c>
      <c r="S96" s="33">
        <v>0</v>
      </c>
      <c r="T96" s="33">
        <v>0</v>
      </c>
      <c r="U96" s="33">
        <v>0</v>
      </c>
      <c r="W96" s="733">
        <f t="shared" si="21"/>
        <v>0</v>
      </c>
      <c r="X96" s="733">
        <f t="shared" si="21"/>
        <v>500</v>
      </c>
      <c r="Y96" s="733">
        <f t="shared" si="21"/>
        <v>330</v>
      </c>
      <c r="AC96" s="16">
        <v>3162404.6424000002</v>
      </c>
      <c r="AD96" s="16">
        <f t="shared" si="13"/>
        <v>0</v>
      </c>
    </row>
    <row r="97" spans="1:30" x14ac:dyDescent="0.25">
      <c r="A97" s="9"/>
      <c r="B97" s="10"/>
      <c r="C97" s="9"/>
      <c r="D97" s="9"/>
      <c r="E97" s="9"/>
      <c r="F97" s="9"/>
      <c r="G97" s="9"/>
      <c r="H97" s="9"/>
      <c r="I97" s="9"/>
      <c r="J97" s="9"/>
      <c r="K97" s="9"/>
      <c r="L97" s="9"/>
      <c r="M97" s="31"/>
      <c r="N97" s="16"/>
      <c r="AC97" s="16"/>
      <c r="AD97" s="16">
        <f t="shared" si="13"/>
        <v>0</v>
      </c>
    </row>
    <row r="98" spans="1:30" x14ac:dyDescent="0.25">
      <c r="A98" s="1" t="s">
        <v>115</v>
      </c>
      <c r="B98" s="1" t="s">
        <v>115</v>
      </c>
      <c r="C98" s="1">
        <f t="shared" ref="C98:Y98" si="24">SUM(C82:C97)</f>
        <v>0</v>
      </c>
      <c r="D98" s="1">
        <f t="shared" si="24"/>
        <v>8201</v>
      </c>
      <c r="E98" s="1">
        <f t="shared" si="24"/>
        <v>5342</v>
      </c>
      <c r="F98" s="1">
        <f t="shared" si="24"/>
        <v>13543</v>
      </c>
      <c r="G98" s="1">
        <f t="shared" si="24"/>
        <v>0</v>
      </c>
      <c r="H98" s="1">
        <f t="shared" si="24"/>
        <v>18</v>
      </c>
      <c r="I98" s="1">
        <f t="shared" si="24"/>
        <v>34</v>
      </c>
      <c r="J98" s="1">
        <f t="shared" si="24"/>
        <v>0</v>
      </c>
      <c r="K98" s="1">
        <f t="shared" si="24"/>
        <v>8183</v>
      </c>
      <c r="L98" s="1">
        <f t="shared" si="24"/>
        <v>5308</v>
      </c>
      <c r="M98" s="735">
        <f t="shared" si="24"/>
        <v>13491</v>
      </c>
      <c r="N98" s="1">
        <f t="shared" si="24"/>
        <v>52536702.597183995</v>
      </c>
      <c r="P98" s="1">
        <f t="shared" si="24"/>
        <v>50493335.260800004</v>
      </c>
      <c r="Q98" s="1">
        <f t="shared" si="24"/>
        <v>2043367.3363839989</v>
      </c>
      <c r="R98" s="1"/>
      <c r="S98" s="1">
        <f t="shared" si="24"/>
        <v>0</v>
      </c>
      <c r="T98" s="1">
        <f t="shared" si="24"/>
        <v>7328</v>
      </c>
      <c r="U98" s="1">
        <f t="shared" si="24"/>
        <v>5092</v>
      </c>
      <c r="W98" s="1">
        <f t="shared" si="24"/>
        <v>0</v>
      </c>
      <c r="X98" s="1">
        <f t="shared" si="24"/>
        <v>855</v>
      </c>
      <c r="Y98" s="1">
        <f t="shared" si="24"/>
        <v>216</v>
      </c>
      <c r="AC98" s="1">
        <f t="shared" ref="AC98" si="25">SUM(AC82:AC97)</f>
        <v>49972837.516800001</v>
      </c>
      <c r="AD98" s="16">
        <f t="shared" si="13"/>
        <v>-520497.74400000274</v>
      </c>
    </row>
    <row r="99" spans="1:30" x14ac:dyDescent="0.25">
      <c r="A99" s="1"/>
      <c r="B99" s="1"/>
      <c r="C99" s="1"/>
      <c r="D99" s="1"/>
      <c r="E99" s="1"/>
      <c r="F99" s="1"/>
      <c r="G99" s="1"/>
      <c r="H99" s="1"/>
      <c r="I99" s="1"/>
      <c r="J99" s="1"/>
      <c r="K99" s="1"/>
      <c r="L99" s="1"/>
      <c r="M99" s="735"/>
      <c r="N99" s="1"/>
      <c r="S99" s="11"/>
      <c r="T99" s="11"/>
      <c r="U99" s="11"/>
      <c r="AC99" s="16"/>
      <c r="AD99" s="16">
        <f t="shared" si="13"/>
        <v>0</v>
      </c>
    </row>
    <row r="100" spans="1:30" x14ac:dyDescent="0.25">
      <c r="A100" s="9" t="s">
        <v>114</v>
      </c>
      <c r="B100" s="10">
        <v>4177</v>
      </c>
      <c r="C100" s="9">
        <v>141.625</v>
      </c>
      <c r="D100" s="9">
        <v>395</v>
      </c>
      <c r="E100" s="9">
        <v>257</v>
      </c>
      <c r="F100" s="9">
        <f t="shared" ref="F100" si="26">SUM(C100:E100)</f>
        <v>793.625</v>
      </c>
      <c r="G100" s="9">
        <v>0</v>
      </c>
      <c r="H100" s="732">
        <v>25</v>
      </c>
      <c r="I100" s="732">
        <v>20</v>
      </c>
      <c r="J100" s="9">
        <f t="shared" ref="J100:L100" si="27">C100-G100</f>
        <v>141.625</v>
      </c>
      <c r="K100" s="9">
        <f t="shared" si="27"/>
        <v>370</v>
      </c>
      <c r="L100" s="9">
        <f t="shared" si="27"/>
        <v>237</v>
      </c>
      <c r="M100" s="31">
        <f>SUM(J100:L100)</f>
        <v>748.625</v>
      </c>
      <c r="N100" s="16">
        <f>SUM(J100*$C$1)+SUM(K100*$D$3)+SUM(L100*$E$4)</f>
        <v>2739005.5803370001</v>
      </c>
      <c r="P100" s="11">
        <v>2527026.7558500003</v>
      </c>
      <c r="Q100" s="11">
        <f t="shared" ref="Q100" si="28">N100-P100</f>
        <v>211978.82448699977</v>
      </c>
      <c r="S100" s="30">
        <v>43.75</v>
      </c>
      <c r="T100" s="30">
        <v>306</v>
      </c>
      <c r="U100" s="30">
        <v>262</v>
      </c>
      <c r="W100" s="11">
        <f t="shared" ref="W100:Y100" si="29">J100-S100</f>
        <v>97.875</v>
      </c>
      <c r="X100" s="11">
        <f t="shared" si="29"/>
        <v>64</v>
      </c>
      <c r="Y100" s="11">
        <f t="shared" si="29"/>
        <v>-25</v>
      </c>
      <c r="AC100" s="16">
        <v>2527026.7558500003</v>
      </c>
      <c r="AD100" s="16">
        <f t="shared" si="13"/>
        <v>0</v>
      </c>
    </row>
    <row r="101" spans="1:30" x14ac:dyDescent="0.25">
      <c r="A101" s="1"/>
      <c r="B101" s="1"/>
      <c r="C101" s="1"/>
      <c r="D101" s="1"/>
      <c r="E101" s="1"/>
      <c r="F101" s="1"/>
      <c r="G101" s="1"/>
      <c r="H101" s="1"/>
      <c r="I101" s="1"/>
      <c r="J101" s="1"/>
      <c r="K101" s="1"/>
      <c r="L101" s="1"/>
      <c r="M101" s="735"/>
      <c r="N101" s="1"/>
      <c r="AC101" s="16"/>
      <c r="AD101" s="16">
        <f t="shared" si="13"/>
        <v>0</v>
      </c>
    </row>
    <row r="102" spans="1:30" x14ac:dyDescent="0.25">
      <c r="A102" s="1" t="s">
        <v>848</v>
      </c>
      <c r="B102" s="1" t="s">
        <v>849</v>
      </c>
      <c r="C102" s="1">
        <f>C100</f>
        <v>141.625</v>
      </c>
      <c r="D102" s="1">
        <f t="shared" ref="D102:Y102" si="30">D100</f>
        <v>395</v>
      </c>
      <c r="E102" s="1">
        <f t="shared" si="30"/>
        <v>257</v>
      </c>
      <c r="F102" s="1">
        <f t="shared" si="30"/>
        <v>793.625</v>
      </c>
      <c r="G102" s="1">
        <f t="shared" si="30"/>
        <v>0</v>
      </c>
      <c r="H102" s="1">
        <f t="shared" si="30"/>
        <v>25</v>
      </c>
      <c r="I102" s="1">
        <f t="shared" si="30"/>
        <v>20</v>
      </c>
      <c r="J102" s="1">
        <f t="shared" si="30"/>
        <v>141.625</v>
      </c>
      <c r="K102" s="1">
        <f t="shared" si="30"/>
        <v>370</v>
      </c>
      <c r="L102" s="1">
        <f t="shared" si="30"/>
        <v>237</v>
      </c>
      <c r="M102" s="735">
        <f t="shared" si="30"/>
        <v>748.625</v>
      </c>
      <c r="N102" s="1">
        <f t="shared" si="30"/>
        <v>2739005.5803370001</v>
      </c>
      <c r="P102" s="1">
        <f t="shared" si="30"/>
        <v>2527026.7558500003</v>
      </c>
      <c r="Q102" s="1">
        <f t="shared" si="30"/>
        <v>211978.82448699977</v>
      </c>
      <c r="R102" s="1"/>
      <c r="S102" s="1">
        <f t="shared" si="30"/>
        <v>43.75</v>
      </c>
      <c r="T102" s="1">
        <f t="shared" si="30"/>
        <v>306</v>
      </c>
      <c r="U102" s="1">
        <f t="shared" si="30"/>
        <v>262</v>
      </c>
      <c r="W102" s="1">
        <f t="shared" si="30"/>
        <v>97.875</v>
      </c>
      <c r="X102" s="1">
        <f t="shared" si="30"/>
        <v>64</v>
      </c>
      <c r="Y102" s="1">
        <f t="shared" si="30"/>
        <v>-25</v>
      </c>
      <c r="AC102" s="1">
        <f t="shared" ref="AC102" si="31">AC100</f>
        <v>2527026.7558500003</v>
      </c>
      <c r="AD102" s="16">
        <f t="shared" si="13"/>
        <v>0</v>
      </c>
    </row>
    <row r="103" spans="1:30" x14ac:dyDescent="0.25">
      <c r="A103" s="1"/>
      <c r="B103" s="10"/>
      <c r="C103" s="9"/>
      <c r="D103" s="9"/>
      <c r="E103" s="9"/>
      <c r="F103" s="9"/>
      <c r="G103" s="9"/>
      <c r="H103" s="9"/>
      <c r="I103" s="9"/>
      <c r="J103" s="9"/>
      <c r="K103" s="9"/>
      <c r="L103" s="9"/>
      <c r="M103" s="31"/>
      <c r="N103" s="16"/>
      <c r="AC103" s="16"/>
      <c r="AD103" s="16">
        <f t="shared" si="13"/>
        <v>0</v>
      </c>
    </row>
    <row r="104" spans="1:30" x14ac:dyDescent="0.25">
      <c r="A104" s="1" t="s">
        <v>116</v>
      </c>
      <c r="B104" s="1" t="s">
        <v>117</v>
      </c>
      <c r="C104" s="1">
        <f>SUM(C98,C80+C102)</f>
        <v>22555.041666666664</v>
      </c>
      <c r="D104" s="1">
        <f t="shared" ref="D104:M104" si="32">SUM(D98,D80+D102)</f>
        <v>8596</v>
      </c>
      <c r="E104" s="1">
        <f t="shared" si="32"/>
        <v>5599</v>
      </c>
      <c r="F104" s="1">
        <f t="shared" si="32"/>
        <v>36750.041666666664</v>
      </c>
      <c r="G104" s="1">
        <f t="shared" si="32"/>
        <v>160</v>
      </c>
      <c r="H104" s="1">
        <f t="shared" si="32"/>
        <v>43</v>
      </c>
      <c r="I104" s="1">
        <f t="shared" si="32"/>
        <v>54</v>
      </c>
      <c r="J104" s="1">
        <f>SUM(J98,J80+J102)</f>
        <v>22395.041666666664</v>
      </c>
      <c r="K104" s="1">
        <f t="shared" si="32"/>
        <v>8553</v>
      </c>
      <c r="L104" s="1">
        <f t="shared" si="32"/>
        <v>5545</v>
      </c>
      <c r="M104" s="735">
        <f t="shared" si="32"/>
        <v>36493.041666666664</v>
      </c>
      <c r="N104" s="1">
        <f>SUM(N98,N80+N102)</f>
        <v>114361702.05262834</v>
      </c>
      <c r="P104" s="1">
        <f t="shared" ref="P104" si="33">SUM(P98,P80+P102)</f>
        <v>108954514.44194999</v>
      </c>
      <c r="S104" s="1">
        <f t="shared" ref="S104:Y104" si="34">SUM(S98,S80+S102)</f>
        <v>21365.75</v>
      </c>
      <c r="T104" s="1">
        <f t="shared" si="34"/>
        <v>7634</v>
      </c>
      <c r="U104" s="1">
        <f t="shared" si="34"/>
        <v>5354</v>
      </c>
      <c r="W104" s="1">
        <f t="shared" si="34"/>
        <v>1029.2916666666667</v>
      </c>
      <c r="X104" s="1">
        <f t="shared" si="34"/>
        <v>919</v>
      </c>
      <c r="Y104" s="1">
        <f t="shared" si="34"/>
        <v>191</v>
      </c>
      <c r="AC104" s="1">
        <f t="shared" ref="AC104" si="35">SUM(AC98,AC80+AC102)</f>
        <v>109286725.94575</v>
      </c>
      <c r="AD104" s="16">
        <f t="shared" si="13"/>
        <v>332211.50380000472</v>
      </c>
    </row>
    <row r="105" spans="1:30" x14ac:dyDescent="0.25">
      <c r="M105" s="11"/>
      <c r="N105" s="14">
        <f>N104-N95-N78-N22</f>
        <v>112668384.87988633</v>
      </c>
      <c r="S105" s="11"/>
      <c r="T105" s="11"/>
      <c r="U105" s="11"/>
      <c r="AD105" s="16">
        <f t="shared" si="13"/>
        <v>0</v>
      </c>
    </row>
    <row r="106" spans="1:30" x14ac:dyDescent="0.25">
      <c r="AD106" s="16">
        <f t="shared" si="13"/>
        <v>0</v>
      </c>
    </row>
    <row r="107" spans="1:30" x14ac:dyDescent="0.25">
      <c r="A107" s="9"/>
      <c r="AD107" s="16">
        <f t="shared" si="13"/>
        <v>0</v>
      </c>
    </row>
    <row r="108" spans="1:30" x14ac:dyDescent="0.25">
      <c r="A108" s="1"/>
      <c r="AD108" s="16">
        <f t="shared" si="13"/>
        <v>0</v>
      </c>
    </row>
    <row r="109" spans="1:30" x14ac:dyDescent="0.25">
      <c r="A109" s="1"/>
      <c r="AD109" s="16">
        <f t="shared" si="13"/>
        <v>0</v>
      </c>
    </row>
    <row r="110" spans="1:30" x14ac:dyDescent="0.25">
      <c r="AD110" s="16">
        <f t="shared" si="13"/>
        <v>0</v>
      </c>
    </row>
    <row r="111" spans="1:30" x14ac:dyDescent="0.25">
      <c r="A111" s="737" t="s">
        <v>1346</v>
      </c>
      <c r="B111" s="738"/>
      <c r="C111" s="737">
        <v>22107.5</v>
      </c>
      <c r="D111" s="737">
        <v>8377</v>
      </c>
      <c r="E111" s="737">
        <v>5670</v>
      </c>
      <c r="F111" s="737">
        <v>36154.5</v>
      </c>
      <c r="G111" s="737">
        <v>140</v>
      </c>
      <c r="H111" s="737">
        <v>43</v>
      </c>
      <c r="I111" s="737">
        <v>54</v>
      </c>
      <c r="J111" s="737">
        <v>21967.5</v>
      </c>
      <c r="K111" s="737">
        <v>8334</v>
      </c>
      <c r="L111" s="737">
        <v>5616</v>
      </c>
      <c r="M111" s="737">
        <v>35917.5</v>
      </c>
      <c r="N111" s="11"/>
      <c r="AD111" s="16">
        <f t="shared" si="13"/>
        <v>0</v>
      </c>
    </row>
    <row r="112" spans="1:30" x14ac:dyDescent="0.25">
      <c r="A112" s="11" t="s">
        <v>850</v>
      </c>
      <c r="B112" s="2">
        <v>2015</v>
      </c>
      <c r="C112" s="11">
        <f>C7+C17+C19+C36+C45+C67+C70+C82+C85+C87+C90+C91+C92+C93</f>
        <v>1643.75</v>
      </c>
      <c r="D112" s="11">
        <f t="shared" ref="D112:M112" si="36">D7+D17+D19+D36+D45+D67+D70+D82+D85+D87+D90+D91+D92+D93</f>
        <v>4462</v>
      </c>
      <c r="E112" s="11">
        <f t="shared" si="36"/>
        <v>2850</v>
      </c>
      <c r="F112" s="11">
        <f t="shared" si="36"/>
        <v>8955.75</v>
      </c>
      <c r="G112" s="11">
        <f t="shared" si="36"/>
        <v>0</v>
      </c>
      <c r="H112" s="11">
        <f t="shared" si="36"/>
        <v>18</v>
      </c>
      <c r="I112" s="11">
        <f t="shared" si="36"/>
        <v>34</v>
      </c>
      <c r="J112" s="11">
        <f t="shared" si="36"/>
        <v>1643.75</v>
      </c>
      <c r="K112" s="11">
        <f t="shared" si="36"/>
        <v>4444</v>
      </c>
      <c r="L112" s="11">
        <f t="shared" si="36"/>
        <v>2816</v>
      </c>
      <c r="M112" s="11">
        <f t="shared" si="36"/>
        <v>8903.75</v>
      </c>
      <c r="AD112" s="16">
        <f t="shared" si="13"/>
        <v>0</v>
      </c>
    </row>
    <row r="113" spans="1:30" x14ac:dyDescent="0.25">
      <c r="A113" s="11" t="s">
        <v>851</v>
      </c>
      <c r="B113" s="2">
        <v>2015</v>
      </c>
      <c r="C113" s="11">
        <f>C96+C78</f>
        <v>213.75</v>
      </c>
      <c r="D113" s="11">
        <f t="shared" ref="D113:M113" si="37">D96+D78</f>
        <v>500</v>
      </c>
      <c r="E113" s="11">
        <f t="shared" si="37"/>
        <v>330</v>
      </c>
      <c r="F113" s="11">
        <f t="shared" si="37"/>
        <v>1043.75</v>
      </c>
      <c r="G113" s="11">
        <f t="shared" si="37"/>
        <v>0</v>
      </c>
      <c r="H113" s="11">
        <f t="shared" si="37"/>
        <v>0</v>
      </c>
      <c r="I113" s="11">
        <f t="shared" si="37"/>
        <v>0</v>
      </c>
      <c r="J113" s="11">
        <f t="shared" si="37"/>
        <v>213.75</v>
      </c>
      <c r="K113" s="11">
        <f t="shared" si="37"/>
        <v>500</v>
      </c>
      <c r="L113" s="11">
        <f t="shared" si="37"/>
        <v>330</v>
      </c>
      <c r="M113" s="11">
        <f t="shared" si="37"/>
        <v>1043.75</v>
      </c>
    </row>
    <row r="114" spans="1:30" x14ac:dyDescent="0.25">
      <c r="A114" s="11" t="s">
        <v>609</v>
      </c>
      <c r="B114" s="2">
        <v>2015</v>
      </c>
      <c r="C114" s="11">
        <f>C104-C113-C112</f>
        <v>20697.541666666664</v>
      </c>
      <c r="D114" s="11">
        <f t="shared" ref="D114:M114" si="38">D104-D113-D112</f>
        <v>3634</v>
      </c>
      <c r="E114" s="11">
        <f t="shared" si="38"/>
        <v>2419</v>
      </c>
      <c r="F114" s="11">
        <f t="shared" si="38"/>
        <v>26750.541666666664</v>
      </c>
      <c r="G114" s="11">
        <f t="shared" si="38"/>
        <v>160</v>
      </c>
      <c r="H114" s="11">
        <f t="shared" si="38"/>
        <v>25</v>
      </c>
      <c r="I114" s="11">
        <f t="shared" si="38"/>
        <v>20</v>
      </c>
      <c r="J114" s="11">
        <f t="shared" si="38"/>
        <v>20537.541666666664</v>
      </c>
      <c r="K114" s="11">
        <f t="shared" si="38"/>
        <v>3609</v>
      </c>
      <c r="L114" s="11">
        <f t="shared" si="38"/>
        <v>2399</v>
      </c>
      <c r="M114" s="11">
        <f t="shared" si="38"/>
        <v>26545.541666666664</v>
      </c>
    </row>
    <row r="115" spans="1:30" x14ac:dyDescent="0.25">
      <c r="AD115" s="11"/>
    </row>
    <row r="116" spans="1:30" x14ac:dyDescent="0.25">
      <c r="A116" s="30"/>
      <c r="B116" s="30"/>
      <c r="C116" s="1250">
        <f>C1</f>
        <v>2655.1425679999998</v>
      </c>
      <c r="D116" s="1250"/>
      <c r="G116" s="30"/>
      <c r="H116" s="30"/>
      <c r="I116" s="30"/>
      <c r="J116" s="30"/>
      <c r="K116" s="30"/>
      <c r="L116" s="30"/>
      <c r="M116" s="30"/>
      <c r="N116" s="30"/>
      <c r="AD116" s="11"/>
    </row>
    <row r="117" spans="1:30" x14ac:dyDescent="0.25">
      <c r="AD117" s="11"/>
    </row>
    <row r="118" spans="1:30" x14ac:dyDescent="0.25">
      <c r="A118" s="30"/>
      <c r="B118" s="30"/>
      <c r="D118" s="1250">
        <f>D3</f>
        <v>3719.2088960000001</v>
      </c>
      <c r="E118" s="1250"/>
      <c r="G118" s="30"/>
      <c r="H118" s="30"/>
      <c r="I118" s="30"/>
      <c r="J118" s="30"/>
      <c r="K118" s="30"/>
      <c r="L118" s="30"/>
      <c r="M118" s="30"/>
      <c r="N118" s="30" t="s">
        <v>852</v>
      </c>
      <c r="O118" s="11" t="s">
        <v>128</v>
      </c>
      <c r="P118" s="11" t="s">
        <v>853</v>
      </c>
      <c r="AD118" s="11"/>
    </row>
    <row r="119" spans="1:30" x14ac:dyDescent="0.25">
      <c r="A119" s="30"/>
      <c r="B119" s="30"/>
      <c r="E119" s="1250">
        <f>E4</f>
        <v>4163.9819520000001</v>
      </c>
      <c r="F119" s="1250"/>
      <c r="G119" s="30"/>
      <c r="H119" s="30"/>
      <c r="I119" s="30"/>
      <c r="J119" s="30"/>
      <c r="K119" s="30"/>
      <c r="L119" s="30"/>
      <c r="M119" s="30"/>
      <c r="N119" s="11">
        <v>4479691.8169033825</v>
      </c>
      <c r="O119" s="11">
        <v>0</v>
      </c>
      <c r="P119" s="11">
        <f>O119+N119</f>
        <v>4479691.8169033825</v>
      </c>
      <c r="AA119" s="739"/>
      <c r="AB119" s="11"/>
      <c r="AD119" s="11">
        <f>AD118*AA119</f>
        <v>0</v>
      </c>
    </row>
    <row r="120" spans="1:30" x14ac:dyDescent="0.25">
      <c r="P120" s="11">
        <f>AD119</f>
        <v>0</v>
      </c>
      <c r="AA120" s="739"/>
      <c r="AB120" s="11"/>
      <c r="AD120" s="11">
        <f>AD118*AA120</f>
        <v>0</v>
      </c>
    </row>
    <row r="121" spans="1:30" x14ac:dyDescent="0.25">
      <c r="P121" s="11">
        <f>P120-P119</f>
        <v>-4479691.8169033825</v>
      </c>
      <c r="AA121" s="739"/>
      <c r="AB121" s="11"/>
      <c r="AD121" s="11"/>
    </row>
    <row r="122" spans="1:30" x14ac:dyDescent="0.25">
      <c r="P122" s="740">
        <f>P121/M104</f>
        <v>-122.75468451825998</v>
      </c>
      <c r="AB122" s="11"/>
      <c r="AD122" s="11"/>
    </row>
    <row r="123" spans="1:30" x14ac:dyDescent="0.25">
      <c r="A123" s="59" t="s">
        <v>238</v>
      </c>
      <c r="B123" s="59">
        <v>206189</v>
      </c>
      <c r="P123" s="11">
        <v>9.0779961129139499E-5</v>
      </c>
      <c r="AD123" s="11"/>
    </row>
    <row r="124" spans="1:30" x14ac:dyDescent="0.25">
      <c r="A124" s="59" t="s">
        <v>1301</v>
      </c>
      <c r="B124" s="59">
        <v>2014</v>
      </c>
    </row>
    <row r="125" spans="1:30" x14ac:dyDescent="0.25">
      <c r="A125" s="59" t="s">
        <v>10</v>
      </c>
      <c r="B125" s="59">
        <v>2012</v>
      </c>
    </row>
    <row r="126" spans="1:30" x14ac:dyDescent="0.25">
      <c r="A126" s="59" t="s">
        <v>73</v>
      </c>
      <c r="B126" s="59">
        <v>5414</v>
      </c>
    </row>
    <row r="127" spans="1:30" x14ac:dyDescent="0.25">
      <c r="A127" s="59" t="s">
        <v>846</v>
      </c>
      <c r="B127" s="59">
        <v>4000</v>
      </c>
    </row>
    <row r="128" spans="1:30" x14ac:dyDescent="0.25">
      <c r="A128" s="59" t="s">
        <v>11</v>
      </c>
      <c r="B128" s="59">
        <v>2443</v>
      </c>
    </row>
    <row r="129" spans="1:17" x14ac:dyDescent="0.25">
      <c r="A129" s="59" t="s">
        <v>94</v>
      </c>
      <c r="B129" s="59">
        <v>2442</v>
      </c>
      <c r="C129" s="30"/>
      <c r="D129" s="30"/>
      <c r="E129" s="30"/>
      <c r="F129" s="30"/>
      <c r="G129" s="30"/>
      <c r="H129" s="30"/>
      <c r="I129" s="30"/>
      <c r="J129" s="30"/>
      <c r="K129" s="30"/>
      <c r="L129" s="30"/>
      <c r="M129" s="30"/>
      <c r="N129" s="30"/>
      <c r="O129" s="30"/>
      <c r="P129" s="30"/>
      <c r="Q129" s="30"/>
    </row>
    <row r="130" spans="1:17" x14ac:dyDescent="0.25">
      <c r="A130" s="59" t="s">
        <v>241</v>
      </c>
      <c r="B130" s="59" t="s">
        <v>242</v>
      </c>
      <c r="C130" s="30"/>
      <c r="D130" s="30"/>
      <c r="E130" s="30"/>
      <c r="F130" s="30"/>
      <c r="G130" s="30"/>
      <c r="H130" s="30"/>
      <c r="I130" s="30"/>
      <c r="J130" s="30"/>
      <c r="K130" s="30"/>
      <c r="L130" s="30"/>
      <c r="M130" s="30"/>
      <c r="N130" s="30"/>
      <c r="O130" s="30"/>
      <c r="P130" s="30"/>
      <c r="Q130" s="30"/>
    </row>
    <row r="131" spans="1:17" x14ac:dyDescent="0.25">
      <c r="A131" s="59" t="s">
        <v>13</v>
      </c>
      <c r="B131" s="59">
        <v>2629</v>
      </c>
      <c r="C131" s="30"/>
      <c r="D131" s="30"/>
      <c r="E131" s="30"/>
      <c r="F131" s="30"/>
      <c r="G131" s="30"/>
      <c r="H131" s="30"/>
      <c r="I131" s="30"/>
      <c r="J131" s="30"/>
      <c r="K131" s="30"/>
      <c r="L131" s="30"/>
      <c r="M131" s="30"/>
      <c r="N131" s="30"/>
      <c r="O131" s="30"/>
      <c r="P131" s="30"/>
      <c r="Q131" s="30"/>
    </row>
    <row r="132" spans="1:17" x14ac:dyDescent="0.25">
      <c r="A132" s="59" t="s">
        <v>14</v>
      </c>
      <c r="B132" s="59">
        <v>2509</v>
      </c>
      <c r="C132" s="30"/>
      <c r="D132" s="30"/>
      <c r="E132" s="30"/>
      <c r="F132" s="30"/>
      <c r="G132" s="30"/>
      <c r="H132" s="30"/>
      <c r="I132" s="30"/>
      <c r="J132" s="30"/>
      <c r="K132" s="30"/>
      <c r="L132" s="30"/>
      <c r="M132" s="30"/>
      <c r="N132" s="30"/>
      <c r="O132" s="30"/>
      <c r="P132" s="30"/>
      <c r="Q132" s="30"/>
    </row>
    <row r="133" spans="1:17" x14ac:dyDescent="0.25">
      <c r="A133" s="59" t="s">
        <v>2</v>
      </c>
      <c r="B133" s="59">
        <v>1014</v>
      </c>
      <c r="C133" s="30"/>
      <c r="D133" s="30"/>
      <c r="E133" s="30"/>
      <c r="F133" s="30"/>
      <c r="G133" s="30"/>
      <c r="H133" s="30"/>
      <c r="I133" s="30"/>
      <c r="J133" s="30"/>
      <c r="K133" s="30"/>
      <c r="L133" s="30"/>
      <c r="M133" s="30"/>
      <c r="N133" s="30"/>
      <c r="O133" s="30"/>
      <c r="P133" s="30"/>
      <c r="Q133" s="30"/>
    </row>
    <row r="134" spans="1:17" x14ac:dyDescent="0.25">
      <c r="A134" s="59" t="s">
        <v>15</v>
      </c>
      <c r="B134" s="59">
        <v>2005</v>
      </c>
      <c r="C134" s="30"/>
      <c r="D134" s="30"/>
      <c r="E134" s="30"/>
      <c r="F134" s="30"/>
      <c r="G134" s="30"/>
      <c r="H134" s="30"/>
      <c r="I134" s="30"/>
      <c r="J134" s="30"/>
      <c r="K134" s="30"/>
      <c r="L134" s="30"/>
      <c r="M134" s="30"/>
      <c r="N134" s="30"/>
      <c r="O134" s="30"/>
      <c r="P134" s="30"/>
      <c r="Q134" s="30"/>
    </row>
    <row r="135" spans="1:17" x14ac:dyDescent="0.25">
      <c r="A135" s="59" t="s">
        <v>16</v>
      </c>
      <c r="B135" s="59">
        <v>2464</v>
      </c>
      <c r="C135" s="30"/>
      <c r="D135" s="30"/>
      <c r="E135" s="30"/>
      <c r="F135" s="30"/>
      <c r="G135" s="30"/>
      <c r="H135" s="30"/>
      <c r="I135" s="30"/>
      <c r="J135" s="30"/>
      <c r="K135" s="30"/>
      <c r="L135" s="30"/>
      <c r="M135" s="30"/>
      <c r="N135" s="30"/>
      <c r="O135" s="30"/>
      <c r="P135" s="30"/>
      <c r="Q135" s="30"/>
    </row>
    <row r="136" spans="1:17" x14ac:dyDescent="0.25">
      <c r="A136" s="59" t="s">
        <v>706</v>
      </c>
      <c r="B136" s="59" t="s">
        <v>708</v>
      </c>
      <c r="C136" s="30"/>
      <c r="D136" s="30"/>
      <c r="E136" s="30"/>
      <c r="F136" s="30"/>
      <c r="G136" s="30"/>
      <c r="H136" s="30"/>
      <c r="I136" s="30"/>
      <c r="J136" s="30"/>
      <c r="K136" s="30"/>
      <c r="L136" s="30"/>
      <c r="M136" s="30"/>
      <c r="N136" s="30"/>
      <c r="O136" s="30"/>
      <c r="P136" s="30"/>
      <c r="Q136" s="30"/>
    </row>
    <row r="137" spans="1:17" x14ac:dyDescent="0.25">
      <c r="A137" s="59" t="s">
        <v>17</v>
      </c>
      <c r="B137" s="59">
        <v>2004</v>
      </c>
      <c r="C137" s="30"/>
      <c r="D137" s="30"/>
      <c r="E137" s="30"/>
      <c r="F137" s="30"/>
      <c r="G137" s="30"/>
      <c r="H137" s="30"/>
      <c r="I137" s="30"/>
      <c r="J137" s="30"/>
      <c r="K137" s="30"/>
      <c r="L137" s="30"/>
      <c r="M137" s="30"/>
      <c r="N137" s="30"/>
      <c r="O137" s="30"/>
      <c r="P137" s="30"/>
      <c r="Q137" s="30"/>
    </row>
    <row r="138" spans="1:17" x14ac:dyDescent="0.25">
      <c r="A138" s="59" t="s">
        <v>18</v>
      </c>
      <c r="B138" s="59">
        <v>2405</v>
      </c>
      <c r="C138" s="30"/>
      <c r="D138" s="30"/>
      <c r="E138" s="30"/>
      <c r="F138" s="30"/>
      <c r="G138" s="30"/>
      <c r="H138" s="30"/>
      <c r="I138" s="30"/>
      <c r="J138" s="30"/>
      <c r="K138" s="30"/>
      <c r="L138" s="30"/>
      <c r="M138" s="30"/>
      <c r="N138" s="30"/>
      <c r="O138" s="30"/>
      <c r="P138" s="30"/>
      <c r="Q138" s="30"/>
    </row>
    <row r="139" spans="1:17" x14ac:dyDescent="0.25">
      <c r="A139" s="59" t="s">
        <v>243</v>
      </c>
      <c r="B139" s="59" t="s">
        <v>245</v>
      </c>
      <c r="C139" s="30"/>
      <c r="D139" s="30"/>
      <c r="E139" s="30"/>
      <c r="F139" s="30"/>
      <c r="G139" s="30"/>
      <c r="H139" s="30"/>
      <c r="I139" s="30"/>
      <c r="J139" s="30"/>
      <c r="K139" s="30"/>
      <c r="L139" s="30"/>
      <c r="M139" s="30"/>
      <c r="N139" s="30"/>
      <c r="O139" s="30"/>
      <c r="P139" s="30"/>
      <c r="Q139" s="30"/>
    </row>
    <row r="140" spans="1:17" x14ac:dyDescent="0.25">
      <c r="A140" s="59" t="s">
        <v>250</v>
      </c>
      <c r="B140" s="59" t="s">
        <v>709</v>
      </c>
      <c r="C140" s="30"/>
      <c r="D140" s="30"/>
      <c r="E140" s="30"/>
      <c r="F140" s="30"/>
      <c r="G140" s="30"/>
      <c r="H140" s="30"/>
      <c r="I140" s="30"/>
      <c r="J140" s="30"/>
      <c r="K140" s="30"/>
      <c r="L140" s="30"/>
      <c r="M140" s="30"/>
      <c r="N140" s="30"/>
      <c r="O140" s="30"/>
      <c r="P140" s="30"/>
      <c r="Q140" s="30"/>
    </row>
    <row r="141" spans="1:17" x14ac:dyDescent="0.25">
      <c r="A141" s="59" t="s">
        <v>246</v>
      </c>
      <c r="B141" s="59" t="s">
        <v>247</v>
      </c>
      <c r="C141" s="30"/>
      <c r="D141" s="30"/>
      <c r="E141" s="30"/>
      <c r="F141" s="30"/>
      <c r="G141" s="30"/>
      <c r="H141" s="30"/>
      <c r="I141" s="30"/>
      <c r="J141" s="30"/>
      <c r="K141" s="30"/>
      <c r="L141" s="30"/>
      <c r="M141" s="30"/>
      <c r="N141" s="30"/>
      <c r="O141" s="30"/>
      <c r="P141" s="30"/>
      <c r="Q141" s="30"/>
    </row>
    <row r="142" spans="1:17" x14ac:dyDescent="0.25">
      <c r="A142" s="59" t="s">
        <v>248</v>
      </c>
      <c r="B142" s="59" t="s">
        <v>249</v>
      </c>
      <c r="C142" s="30"/>
      <c r="D142" s="30"/>
      <c r="E142" s="30"/>
      <c r="F142" s="30"/>
      <c r="G142" s="30"/>
      <c r="H142" s="30"/>
      <c r="I142" s="30"/>
      <c r="J142" s="30"/>
      <c r="K142" s="30"/>
      <c r="L142" s="30"/>
      <c r="M142" s="30"/>
      <c r="N142" s="30"/>
      <c r="O142" s="30"/>
      <c r="P142" s="30"/>
      <c r="Q142" s="30"/>
    </row>
    <row r="143" spans="1:17" x14ac:dyDescent="0.25">
      <c r="A143" s="59" t="s">
        <v>19</v>
      </c>
      <c r="B143" s="59">
        <v>2011</v>
      </c>
      <c r="C143" s="30"/>
      <c r="D143" s="30"/>
      <c r="E143" s="30"/>
      <c r="F143" s="30"/>
      <c r="G143" s="30"/>
      <c r="H143" s="30"/>
      <c r="I143" s="30"/>
      <c r="J143" s="30"/>
      <c r="K143" s="30"/>
      <c r="L143" s="30"/>
      <c r="M143" s="30"/>
      <c r="N143" s="30"/>
      <c r="O143" s="30"/>
      <c r="P143" s="30"/>
      <c r="Q143" s="30"/>
    </row>
    <row r="144" spans="1:17" x14ac:dyDescent="0.25">
      <c r="A144" s="59" t="s">
        <v>251</v>
      </c>
      <c r="B144" s="59" t="s">
        <v>252</v>
      </c>
      <c r="C144" s="30"/>
      <c r="D144" s="30"/>
      <c r="E144" s="30"/>
      <c r="F144" s="30"/>
      <c r="G144" s="30"/>
      <c r="H144" s="30"/>
      <c r="I144" s="30"/>
      <c r="J144" s="30"/>
      <c r="K144" s="30"/>
      <c r="L144" s="30"/>
      <c r="M144" s="30"/>
      <c r="N144" s="30"/>
      <c r="O144" s="30"/>
      <c r="P144" s="30"/>
      <c r="Q144" s="30"/>
    </row>
    <row r="145" spans="1:17" x14ac:dyDescent="0.25">
      <c r="A145" s="59" t="s">
        <v>20</v>
      </c>
      <c r="B145" s="59">
        <v>5201</v>
      </c>
      <c r="C145" s="30"/>
      <c r="D145" s="30"/>
      <c r="E145" s="30"/>
      <c r="F145" s="30"/>
      <c r="G145" s="30"/>
      <c r="H145" s="30"/>
      <c r="I145" s="30"/>
      <c r="J145" s="30"/>
      <c r="K145" s="30"/>
      <c r="L145" s="30"/>
      <c r="M145" s="30"/>
      <c r="N145" s="30"/>
      <c r="O145" s="30"/>
      <c r="P145" s="30"/>
      <c r="Q145" s="30"/>
    </row>
    <row r="146" spans="1:17" x14ac:dyDescent="0.25">
      <c r="A146" s="59" t="s">
        <v>253</v>
      </c>
      <c r="B146" s="59">
        <v>206124</v>
      </c>
      <c r="C146" s="30"/>
      <c r="D146" s="30"/>
      <c r="E146" s="30"/>
      <c r="F146" s="30"/>
      <c r="G146" s="30"/>
      <c r="H146" s="30"/>
      <c r="I146" s="30"/>
      <c r="J146" s="30"/>
      <c r="K146" s="30"/>
      <c r="L146" s="30"/>
      <c r="M146" s="30"/>
      <c r="N146" s="30"/>
      <c r="O146" s="30"/>
      <c r="P146" s="30"/>
      <c r="Q146" s="30"/>
    </row>
    <row r="147" spans="1:17" x14ac:dyDescent="0.25">
      <c r="A147" s="59" t="s">
        <v>21</v>
      </c>
      <c r="B147" s="59">
        <v>2433</v>
      </c>
      <c r="C147" s="30"/>
      <c r="D147" s="30"/>
      <c r="E147" s="30"/>
      <c r="F147" s="30"/>
      <c r="G147" s="30"/>
      <c r="H147" s="30"/>
      <c r="I147" s="30"/>
      <c r="J147" s="30"/>
      <c r="K147" s="30"/>
      <c r="L147" s="30"/>
      <c r="M147" s="30"/>
      <c r="N147" s="30"/>
      <c r="O147" s="30"/>
      <c r="P147" s="30"/>
      <c r="Q147" s="30"/>
    </row>
    <row r="148" spans="1:17" x14ac:dyDescent="0.25">
      <c r="A148" s="59" t="s">
        <v>22</v>
      </c>
      <c r="B148" s="59">
        <v>2432</v>
      </c>
      <c r="C148" s="30"/>
      <c r="D148" s="30"/>
      <c r="E148" s="30"/>
      <c r="F148" s="30"/>
      <c r="G148" s="30"/>
      <c r="H148" s="30"/>
      <c r="I148" s="30"/>
      <c r="J148" s="30"/>
      <c r="K148" s="30"/>
      <c r="L148" s="30"/>
      <c r="M148" s="30"/>
      <c r="N148" s="30"/>
      <c r="O148" s="30"/>
      <c r="P148" s="30"/>
      <c r="Q148" s="30"/>
    </row>
    <row r="149" spans="1:17" x14ac:dyDescent="0.25">
      <c r="A149" s="59" t="s">
        <v>256</v>
      </c>
      <c r="B149" s="59" t="s">
        <v>258</v>
      </c>
      <c r="C149" s="30"/>
      <c r="D149" s="30"/>
      <c r="E149" s="30"/>
      <c r="F149" s="30"/>
      <c r="G149" s="30"/>
      <c r="H149" s="30"/>
      <c r="I149" s="30"/>
      <c r="J149" s="30"/>
      <c r="K149" s="30"/>
      <c r="L149" s="30"/>
      <c r="M149" s="30"/>
      <c r="N149" s="30"/>
      <c r="O149" s="30"/>
      <c r="P149" s="30"/>
      <c r="Q149" s="30"/>
    </row>
    <row r="150" spans="1:17" x14ac:dyDescent="0.25">
      <c r="A150" s="59" t="s">
        <v>188</v>
      </c>
      <c r="B150" s="59">
        <v>2447</v>
      </c>
      <c r="C150" s="30"/>
      <c r="D150" s="30"/>
      <c r="E150" s="30"/>
      <c r="F150" s="30"/>
      <c r="G150" s="30"/>
      <c r="H150" s="30"/>
      <c r="I150" s="30"/>
      <c r="J150" s="30"/>
      <c r="K150" s="30"/>
      <c r="L150" s="30"/>
      <c r="M150" s="30"/>
      <c r="N150" s="30"/>
      <c r="O150" s="30"/>
      <c r="P150" s="30"/>
      <c r="Q150" s="30"/>
    </row>
    <row r="151" spans="1:17" x14ac:dyDescent="0.25">
      <c r="A151" s="59" t="s">
        <v>23</v>
      </c>
      <c r="B151" s="59">
        <v>2512</v>
      </c>
      <c r="C151" s="30"/>
      <c r="D151" s="30"/>
      <c r="E151" s="30"/>
      <c r="F151" s="30"/>
      <c r="G151" s="30"/>
      <c r="H151" s="30"/>
      <c r="I151" s="30"/>
      <c r="J151" s="30"/>
      <c r="K151" s="30"/>
      <c r="L151" s="30"/>
      <c r="M151" s="30"/>
      <c r="N151" s="30"/>
      <c r="O151" s="30"/>
      <c r="P151" s="30"/>
      <c r="Q151" s="30"/>
    </row>
    <row r="152" spans="1:17" x14ac:dyDescent="0.25">
      <c r="A152" s="59" t="s">
        <v>259</v>
      </c>
      <c r="B152" s="59">
        <v>206126</v>
      </c>
      <c r="C152" s="30"/>
      <c r="D152" s="30"/>
      <c r="E152" s="30"/>
      <c r="F152" s="30"/>
      <c r="G152" s="30"/>
      <c r="H152" s="30"/>
      <c r="I152" s="30"/>
      <c r="J152" s="30"/>
      <c r="K152" s="30"/>
      <c r="L152" s="30"/>
      <c r="M152" s="30"/>
      <c r="N152" s="30"/>
      <c r="O152" s="30"/>
      <c r="P152" s="30"/>
      <c r="Q152" s="30"/>
    </row>
    <row r="153" spans="1:17" x14ac:dyDescent="0.25">
      <c r="A153" s="59" t="s">
        <v>261</v>
      </c>
      <c r="B153" s="59">
        <v>206111</v>
      </c>
      <c r="C153" s="30"/>
      <c r="D153" s="30"/>
      <c r="E153" s="30"/>
      <c r="F153" s="30"/>
      <c r="G153" s="30"/>
      <c r="H153" s="30"/>
      <c r="I153" s="30"/>
      <c r="J153" s="30"/>
      <c r="K153" s="30"/>
      <c r="L153" s="30"/>
      <c r="M153" s="30"/>
      <c r="N153" s="30"/>
      <c r="O153" s="30"/>
      <c r="P153" s="30"/>
      <c r="Q153" s="30"/>
    </row>
    <row r="154" spans="1:17" x14ac:dyDescent="0.25">
      <c r="A154" s="59" t="s">
        <v>263</v>
      </c>
      <c r="B154" s="59">
        <v>206091</v>
      </c>
      <c r="C154" s="30"/>
      <c r="D154" s="30"/>
      <c r="E154" s="30"/>
      <c r="F154" s="30"/>
      <c r="G154" s="30"/>
      <c r="H154" s="30"/>
      <c r="I154" s="30"/>
      <c r="J154" s="30"/>
      <c r="K154" s="30"/>
      <c r="L154" s="30"/>
      <c r="M154" s="30"/>
      <c r="N154" s="30"/>
      <c r="O154" s="30"/>
      <c r="P154" s="30"/>
      <c r="Q154" s="30"/>
    </row>
    <row r="155" spans="1:17" x14ac:dyDescent="0.25">
      <c r="A155" s="59" t="s">
        <v>24</v>
      </c>
      <c r="B155" s="59">
        <v>2456</v>
      </c>
      <c r="C155" s="30"/>
      <c r="D155" s="30"/>
      <c r="E155" s="30"/>
      <c r="F155" s="30"/>
      <c r="G155" s="30"/>
      <c r="H155" s="30"/>
      <c r="I155" s="30"/>
      <c r="J155" s="30"/>
      <c r="K155" s="30"/>
      <c r="L155" s="30"/>
      <c r="M155" s="30"/>
      <c r="N155" s="30"/>
      <c r="O155" s="30"/>
      <c r="P155" s="30"/>
      <c r="Q155" s="30"/>
    </row>
    <row r="156" spans="1:17" x14ac:dyDescent="0.25">
      <c r="A156" s="59" t="s">
        <v>3</v>
      </c>
      <c r="B156" s="59">
        <v>1017</v>
      </c>
      <c r="C156" s="30"/>
      <c r="D156" s="30"/>
      <c r="E156" s="30"/>
      <c r="F156" s="30"/>
      <c r="G156" s="30"/>
      <c r="H156" s="30"/>
      <c r="I156" s="30"/>
      <c r="J156" s="30"/>
      <c r="K156" s="30"/>
      <c r="L156" s="30"/>
      <c r="M156" s="30"/>
      <c r="N156" s="30"/>
      <c r="O156" s="30"/>
      <c r="P156" s="30"/>
      <c r="Q156" s="30"/>
    </row>
    <row r="157" spans="1:17" x14ac:dyDescent="0.25">
      <c r="A157" s="59" t="s">
        <v>25</v>
      </c>
      <c r="B157" s="59">
        <v>2449</v>
      </c>
      <c r="C157" s="30"/>
      <c r="D157" s="30"/>
      <c r="E157" s="30"/>
      <c r="F157" s="30"/>
      <c r="G157" s="30"/>
      <c r="H157" s="30"/>
      <c r="I157" s="30"/>
      <c r="J157" s="30"/>
      <c r="K157" s="30"/>
      <c r="L157" s="30"/>
      <c r="M157" s="30"/>
      <c r="N157" s="30"/>
      <c r="O157" s="30"/>
      <c r="P157" s="30"/>
      <c r="Q157" s="30"/>
    </row>
    <row r="158" spans="1:17" x14ac:dyDescent="0.25">
      <c r="A158" s="59" t="s">
        <v>26</v>
      </c>
      <c r="B158" s="59">
        <v>2448</v>
      </c>
      <c r="C158" s="30"/>
      <c r="D158" s="30"/>
      <c r="E158" s="30"/>
      <c r="F158" s="30"/>
      <c r="G158" s="30"/>
      <c r="H158" s="30"/>
      <c r="I158" s="30"/>
      <c r="J158" s="30"/>
      <c r="K158" s="30"/>
      <c r="L158" s="30"/>
      <c r="M158" s="30"/>
      <c r="N158" s="30"/>
      <c r="O158" s="30"/>
      <c r="P158" s="30"/>
      <c r="Q158" s="30"/>
    </row>
    <row r="159" spans="1:17" x14ac:dyDescent="0.25">
      <c r="A159" s="59" t="s">
        <v>4</v>
      </c>
      <c r="B159" s="59">
        <v>1006</v>
      </c>
      <c r="C159" s="30"/>
      <c r="D159" s="30"/>
      <c r="E159" s="30"/>
      <c r="F159" s="30"/>
      <c r="G159" s="30"/>
      <c r="H159" s="30"/>
      <c r="I159" s="30"/>
      <c r="J159" s="30"/>
      <c r="K159" s="30"/>
      <c r="L159" s="30"/>
      <c r="M159" s="30"/>
      <c r="N159" s="30"/>
      <c r="O159" s="30"/>
      <c r="P159" s="30"/>
      <c r="Q159" s="30"/>
    </row>
    <row r="160" spans="1:17" x14ac:dyDescent="0.25">
      <c r="A160" s="59" t="s">
        <v>27</v>
      </c>
      <c r="B160" s="59">
        <v>2467</v>
      </c>
      <c r="C160" s="30"/>
      <c r="D160" s="30"/>
      <c r="E160" s="30"/>
      <c r="F160" s="30"/>
      <c r="G160" s="30"/>
      <c r="H160" s="30"/>
      <c r="I160" s="30"/>
      <c r="J160" s="30"/>
      <c r="K160" s="30"/>
      <c r="L160" s="30"/>
      <c r="M160" s="30"/>
      <c r="N160" s="30"/>
      <c r="O160" s="30"/>
      <c r="P160" s="30"/>
      <c r="Q160" s="30"/>
    </row>
    <row r="161" spans="1:17" x14ac:dyDescent="0.25">
      <c r="A161" s="59" t="s">
        <v>1373</v>
      </c>
      <c r="B161" s="59">
        <v>484300</v>
      </c>
      <c r="C161" s="30"/>
      <c r="D161" s="30"/>
      <c r="E161" s="30"/>
      <c r="F161" s="30"/>
      <c r="G161" s="30"/>
      <c r="H161" s="30"/>
      <c r="I161" s="30"/>
      <c r="J161" s="30"/>
      <c r="K161" s="30"/>
      <c r="L161" s="30"/>
      <c r="M161" s="30"/>
      <c r="N161" s="30"/>
      <c r="O161" s="30"/>
      <c r="P161" s="30"/>
      <c r="Q161" s="30"/>
    </row>
    <row r="162" spans="1:17" x14ac:dyDescent="0.25">
      <c r="A162" s="59" t="s">
        <v>75</v>
      </c>
      <c r="B162" s="59">
        <v>5402</v>
      </c>
      <c r="C162" s="30"/>
      <c r="D162" s="30"/>
      <c r="E162" s="30"/>
      <c r="F162" s="30"/>
      <c r="G162" s="30"/>
      <c r="H162" s="30"/>
      <c r="I162" s="30"/>
      <c r="J162" s="30"/>
      <c r="K162" s="30"/>
      <c r="L162" s="30"/>
      <c r="M162" s="30"/>
      <c r="N162" s="30"/>
      <c r="O162" s="30"/>
      <c r="P162" s="30"/>
      <c r="Q162" s="30"/>
    </row>
    <row r="163" spans="1:17" x14ac:dyDescent="0.25">
      <c r="A163" s="59" t="s">
        <v>28</v>
      </c>
      <c r="B163" s="59">
        <v>2455</v>
      </c>
      <c r="C163" s="30"/>
      <c r="D163" s="30"/>
      <c r="E163" s="30"/>
      <c r="F163" s="30"/>
      <c r="G163" s="30"/>
      <c r="H163" s="30"/>
      <c r="I163" s="30"/>
      <c r="J163" s="30"/>
      <c r="K163" s="30"/>
      <c r="L163" s="30"/>
      <c r="M163" s="30"/>
      <c r="N163" s="30"/>
      <c r="O163" s="30"/>
      <c r="P163" s="30"/>
      <c r="Q163" s="30"/>
    </row>
    <row r="164" spans="1:17" x14ac:dyDescent="0.25">
      <c r="A164" s="59" t="s">
        <v>29</v>
      </c>
      <c r="B164" s="59">
        <v>5203</v>
      </c>
      <c r="C164" s="30"/>
      <c r="D164" s="30"/>
      <c r="E164" s="30"/>
      <c r="F164" s="30"/>
      <c r="G164" s="30"/>
      <c r="H164" s="30"/>
      <c r="I164" s="30"/>
      <c r="J164" s="30"/>
      <c r="K164" s="30"/>
      <c r="L164" s="30"/>
      <c r="M164" s="30"/>
      <c r="N164" s="30"/>
      <c r="O164" s="30"/>
      <c r="P164" s="30"/>
      <c r="Q164" s="30"/>
    </row>
    <row r="165" spans="1:17" x14ac:dyDescent="0.25">
      <c r="A165" s="59" t="s">
        <v>30</v>
      </c>
      <c r="B165" s="59">
        <v>2451</v>
      </c>
      <c r="C165" s="30"/>
      <c r="D165" s="30"/>
      <c r="E165" s="30"/>
      <c r="F165" s="30"/>
      <c r="G165" s="30"/>
      <c r="H165" s="30"/>
      <c r="I165" s="30"/>
      <c r="J165" s="30"/>
      <c r="K165" s="30"/>
      <c r="L165" s="30"/>
      <c r="M165" s="30"/>
      <c r="N165" s="30"/>
      <c r="O165" s="30"/>
      <c r="P165" s="30"/>
      <c r="Q165" s="30"/>
    </row>
    <row r="166" spans="1:17" x14ac:dyDescent="0.25">
      <c r="A166" s="59" t="s">
        <v>265</v>
      </c>
      <c r="B166" s="59" t="s">
        <v>266</v>
      </c>
      <c r="C166" s="30"/>
      <c r="D166" s="30"/>
      <c r="E166" s="30"/>
      <c r="F166" s="30"/>
      <c r="G166" s="30"/>
      <c r="H166" s="30"/>
      <c r="I166" s="30"/>
      <c r="J166" s="30"/>
      <c r="K166" s="30"/>
      <c r="L166" s="30"/>
      <c r="M166" s="30"/>
      <c r="N166" s="30"/>
      <c r="O166" s="30"/>
      <c r="P166" s="30"/>
      <c r="Q166" s="30"/>
    </row>
    <row r="167" spans="1:17" x14ac:dyDescent="0.25">
      <c r="A167" s="59" t="s">
        <v>267</v>
      </c>
      <c r="B167" s="59">
        <v>206128</v>
      </c>
      <c r="C167" s="30"/>
      <c r="D167" s="30"/>
      <c r="E167" s="30"/>
      <c r="F167" s="30"/>
      <c r="G167" s="30"/>
      <c r="H167" s="30"/>
      <c r="I167" s="30"/>
      <c r="J167" s="30"/>
      <c r="K167" s="30"/>
      <c r="L167" s="30"/>
      <c r="M167" s="30"/>
      <c r="N167" s="30"/>
      <c r="O167" s="30"/>
      <c r="P167" s="30"/>
      <c r="Q167" s="30"/>
    </row>
    <row r="168" spans="1:17" x14ac:dyDescent="0.25">
      <c r="A168" s="59" t="s">
        <v>438</v>
      </c>
      <c r="B168" s="59">
        <v>4002</v>
      </c>
      <c r="C168" s="30"/>
      <c r="D168" s="30"/>
      <c r="E168" s="30"/>
      <c r="F168" s="30"/>
      <c r="G168" s="30"/>
      <c r="H168" s="30"/>
      <c r="I168" s="30"/>
      <c r="J168" s="30"/>
      <c r="K168" s="30"/>
      <c r="L168" s="30"/>
      <c r="M168" s="30"/>
      <c r="N168" s="30"/>
      <c r="O168" s="30"/>
      <c r="P168" s="30"/>
      <c r="Q168" s="30"/>
    </row>
    <row r="169" spans="1:17" x14ac:dyDescent="0.25">
      <c r="A169" s="59" t="s">
        <v>441</v>
      </c>
      <c r="B169" s="59">
        <v>2430</v>
      </c>
      <c r="C169" s="30"/>
      <c r="D169" s="30"/>
      <c r="E169" s="30"/>
      <c r="F169" s="30"/>
      <c r="G169" s="30"/>
      <c r="H169" s="30"/>
      <c r="I169" s="30"/>
      <c r="J169" s="30"/>
      <c r="K169" s="30"/>
      <c r="L169" s="30"/>
      <c r="M169" s="30"/>
      <c r="N169" s="30"/>
      <c r="O169" s="30"/>
      <c r="P169" s="30"/>
      <c r="Q169" s="30"/>
    </row>
    <row r="170" spans="1:17" x14ac:dyDescent="0.25">
      <c r="A170" s="59" t="s">
        <v>269</v>
      </c>
      <c r="B170" s="59" t="s">
        <v>710</v>
      </c>
      <c r="C170" s="30"/>
      <c r="D170" s="30"/>
      <c r="E170" s="30"/>
      <c r="F170" s="30"/>
      <c r="G170" s="30"/>
      <c r="H170" s="30"/>
      <c r="I170" s="30"/>
      <c r="J170" s="30"/>
      <c r="K170" s="30"/>
      <c r="L170" s="30"/>
      <c r="M170" s="30"/>
      <c r="N170" s="30"/>
      <c r="O170" s="30"/>
      <c r="P170" s="30"/>
      <c r="Q170" s="30"/>
    </row>
    <row r="171" spans="1:17" x14ac:dyDescent="0.25">
      <c r="A171" s="59" t="s">
        <v>711</v>
      </c>
      <c r="B171" s="59" t="s">
        <v>712</v>
      </c>
      <c r="C171" s="30"/>
      <c r="D171" s="30"/>
      <c r="E171" s="30"/>
      <c r="F171" s="30"/>
      <c r="G171" s="30"/>
      <c r="H171" s="30"/>
      <c r="I171" s="30"/>
      <c r="J171" s="30"/>
      <c r="K171" s="30"/>
      <c r="L171" s="30"/>
      <c r="M171" s="30"/>
      <c r="N171" s="30"/>
      <c r="O171" s="30"/>
      <c r="P171" s="30"/>
      <c r="Q171" s="30"/>
    </row>
    <row r="172" spans="1:17" x14ac:dyDescent="0.25">
      <c r="A172" s="59" t="s">
        <v>68</v>
      </c>
      <c r="B172" s="59">
        <v>4608</v>
      </c>
      <c r="C172" s="30"/>
      <c r="D172" s="30"/>
      <c r="E172" s="30"/>
      <c r="F172" s="30"/>
      <c r="G172" s="30"/>
      <c r="H172" s="30"/>
      <c r="I172" s="30"/>
      <c r="J172" s="30"/>
      <c r="K172" s="30"/>
      <c r="L172" s="30"/>
      <c r="M172" s="30"/>
      <c r="N172" s="30"/>
      <c r="O172" s="30"/>
      <c r="P172" s="30"/>
      <c r="Q172" s="30"/>
    </row>
    <row r="173" spans="1:17" x14ac:dyDescent="0.25">
      <c r="A173" s="59" t="s">
        <v>31</v>
      </c>
      <c r="B173" s="59">
        <v>2409</v>
      </c>
      <c r="C173" s="30"/>
      <c r="D173" s="30"/>
      <c r="E173" s="30"/>
      <c r="F173" s="30"/>
      <c r="G173" s="30"/>
      <c r="H173" s="30"/>
      <c r="I173" s="30"/>
      <c r="J173" s="30"/>
      <c r="K173" s="30"/>
      <c r="L173" s="30"/>
      <c r="M173" s="30"/>
      <c r="N173" s="30"/>
      <c r="O173" s="30"/>
      <c r="P173" s="30"/>
      <c r="Q173" s="30"/>
    </row>
    <row r="174" spans="1:17" x14ac:dyDescent="0.25">
      <c r="A174" s="59" t="s">
        <v>270</v>
      </c>
      <c r="B174" s="59" t="s">
        <v>271</v>
      </c>
      <c r="C174" s="30"/>
      <c r="D174" s="30"/>
      <c r="E174" s="30"/>
      <c r="F174" s="30"/>
      <c r="G174" s="30"/>
      <c r="H174" s="30"/>
      <c r="I174" s="30"/>
      <c r="J174" s="30"/>
      <c r="K174" s="30"/>
      <c r="L174" s="30"/>
      <c r="M174" s="30"/>
      <c r="N174" s="30"/>
      <c r="O174" s="30"/>
      <c r="P174" s="30"/>
      <c r="Q174" s="30"/>
    </row>
    <row r="175" spans="1:17" x14ac:dyDescent="0.25">
      <c r="A175" s="59" t="s">
        <v>1283</v>
      </c>
      <c r="B175" s="59" t="s">
        <v>714</v>
      </c>
      <c r="C175" s="30"/>
      <c r="D175" s="30"/>
      <c r="E175" s="30"/>
      <c r="F175" s="30"/>
      <c r="G175" s="30"/>
      <c r="H175" s="30"/>
      <c r="I175" s="30"/>
      <c r="J175" s="30"/>
      <c r="K175" s="30"/>
      <c r="L175" s="30"/>
      <c r="M175" s="30"/>
      <c r="N175" s="30"/>
      <c r="O175" s="30"/>
      <c r="P175" s="30"/>
      <c r="Q175" s="30"/>
    </row>
    <row r="176" spans="1:17" x14ac:dyDescent="0.25">
      <c r="A176" s="59" t="s">
        <v>525</v>
      </c>
      <c r="B176" s="59">
        <v>205921</v>
      </c>
      <c r="C176" s="30"/>
      <c r="D176" s="30"/>
      <c r="E176" s="30"/>
      <c r="F176" s="30"/>
      <c r="G176" s="30"/>
      <c r="H176" s="30"/>
      <c r="I176" s="30"/>
      <c r="J176" s="30"/>
      <c r="K176" s="30"/>
      <c r="L176" s="30"/>
      <c r="M176" s="30"/>
      <c r="N176" s="30"/>
      <c r="O176" s="30"/>
      <c r="P176" s="30"/>
      <c r="Q176" s="30"/>
    </row>
    <row r="177" spans="1:17" x14ac:dyDescent="0.25">
      <c r="A177" s="59" t="s">
        <v>1256</v>
      </c>
      <c r="B177" s="59" t="s">
        <v>719</v>
      </c>
      <c r="C177" s="30"/>
      <c r="D177" s="30"/>
      <c r="E177" s="30"/>
      <c r="F177" s="30"/>
      <c r="G177" s="30"/>
      <c r="H177" s="30"/>
      <c r="I177" s="30"/>
      <c r="J177" s="30"/>
      <c r="K177" s="30"/>
      <c r="L177" s="30"/>
      <c r="M177" s="30"/>
      <c r="N177" s="30"/>
      <c r="O177" s="30"/>
      <c r="P177" s="30"/>
      <c r="Q177" s="30"/>
    </row>
    <row r="178" spans="1:17" x14ac:dyDescent="0.25">
      <c r="A178" s="59" t="s">
        <v>1375</v>
      </c>
      <c r="B178" s="59">
        <v>398922</v>
      </c>
      <c r="C178" s="30"/>
      <c r="D178" s="30"/>
      <c r="E178" s="30"/>
      <c r="F178" s="30"/>
      <c r="G178" s="30"/>
      <c r="H178" s="30"/>
      <c r="I178" s="30"/>
      <c r="J178" s="30"/>
      <c r="K178" s="30"/>
      <c r="L178" s="30"/>
      <c r="M178" s="30"/>
      <c r="N178" s="30"/>
      <c r="O178" s="30"/>
      <c r="P178" s="30"/>
      <c r="Q178" s="30"/>
    </row>
    <row r="179" spans="1:17" x14ac:dyDescent="0.25">
      <c r="A179" s="59" t="s">
        <v>1374</v>
      </c>
      <c r="B179" s="59">
        <v>479804</v>
      </c>
      <c r="C179" s="30"/>
      <c r="D179" s="30"/>
      <c r="E179" s="30"/>
      <c r="F179" s="30"/>
      <c r="G179" s="30"/>
      <c r="H179" s="30"/>
      <c r="I179" s="30"/>
      <c r="J179" s="30"/>
      <c r="K179" s="30"/>
      <c r="L179" s="30"/>
      <c r="M179" s="30"/>
      <c r="N179" s="30"/>
      <c r="O179" s="30"/>
      <c r="P179" s="30"/>
      <c r="Q179" s="30"/>
    </row>
    <row r="180" spans="1:17" x14ac:dyDescent="0.25">
      <c r="A180" s="59" t="s">
        <v>524</v>
      </c>
      <c r="B180" s="59">
        <v>205999</v>
      </c>
      <c r="C180" s="30"/>
      <c r="D180" s="30"/>
      <c r="E180" s="30"/>
      <c r="F180" s="30"/>
      <c r="G180" s="30"/>
      <c r="H180" s="30"/>
      <c r="I180" s="30"/>
      <c r="J180" s="30"/>
      <c r="K180" s="30"/>
      <c r="L180" s="30"/>
      <c r="M180" s="30"/>
      <c r="N180" s="30"/>
      <c r="O180" s="30"/>
      <c r="P180" s="30"/>
      <c r="Q180" s="30"/>
    </row>
    <row r="181" spans="1:17" x14ac:dyDescent="0.25">
      <c r="A181" s="59" t="s">
        <v>523</v>
      </c>
      <c r="B181" s="59" t="s">
        <v>272</v>
      </c>
      <c r="C181" s="30"/>
      <c r="D181" s="30"/>
      <c r="E181" s="30"/>
      <c r="F181" s="30"/>
      <c r="G181" s="30"/>
      <c r="H181" s="30"/>
      <c r="I181" s="30"/>
      <c r="J181" s="30"/>
      <c r="K181" s="30"/>
      <c r="L181" s="30"/>
      <c r="M181" s="30"/>
      <c r="N181" s="30"/>
      <c r="O181" s="30"/>
      <c r="P181" s="30"/>
      <c r="Q181" s="30"/>
    </row>
    <row r="182" spans="1:17" x14ac:dyDescent="0.25">
      <c r="A182" s="59" t="s">
        <v>1257</v>
      </c>
      <c r="B182" s="59">
        <v>206065</v>
      </c>
      <c r="C182" s="30"/>
      <c r="D182" s="30"/>
      <c r="E182" s="30"/>
      <c r="F182" s="30"/>
      <c r="G182" s="30"/>
      <c r="H182" s="30"/>
      <c r="I182" s="30"/>
      <c r="J182" s="30"/>
      <c r="K182" s="30"/>
      <c r="L182" s="30"/>
      <c r="M182" s="30"/>
      <c r="N182" s="30"/>
      <c r="O182" s="30"/>
      <c r="P182" s="30"/>
      <c r="Q182" s="30"/>
    </row>
    <row r="183" spans="1:17" x14ac:dyDescent="0.25">
      <c r="A183" s="59" t="s">
        <v>1376</v>
      </c>
      <c r="B183" s="59">
        <v>314105</v>
      </c>
      <c r="C183" s="30"/>
      <c r="D183" s="30"/>
      <c r="E183" s="30"/>
      <c r="F183" s="30"/>
      <c r="G183" s="30"/>
      <c r="H183" s="30"/>
      <c r="I183" s="30"/>
      <c r="J183" s="30"/>
      <c r="K183" s="30"/>
      <c r="L183" s="30"/>
      <c r="M183" s="30"/>
      <c r="N183" s="30"/>
      <c r="O183" s="30"/>
      <c r="P183" s="30"/>
      <c r="Q183" s="30"/>
    </row>
    <row r="184" spans="1:17" x14ac:dyDescent="0.25">
      <c r="A184" s="59" t="s">
        <v>1400</v>
      </c>
      <c r="B184" s="59" t="s">
        <v>277</v>
      </c>
      <c r="C184" s="30"/>
      <c r="D184" s="30"/>
      <c r="E184" s="30"/>
      <c r="F184" s="30"/>
      <c r="G184" s="30"/>
      <c r="H184" s="30"/>
      <c r="I184" s="30"/>
      <c r="J184" s="30"/>
      <c r="K184" s="30"/>
      <c r="L184" s="30"/>
      <c r="M184" s="30"/>
      <c r="N184" s="30"/>
      <c r="O184" s="30"/>
      <c r="P184" s="30"/>
      <c r="Q184" s="30"/>
    </row>
    <row r="185" spans="1:17" x14ac:dyDescent="0.25">
      <c r="A185" s="59" t="s">
        <v>1377</v>
      </c>
      <c r="B185" s="59">
        <v>206076</v>
      </c>
      <c r="C185" s="30"/>
      <c r="D185" s="30"/>
      <c r="E185" s="30"/>
      <c r="F185" s="30"/>
      <c r="G185" s="30"/>
      <c r="H185" s="30"/>
      <c r="I185" s="30"/>
      <c r="J185" s="30"/>
      <c r="K185" s="30"/>
      <c r="L185" s="30"/>
      <c r="M185" s="30"/>
      <c r="N185" s="30"/>
      <c r="O185" s="30"/>
      <c r="P185" s="30"/>
      <c r="Q185" s="30"/>
    </row>
    <row r="186" spans="1:17" x14ac:dyDescent="0.25">
      <c r="A186" s="59" t="s">
        <v>561</v>
      </c>
      <c r="B186" s="59" t="s">
        <v>727</v>
      </c>
      <c r="C186" s="30"/>
      <c r="D186" s="30"/>
      <c r="E186" s="30"/>
      <c r="F186" s="30"/>
      <c r="G186" s="30"/>
      <c r="H186" s="30"/>
      <c r="I186" s="30"/>
      <c r="J186" s="30"/>
      <c r="K186" s="30"/>
      <c r="L186" s="30"/>
      <c r="M186" s="30"/>
      <c r="N186" s="30"/>
      <c r="O186" s="30"/>
      <c r="P186" s="30"/>
      <c r="Q186" s="30"/>
    </row>
    <row r="187" spans="1:17" x14ac:dyDescent="0.25">
      <c r="A187" s="59" t="s">
        <v>1399</v>
      </c>
      <c r="B187" s="59" t="s">
        <v>730</v>
      </c>
      <c r="C187" s="30"/>
      <c r="D187" s="30"/>
      <c r="E187" s="30"/>
      <c r="F187" s="30"/>
      <c r="G187" s="30"/>
      <c r="H187" s="30"/>
      <c r="I187" s="30"/>
      <c r="J187" s="30"/>
      <c r="K187" s="30"/>
      <c r="L187" s="30"/>
      <c r="M187" s="30"/>
      <c r="N187" s="30"/>
      <c r="O187" s="30"/>
      <c r="P187" s="30"/>
      <c r="Q187" s="30"/>
    </row>
    <row r="188" spans="1:17" x14ac:dyDescent="0.25">
      <c r="A188" s="59" t="s">
        <v>562</v>
      </c>
      <c r="B188" s="59" t="s">
        <v>275</v>
      </c>
      <c r="C188" s="30"/>
      <c r="D188" s="30"/>
      <c r="E188" s="30"/>
      <c r="F188" s="30"/>
      <c r="G188" s="30"/>
      <c r="H188" s="30"/>
      <c r="I188" s="30"/>
      <c r="J188" s="30"/>
      <c r="K188" s="30"/>
      <c r="L188" s="30"/>
      <c r="M188" s="30"/>
      <c r="N188" s="30"/>
      <c r="O188" s="30"/>
      <c r="P188" s="30"/>
      <c r="Q188" s="30"/>
    </row>
    <row r="189" spans="1:17" x14ac:dyDescent="0.25">
      <c r="A189" s="59" t="s">
        <v>1258</v>
      </c>
      <c r="B189" s="59" t="s">
        <v>724</v>
      </c>
      <c r="C189" s="30"/>
      <c r="D189" s="30"/>
      <c r="E189" s="30"/>
      <c r="F189" s="30"/>
      <c r="G189" s="30"/>
      <c r="H189" s="30"/>
      <c r="I189" s="30"/>
      <c r="J189" s="30"/>
      <c r="K189" s="30"/>
      <c r="L189" s="30"/>
      <c r="M189" s="30"/>
      <c r="N189" s="30"/>
      <c r="O189" s="30"/>
      <c r="P189" s="30"/>
      <c r="Q189" s="30"/>
    </row>
    <row r="190" spans="1:17" x14ac:dyDescent="0.25">
      <c r="A190" s="59" t="s">
        <v>1259</v>
      </c>
      <c r="B190" s="59">
        <v>205919</v>
      </c>
      <c r="C190" s="30"/>
      <c r="D190" s="30"/>
      <c r="E190" s="30"/>
      <c r="F190" s="30"/>
      <c r="G190" s="30"/>
      <c r="H190" s="30"/>
      <c r="I190" s="30"/>
      <c r="J190" s="30"/>
      <c r="K190" s="30"/>
      <c r="L190" s="30"/>
      <c r="M190" s="30"/>
      <c r="N190" s="30"/>
      <c r="O190" s="30"/>
      <c r="P190" s="30"/>
      <c r="Q190" s="30"/>
    </row>
    <row r="191" spans="1:17" x14ac:dyDescent="0.25">
      <c r="A191" s="59" t="s">
        <v>526</v>
      </c>
      <c r="B191" s="59" t="s">
        <v>276</v>
      </c>
      <c r="C191" s="30"/>
      <c r="D191" s="30"/>
      <c r="E191" s="30"/>
      <c r="F191" s="30"/>
      <c r="G191" s="30"/>
      <c r="H191" s="30"/>
      <c r="I191" s="30"/>
      <c r="J191" s="30"/>
      <c r="K191" s="30"/>
      <c r="L191" s="30"/>
      <c r="M191" s="30"/>
      <c r="N191" s="30"/>
      <c r="O191" s="30"/>
      <c r="P191" s="30"/>
      <c r="Q191" s="30"/>
    </row>
    <row r="192" spans="1:17" x14ac:dyDescent="0.25">
      <c r="A192" s="59" t="s">
        <v>1378</v>
      </c>
      <c r="B192" s="59">
        <v>477405</v>
      </c>
      <c r="C192" s="30"/>
      <c r="D192" s="30"/>
      <c r="E192" s="30"/>
      <c r="F192" s="30"/>
      <c r="G192" s="30"/>
      <c r="H192" s="30"/>
      <c r="I192" s="30"/>
      <c r="J192" s="30"/>
      <c r="K192" s="30"/>
      <c r="L192" s="30"/>
      <c r="M192" s="30"/>
      <c r="N192" s="30"/>
      <c r="O192" s="30"/>
      <c r="P192" s="30"/>
      <c r="Q192" s="30"/>
    </row>
    <row r="193" spans="1:17" x14ac:dyDescent="0.25">
      <c r="A193" s="59" t="s">
        <v>1260</v>
      </c>
      <c r="B193" s="59" t="s">
        <v>734</v>
      </c>
      <c r="C193" s="30"/>
      <c r="D193" s="30"/>
      <c r="E193" s="30"/>
      <c r="F193" s="30"/>
      <c r="G193" s="30"/>
      <c r="H193" s="30"/>
      <c r="I193" s="30"/>
      <c r="J193" s="30"/>
      <c r="K193" s="30"/>
      <c r="L193" s="30"/>
      <c r="M193" s="30"/>
      <c r="N193" s="30"/>
      <c r="O193" s="30"/>
      <c r="P193" s="30"/>
      <c r="Q193" s="30"/>
    </row>
    <row r="194" spans="1:17" x14ac:dyDescent="0.25">
      <c r="A194" s="59" t="s">
        <v>1379</v>
      </c>
      <c r="B194" s="59">
        <v>401536</v>
      </c>
      <c r="C194" s="30"/>
      <c r="D194" s="30"/>
      <c r="E194" s="30"/>
      <c r="F194" s="30"/>
      <c r="G194" s="30"/>
      <c r="H194" s="30"/>
      <c r="I194" s="30"/>
      <c r="J194" s="30"/>
      <c r="K194" s="30"/>
      <c r="L194" s="30"/>
      <c r="M194" s="30"/>
      <c r="N194" s="30"/>
      <c r="O194" s="30"/>
      <c r="P194" s="30"/>
      <c r="Q194" s="30"/>
    </row>
    <row r="195" spans="1:17" x14ac:dyDescent="0.25">
      <c r="A195" s="59" t="s">
        <v>1261</v>
      </c>
      <c r="B195" s="59" t="s">
        <v>736</v>
      </c>
      <c r="C195" s="30"/>
      <c r="D195" s="30"/>
      <c r="E195" s="30"/>
      <c r="F195" s="30"/>
      <c r="G195" s="30"/>
      <c r="H195" s="30"/>
      <c r="I195" s="30"/>
      <c r="J195" s="30"/>
      <c r="K195" s="30"/>
      <c r="L195" s="30"/>
      <c r="M195" s="30"/>
      <c r="N195" s="30"/>
      <c r="O195" s="30"/>
      <c r="P195" s="30"/>
      <c r="Q195" s="30"/>
    </row>
    <row r="196" spans="1:17" x14ac:dyDescent="0.25">
      <c r="A196" s="59" t="s">
        <v>1263</v>
      </c>
      <c r="B196" s="59" t="s">
        <v>739</v>
      </c>
      <c r="C196" s="30"/>
      <c r="D196" s="30"/>
      <c r="E196" s="30"/>
      <c r="F196" s="30"/>
      <c r="G196" s="30"/>
      <c r="H196" s="30"/>
      <c r="I196" s="30"/>
      <c r="J196" s="30"/>
      <c r="K196" s="30"/>
      <c r="L196" s="30"/>
      <c r="M196" s="30"/>
      <c r="N196" s="30"/>
      <c r="O196" s="30"/>
      <c r="P196" s="30"/>
      <c r="Q196" s="30"/>
    </row>
    <row r="197" spans="1:17" x14ac:dyDescent="0.25">
      <c r="A197" s="59" t="s">
        <v>1262</v>
      </c>
      <c r="B197" s="59">
        <v>205849</v>
      </c>
      <c r="C197" s="30"/>
      <c r="D197" s="30"/>
      <c r="E197" s="30"/>
      <c r="F197" s="30"/>
      <c r="G197" s="30"/>
      <c r="H197" s="30"/>
      <c r="I197" s="30"/>
      <c r="J197" s="30"/>
      <c r="K197" s="30"/>
      <c r="L197" s="30"/>
      <c r="M197" s="30"/>
      <c r="N197" s="30"/>
      <c r="O197" s="30"/>
      <c r="P197" s="30"/>
      <c r="Q197" s="30"/>
    </row>
    <row r="198" spans="1:17" x14ac:dyDescent="0.25">
      <c r="A198" s="59" t="s">
        <v>566</v>
      </c>
      <c r="B198" s="59" t="s">
        <v>273</v>
      </c>
      <c r="C198" s="30"/>
      <c r="D198" s="30"/>
      <c r="E198" s="30"/>
      <c r="F198" s="30"/>
      <c r="G198" s="30"/>
      <c r="H198" s="30"/>
      <c r="I198" s="30"/>
      <c r="J198" s="30"/>
      <c r="K198" s="30"/>
      <c r="L198" s="30"/>
      <c r="M198" s="30"/>
      <c r="N198" s="30"/>
      <c r="O198" s="30"/>
      <c r="P198" s="30"/>
      <c r="Q198" s="30"/>
    </row>
    <row r="199" spans="1:17" x14ac:dyDescent="0.25">
      <c r="A199" s="59" t="s">
        <v>1264</v>
      </c>
      <c r="B199" s="59" t="s">
        <v>741</v>
      </c>
      <c r="C199" s="30"/>
      <c r="D199" s="30"/>
      <c r="E199" s="30"/>
      <c r="F199" s="30"/>
      <c r="G199" s="30"/>
      <c r="H199" s="30"/>
      <c r="I199" s="30"/>
      <c r="J199" s="30"/>
      <c r="K199" s="30"/>
      <c r="L199" s="30"/>
      <c r="M199" s="30"/>
      <c r="N199" s="30"/>
      <c r="O199" s="30"/>
      <c r="P199" s="30"/>
      <c r="Q199" s="30"/>
    </row>
    <row r="200" spans="1:17" x14ac:dyDescent="0.25">
      <c r="A200" s="59" t="s">
        <v>1268</v>
      </c>
      <c r="B200" s="59">
        <v>205922</v>
      </c>
      <c r="C200" s="30"/>
      <c r="D200" s="30"/>
      <c r="E200" s="30"/>
      <c r="F200" s="30"/>
      <c r="G200" s="30"/>
      <c r="H200" s="30"/>
      <c r="I200" s="30"/>
      <c r="J200" s="30"/>
      <c r="K200" s="30"/>
      <c r="L200" s="30"/>
      <c r="M200" s="30"/>
      <c r="N200" s="30"/>
      <c r="O200" s="30"/>
      <c r="P200" s="30"/>
      <c r="Q200" s="30"/>
    </row>
    <row r="201" spans="1:17" x14ac:dyDescent="0.25">
      <c r="A201" s="59" t="s">
        <v>1267</v>
      </c>
      <c r="B201" s="59">
        <v>205881</v>
      </c>
      <c r="C201" s="30"/>
      <c r="D201" s="30"/>
      <c r="E201" s="30"/>
      <c r="F201" s="30"/>
      <c r="G201" s="30"/>
      <c r="H201" s="30"/>
      <c r="I201" s="30"/>
      <c r="J201" s="30"/>
      <c r="K201" s="30"/>
      <c r="L201" s="30"/>
      <c r="M201" s="30"/>
      <c r="N201" s="30"/>
      <c r="O201" s="30"/>
      <c r="P201" s="30"/>
      <c r="Q201" s="30"/>
    </row>
    <row r="202" spans="1:17" x14ac:dyDescent="0.25">
      <c r="A202" s="59" t="s">
        <v>1265</v>
      </c>
      <c r="B202" s="59" t="s">
        <v>744</v>
      </c>
      <c r="C202" s="30"/>
      <c r="D202" s="30"/>
      <c r="E202" s="30"/>
      <c r="F202" s="30"/>
      <c r="G202" s="30"/>
      <c r="H202" s="30"/>
      <c r="I202" s="30"/>
      <c r="J202" s="30"/>
      <c r="K202" s="30"/>
      <c r="L202" s="30"/>
      <c r="M202" s="30"/>
      <c r="N202" s="30"/>
      <c r="O202" s="30"/>
      <c r="P202" s="30"/>
      <c r="Q202" s="30"/>
    </row>
    <row r="203" spans="1:17" x14ac:dyDescent="0.25">
      <c r="A203" s="59" t="s">
        <v>527</v>
      </c>
      <c r="B203" s="59" t="s">
        <v>278</v>
      </c>
      <c r="C203" s="30"/>
      <c r="D203" s="30"/>
      <c r="E203" s="30"/>
      <c r="F203" s="30"/>
      <c r="G203" s="30"/>
      <c r="H203" s="30"/>
      <c r="I203" s="30"/>
      <c r="J203" s="30"/>
      <c r="K203" s="30"/>
      <c r="L203" s="30"/>
      <c r="M203" s="30"/>
      <c r="N203" s="30"/>
      <c r="O203" s="30"/>
      <c r="P203" s="30"/>
      <c r="Q203" s="30"/>
    </row>
    <row r="204" spans="1:17" x14ac:dyDescent="0.25">
      <c r="A204" s="59" t="s">
        <v>1266</v>
      </c>
      <c r="B204" s="59" t="s">
        <v>749</v>
      </c>
      <c r="C204" s="30"/>
      <c r="D204" s="30"/>
      <c r="E204" s="30"/>
      <c r="F204" s="30"/>
      <c r="G204" s="30"/>
      <c r="H204" s="30"/>
      <c r="I204" s="30"/>
      <c r="J204" s="30"/>
      <c r="K204" s="30"/>
      <c r="L204" s="30"/>
      <c r="M204" s="30"/>
      <c r="N204" s="30"/>
      <c r="O204" s="30"/>
      <c r="P204" s="30"/>
      <c r="Q204" s="30"/>
    </row>
    <row r="205" spans="1:17" x14ac:dyDescent="0.25">
      <c r="A205" s="59" t="s">
        <v>1380</v>
      </c>
      <c r="B205" s="59">
        <v>462623</v>
      </c>
      <c r="C205" s="30"/>
      <c r="D205" s="30"/>
      <c r="E205" s="30"/>
      <c r="F205" s="30"/>
      <c r="G205" s="30"/>
      <c r="H205" s="30"/>
      <c r="I205" s="30"/>
      <c r="J205" s="30"/>
      <c r="K205" s="30"/>
      <c r="L205" s="30"/>
      <c r="M205" s="30"/>
      <c r="N205" s="30"/>
      <c r="O205" s="30"/>
      <c r="P205" s="30"/>
      <c r="Q205" s="30"/>
    </row>
    <row r="206" spans="1:17" x14ac:dyDescent="0.25">
      <c r="A206" s="59" t="s">
        <v>750</v>
      </c>
      <c r="B206" s="59" t="s">
        <v>751</v>
      </c>
      <c r="C206" s="30"/>
      <c r="D206" s="30"/>
      <c r="E206" s="30"/>
      <c r="F206" s="30"/>
      <c r="G206" s="30"/>
      <c r="H206" s="30"/>
      <c r="I206" s="30"/>
      <c r="J206" s="30"/>
      <c r="K206" s="30"/>
      <c r="L206" s="30"/>
      <c r="M206" s="30"/>
      <c r="N206" s="30"/>
      <c r="O206" s="30"/>
      <c r="P206" s="30"/>
      <c r="Q206" s="30"/>
    </row>
    <row r="207" spans="1:17" x14ac:dyDescent="0.25">
      <c r="A207" s="59" t="s">
        <v>1269</v>
      </c>
      <c r="B207" s="59" t="s">
        <v>754</v>
      </c>
      <c r="C207" s="30"/>
      <c r="D207" s="30"/>
      <c r="E207" s="30"/>
      <c r="F207" s="30"/>
      <c r="G207" s="30"/>
      <c r="H207" s="30"/>
      <c r="I207" s="30"/>
      <c r="J207" s="30"/>
      <c r="K207" s="30"/>
      <c r="L207" s="30"/>
      <c r="M207" s="30"/>
      <c r="N207" s="30"/>
      <c r="O207" s="30"/>
      <c r="P207" s="30"/>
      <c r="Q207" s="30"/>
    </row>
    <row r="208" spans="1:17" x14ac:dyDescent="0.25">
      <c r="A208" s="59" t="s">
        <v>528</v>
      </c>
      <c r="B208" s="59">
        <v>2</v>
      </c>
      <c r="C208" s="30"/>
      <c r="D208" s="30"/>
      <c r="E208" s="30"/>
      <c r="F208" s="30"/>
      <c r="G208" s="30"/>
      <c r="H208" s="30"/>
      <c r="I208" s="30"/>
      <c r="J208" s="30"/>
      <c r="K208" s="30"/>
      <c r="L208" s="30"/>
      <c r="M208" s="30"/>
      <c r="N208" s="30"/>
      <c r="O208" s="30"/>
      <c r="P208" s="30"/>
      <c r="Q208" s="30"/>
    </row>
    <row r="209" spans="1:17" x14ac:dyDescent="0.25">
      <c r="A209" s="59" t="s">
        <v>1270</v>
      </c>
      <c r="B209" s="59" t="s">
        <v>621</v>
      </c>
      <c r="C209" s="30"/>
      <c r="D209" s="30"/>
      <c r="E209" s="30"/>
      <c r="F209" s="30"/>
      <c r="G209" s="30"/>
      <c r="H209" s="30"/>
      <c r="I209" s="30"/>
      <c r="J209" s="30"/>
      <c r="K209" s="30"/>
      <c r="L209" s="30"/>
      <c r="M209" s="30"/>
      <c r="N209" s="30"/>
      <c r="O209" s="30"/>
      <c r="P209" s="30"/>
      <c r="Q209" s="30"/>
    </row>
    <row r="210" spans="1:17" x14ac:dyDescent="0.25">
      <c r="A210" s="59" t="s">
        <v>1271</v>
      </c>
      <c r="B210" s="59" t="s">
        <v>639</v>
      </c>
      <c r="C210" s="30"/>
      <c r="D210" s="30"/>
      <c r="E210" s="30"/>
      <c r="F210" s="30"/>
      <c r="G210" s="30"/>
      <c r="H210" s="30"/>
      <c r="I210" s="30"/>
      <c r="J210" s="30"/>
      <c r="K210" s="30"/>
      <c r="L210" s="30"/>
      <c r="M210" s="30"/>
      <c r="N210" s="30"/>
      <c r="O210" s="30"/>
      <c r="P210" s="30"/>
      <c r="Q210" s="30"/>
    </row>
    <row r="211" spans="1:17" x14ac:dyDescent="0.25">
      <c r="A211" s="59" t="s">
        <v>1271</v>
      </c>
      <c r="B211" s="59">
        <v>205878</v>
      </c>
      <c r="C211" s="30"/>
      <c r="D211" s="30"/>
      <c r="E211" s="30"/>
      <c r="F211" s="30"/>
      <c r="G211" s="30"/>
      <c r="H211" s="30"/>
      <c r="I211" s="30"/>
      <c r="J211" s="30"/>
      <c r="K211" s="30"/>
      <c r="L211" s="30"/>
      <c r="M211" s="30"/>
      <c r="N211" s="30"/>
      <c r="O211" s="30"/>
      <c r="P211" s="30"/>
      <c r="Q211" s="30"/>
    </row>
    <row r="212" spans="1:17" x14ac:dyDescent="0.25">
      <c r="A212" s="59" t="s">
        <v>529</v>
      </c>
      <c r="B212" s="59">
        <v>205956</v>
      </c>
      <c r="C212" s="30"/>
      <c r="D212" s="30"/>
      <c r="E212" s="30"/>
      <c r="F212" s="30"/>
      <c r="G212" s="30"/>
      <c r="H212" s="30"/>
      <c r="I212" s="30"/>
      <c r="J212" s="30"/>
      <c r="K212" s="30"/>
      <c r="L212" s="30"/>
      <c r="M212" s="30"/>
      <c r="N212" s="30"/>
      <c r="O212" s="30"/>
      <c r="P212" s="30"/>
      <c r="Q212" s="30"/>
    </row>
    <row r="213" spans="1:17" x14ac:dyDescent="0.25">
      <c r="A213" s="59" t="s">
        <v>1273</v>
      </c>
      <c r="B213" s="59" t="s">
        <v>759</v>
      </c>
      <c r="C213" s="30"/>
      <c r="D213" s="30"/>
      <c r="E213" s="30"/>
      <c r="F213" s="30"/>
      <c r="G213" s="30"/>
      <c r="H213" s="30"/>
      <c r="I213" s="30"/>
      <c r="J213" s="30"/>
      <c r="K213" s="30"/>
      <c r="L213" s="30"/>
      <c r="M213" s="30"/>
      <c r="N213" s="30"/>
      <c r="O213" s="30"/>
      <c r="P213" s="30"/>
      <c r="Q213" s="30"/>
    </row>
    <row r="214" spans="1:17" x14ac:dyDescent="0.25">
      <c r="A214" s="59" t="s">
        <v>1382</v>
      </c>
      <c r="B214" s="59">
        <v>472319</v>
      </c>
      <c r="C214" s="30"/>
      <c r="D214" s="30"/>
      <c r="E214" s="30"/>
      <c r="F214" s="30"/>
      <c r="G214" s="30"/>
      <c r="H214" s="30"/>
      <c r="I214" s="30"/>
      <c r="J214" s="30"/>
      <c r="K214" s="30"/>
      <c r="L214" s="30"/>
      <c r="M214" s="30"/>
      <c r="N214" s="30"/>
      <c r="O214" s="30"/>
      <c r="P214" s="30"/>
      <c r="Q214" s="30"/>
    </row>
    <row r="215" spans="1:17" x14ac:dyDescent="0.25">
      <c r="A215" s="59" t="s">
        <v>1272</v>
      </c>
      <c r="B215" s="59">
        <v>260849</v>
      </c>
      <c r="C215" s="30"/>
      <c r="D215" s="30"/>
      <c r="E215" s="30"/>
      <c r="F215" s="30"/>
      <c r="G215" s="30"/>
      <c r="H215" s="30"/>
      <c r="I215" s="30"/>
      <c r="J215" s="30"/>
      <c r="K215" s="30"/>
      <c r="L215" s="30"/>
      <c r="M215" s="30"/>
      <c r="N215" s="30"/>
      <c r="O215" s="30"/>
      <c r="P215" s="30"/>
      <c r="Q215" s="30"/>
    </row>
    <row r="216" spans="1:17" x14ac:dyDescent="0.25">
      <c r="A216" s="59" t="s">
        <v>1383</v>
      </c>
      <c r="B216" s="59">
        <v>482805</v>
      </c>
      <c r="C216" s="30"/>
      <c r="D216" s="30"/>
      <c r="E216" s="30"/>
      <c r="F216" s="30"/>
      <c r="G216" s="30"/>
      <c r="H216" s="30"/>
      <c r="I216" s="30"/>
      <c r="J216" s="30"/>
      <c r="K216" s="30"/>
      <c r="L216" s="30"/>
      <c r="M216" s="30"/>
      <c r="N216" s="30"/>
      <c r="O216" s="30"/>
      <c r="P216" s="30"/>
      <c r="Q216" s="30"/>
    </row>
    <row r="217" spans="1:17" x14ac:dyDescent="0.25">
      <c r="A217" s="59" t="s">
        <v>1381</v>
      </c>
      <c r="B217" s="59">
        <v>447579</v>
      </c>
      <c r="C217" s="30"/>
      <c r="D217" s="30"/>
      <c r="E217" s="30"/>
      <c r="F217" s="30"/>
      <c r="G217" s="30"/>
      <c r="H217" s="30"/>
      <c r="I217" s="30"/>
      <c r="J217" s="30"/>
      <c r="K217" s="30"/>
      <c r="L217" s="30"/>
      <c r="M217" s="30"/>
      <c r="N217" s="30"/>
      <c r="O217" s="30"/>
      <c r="P217" s="30"/>
      <c r="Q217" s="30"/>
    </row>
    <row r="218" spans="1:17" x14ac:dyDescent="0.25">
      <c r="A218" s="59" t="s">
        <v>1274</v>
      </c>
      <c r="B218" s="59" t="s">
        <v>280</v>
      </c>
      <c r="C218" s="30"/>
      <c r="D218" s="30"/>
      <c r="E218" s="30"/>
      <c r="F218" s="30"/>
      <c r="G218" s="30"/>
      <c r="H218" s="30"/>
      <c r="I218" s="30"/>
      <c r="J218" s="30"/>
      <c r="K218" s="30"/>
      <c r="L218" s="30"/>
      <c r="M218" s="30"/>
      <c r="N218" s="30"/>
      <c r="O218" s="30"/>
      <c r="P218" s="30"/>
      <c r="Q218" s="30"/>
    </row>
    <row r="219" spans="1:17" x14ac:dyDescent="0.25">
      <c r="A219" s="59" t="s">
        <v>1275</v>
      </c>
      <c r="B219" s="59" t="s">
        <v>762</v>
      </c>
      <c r="C219" s="30"/>
      <c r="D219" s="30"/>
      <c r="E219" s="30"/>
      <c r="F219" s="30"/>
      <c r="G219" s="30"/>
      <c r="H219" s="30"/>
      <c r="I219" s="30"/>
      <c r="J219" s="30"/>
      <c r="K219" s="30"/>
      <c r="L219" s="30"/>
      <c r="M219" s="30"/>
      <c r="N219" s="30"/>
      <c r="O219" s="30"/>
      <c r="P219" s="30"/>
      <c r="Q219" s="30"/>
    </row>
    <row r="220" spans="1:17" x14ac:dyDescent="0.25">
      <c r="A220" s="59" t="s">
        <v>1277</v>
      </c>
      <c r="B220" s="59" t="s">
        <v>766</v>
      </c>
      <c r="C220" s="30"/>
      <c r="D220" s="30"/>
      <c r="E220" s="30"/>
      <c r="F220" s="30"/>
      <c r="G220" s="30"/>
      <c r="H220" s="30"/>
      <c r="I220" s="30"/>
      <c r="J220" s="30"/>
      <c r="K220" s="30"/>
      <c r="L220" s="30"/>
      <c r="M220" s="30"/>
      <c r="N220" s="30"/>
      <c r="O220" s="30"/>
      <c r="P220" s="30"/>
      <c r="Q220" s="30"/>
    </row>
    <row r="221" spans="1:17" x14ac:dyDescent="0.25">
      <c r="A221" s="59" t="s">
        <v>1276</v>
      </c>
      <c r="B221" s="59" t="s">
        <v>764</v>
      </c>
      <c r="C221" s="30"/>
      <c r="D221" s="30"/>
      <c r="E221" s="30"/>
      <c r="F221" s="30"/>
      <c r="G221" s="30"/>
      <c r="H221" s="30"/>
      <c r="I221" s="30"/>
      <c r="J221" s="30"/>
      <c r="K221" s="30"/>
      <c r="L221" s="30"/>
      <c r="M221" s="30"/>
      <c r="N221" s="30"/>
      <c r="O221" s="30"/>
      <c r="P221" s="30"/>
      <c r="Q221" s="30"/>
    </row>
    <row r="222" spans="1:17" x14ac:dyDescent="0.25">
      <c r="A222" s="59" t="s">
        <v>1279</v>
      </c>
      <c r="B222" s="59" t="s">
        <v>771</v>
      </c>
      <c r="C222" s="30"/>
      <c r="D222" s="30"/>
      <c r="E222" s="30"/>
      <c r="F222" s="30"/>
      <c r="G222" s="30"/>
      <c r="H222" s="30"/>
      <c r="I222" s="30"/>
      <c r="J222" s="30"/>
      <c r="K222" s="30"/>
      <c r="L222" s="30"/>
      <c r="M222" s="30"/>
      <c r="N222" s="30"/>
      <c r="O222" s="30"/>
      <c r="P222" s="30"/>
      <c r="Q222" s="30"/>
    </row>
    <row r="223" spans="1:17" x14ac:dyDescent="0.25">
      <c r="A223" s="437" t="s">
        <v>1278</v>
      </c>
      <c r="B223" s="529" t="s">
        <v>768</v>
      </c>
      <c r="C223" s="30"/>
      <c r="D223" s="30"/>
      <c r="E223" s="30"/>
      <c r="F223" s="30"/>
      <c r="G223" s="30"/>
      <c r="H223" s="30"/>
      <c r="I223" s="30"/>
      <c r="J223" s="30"/>
      <c r="K223" s="30"/>
      <c r="L223" s="30"/>
      <c r="M223" s="30"/>
      <c r="N223" s="30"/>
      <c r="O223" s="30"/>
      <c r="P223" s="30"/>
      <c r="Q223" s="30"/>
    </row>
    <row r="224" spans="1:17" x14ac:dyDescent="0.25">
      <c r="A224" s="437" t="s">
        <v>564</v>
      </c>
      <c r="B224" s="529" t="s">
        <v>281</v>
      </c>
      <c r="C224" s="30"/>
      <c r="D224" s="30"/>
      <c r="E224" s="30"/>
      <c r="F224" s="30"/>
      <c r="G224" s="30"/>
      <c r="H224" s="30"/>
      <c r="I224" s="30"/>
      <c r="J224" s="30"/>
      <c r="K224" s="30"/>
      <c r="L224" s="30"/>
      <c r="M224" s="30"/>
      <c r="N224" s="30"/>
      <c r="O224" s="30"/>
      <c r="P224" s="30"/>
      <c r="Q224" s="30"/>
    </row>
    <row r="225" spans="1:17" x14ac:dyDescent="0.25">
      <c r="A225" s="59" t="s">
        <v>1284</v>
      </c>
      <c r="B225" s="59" t="s">
        <v>774</v>
      </c>
      <c r="C225" s="30"/>
      <c r="D225" s="30"/>
      <c r="E225" s="30"/>
      <c r="F225" s="30"/>
      <c r="G225" s="30"/>
      <c r="H225" s="30"/>
      <c r="I225" s="30"/>
      <c r="J225" s="30"/>
      <c r="K225" s="30"/>
      <c r="L225" s="30"/>
      <c r="M225" s="30"/>
      <c r="N225" s="30"/>
      <c r="O225" s="30"/>
      <c r="P225" s="30"/>
      <c r="Q225" s="30"/>
    </row>
    <row r="226" spans="1:17" x14ac:dyDescent="0.25">
      <c r="A226" s="59" t="s">
        <v>1384</v>
      </c>
      <c r="B226" s="59">
        <v>484039</v>
      </c>
      <c r="C226" s="30"/>
      <c r="D226" s="30"/>
      <c r="E226" s="30"/>
      <c r="F226" s="30"/>
      <c r="G226" s="30"/>
      <c r="H226" s="30"/>
      <c r="I226" s="30"/>
      <c r="J226" s="30"/>
      <c r="K226" s="30"/>
      <c r="L226" s="30"/>
      <c r="M226" s="30"/>
      <c r="N226" s="30"/>
      <c r="O226" s="30"/>
      <c r="P226" s="30"/>
      <c r="Q226" s="30"/>
    </row>
    <row r="227" spans="1:17" x14ac:dyDescent="0.25">
      <c r="A227" s="59" t="s">
        <v>1285</v>
      </c>
      <c r="B227" s="59" t="s">
        <v>776</v>
      </c>
      <c r="C227" s="30"/>
      <c r="D227" s="30"/>
      <c r="E227" s="30"/>
      <c r="F227" s="30"/>
      <c r="G227" s="30"/>
      <c r="H227" s="30"/>
      <c r="I227" s="30"/>
      <c r="J227" s="30"/>
      <c r="K227" s="30"/>
      <c r="L227" s="30"/>
      <c r="M227" s="30"/>
      <c r="N227" s="30"/>
      <c r="O227" s="30"/>
      <c r="P227" s="30"/>
      <c r="Q227" s="30"/>
    </row>
    <row r="228" spans="1:17" x14ac:dyDescent="0.25">
      <c r="A228" s="59" t="s">
        <v>1385</v>
      </c>
      <c r="B228" s="59">
        <v>343478</v>
      </c>
      <c r="C228" s="30"/>
      <c r="D228" s="30"/>
      <c r="E228" s="30"/>
      <c r="F228" s="30"/>
      <c r="G228" s="30"/>
      <c r="H228" s="30"/>
      <c r="I228" s="30"/>
      <c r="J228" s="30"/>
      <c r="K228" s="30"/>
      <c r="L228" s="30"/>
      <c r="M228" s="30"/>
      <c r="N228" s="30"/>
      <c r="O228" s="30"/>
      <c r="P228" s="30"/>
      <c r="Q228" s="30"/>
    </row>
    <row r="229" spans="1:17" x14ac:dyDescent="0.25">
      <c r="A229" s="59" t="s">
        <v>532</v>
      </c>
      <c r="B229" s="59" t="s">
        <v>283</v>
      </c>
      <c r="C229" s="30"/>
      <c r="D229" s="30"/>
      <c r="E229" s="30"/>
      <c r="F229" s="30"/>
      <c r="G229" s="30"/>
      <c r="H229" s="30"/>
      <c r="I229" s="30"/>
      <c r="J229" s="30"/>
      <c r="K229" s="30"/>
      <c r="L229" s="30"/>
      <c r="M229" s="30"/>
      <c r="N229" s="30"/>
      <c r="O229" s="30"/>
      <c r="P229" s="30"/>
      <c r="Q229" s="30"/>
    </row>
    <row r="230" spans="1:17" x14ac:dyDescent="0.25">
      <c r="A230" s="59" t="s">
        <v>1280</v>
      </c>
      <c r="B230" s="59">
        <v>206031</v>
      </c>
      <c r="C230" s="30"/>
      <c r="D230" s="30"/>
      <c r="E230" s="30"/>
      <c r="F230" s="30"/>
      <c r="G230" s="30"/>
      <c r="H230" s="30"/>
      <c r="I230" s="30"/>
      <c r="J230" s="30"/>
      <c r="K230" s="30"/>
      <c r="L230" s="30"/>
      <c r="M230" s="30"/>
      <c r="N230" s="30"/>
      <c r="O230" s="30"/>
      <c r="P230" s="30"/>
      <c r="Q230" s="30"/>
    </row>
    <row r="231" spans="1:17" x14ac:dyDescent="0.25">
      <c r="A231" s="59" t="s">
        <v>531</v>
      </c>
      <c r="B231" s="59" t="s">
        <v>284</v>
      </c>
      <c r="C231" s="30"/>
      <c r="D231" s="30"/>
      <c r="E231" s="30"/>
      <c r="F231" s="30"/>
      <c r="G231" s="30"/>
      <c r="H231" s="30"/>
      <c r="I231" s="30"/>
      <c r="J231" s="30"/>
      <c r="K231" s="30"/>
      <c r="L231" s="30"/>
      <c r="M231" s="30"/>
      <c r="N231" s="30"/>
      <c r="O231" s="30"/>
      <c r="P231" s="30"/>
      <c r="Q231" s="30"/>
    </row>
    <row r="232" spans="1:17" x14ac:dyDescent="0.25">
      <c r="A232" s="59" t="s">
        <v>530</v>
      </c>
      <c r="B232" s="59" t="s">
        <v>282</v>
      </c>
      <c r="C232" s="30"/>
      <c r="D232" s="30"/>
      <c r="E232" s="30"/>
      <c r="F232" s="30"/>
      <c r="G232" s="30"/>
      <c r="H232" s="30"/>
      <c r="I232" s="30"/>
      <c r="J232" s="30"/>
      <c r="K232" s="30"/>
      <c r="L232" s="30"/>
      <c r="M232" s="30"/>
      <c r="N232" s="30"/>
      <c r="O232" s="30"/>
      <c r="P232" s="30"/>
      <c r="Q232" s="30"/>
    </row>
    <row r="233" spans="1:17" x14ac:dyDescent="0.25">
      <c r="A233" s="59" t="s">
        <v>1281</v>
      </c>
      <c r="B233" s="59" t="s">
        <v>781</v>
      </c>
      <c r="C233" s="30"/>
      <c r="D233" s="30"/>
      <c r="E233" s="30"/>
      <c r="F233" s="30"/>
      <c r="G233" s="30"/>
      <c r="H233" s="30"/>
      <c r="I233" s="30"/>
      <c r="J233" s="30"/>
      <c r="K233" s="30"/>
      <c r="L233" s="30"/>
      <c r="M233" s="30"/>
      <c r="N233" s="30"/>
      <c r="O233" s="30"/>
      <c r="P233" s="30"/>
      <c r="Q233" s="30"/>
    </row>
    <row r="234" spans="1:17" x14ac:dyDescent="0.25">
      <c r="A234" s="59" t="s">
        <v>1255</v>
      </c>
      <c r="B234" s="59" t="s">
        <v>285</v>
      </c>
      <c r="C234" s="30"/>
      <c r="D234" s="30"/>
      <c r="E234" s="30"/>
      <c r="F234" s="30"/>
      <c r="G234" s="30"/>
      <c r="H234" s="30"/>
      <c r="I234" s="30"/>
      <c r="J234" s="30"/>
      <c r="K234" s="30"/>
      <c r="L234" s="30"/>
      <c r="M234" s="30"/>
      <c r="N234" s="30"/>
      <c r="O234" s="30"/>
      <c r="P234" s="30"/>
      <c r="Q234" s="30"/>
    </row>
    <row r="235" spans="1:17" x14ac:dyDescent="0.25">
      <c r="A235" s="59" t="s">
        <v>1289</v>
      </c>
      <c r="B235" s="59">
        <v>260848</v>
      </c>
      <c r="C235" s="30"/>
      <c r="D235" s="30"/>
      <c r="E235" s="30"/>
      <c r="F235" s="30"/>
      <c r="G235" s="30"/>
      <c r="H235" s="30"/>
      <c r="I235" s="30"/>
      <c r="J235" s="30"/>
      <c r="K235" s="30"/>
      <c r="L235" s="30"/>
      <c r="M235" s="30"/>
      <c r="N235" s="30"/>
      <c r="O235" s="30"/>
      <c r="P235" s="30"/>
      <c r="Q235" s="30"/>
    </row>
    <row r="236" spans="1:17" x14ac:dyDescent="0.25">
      <c r="A236" s="59" t="s">
        <v>565</v>
      </c>
      <c r="B236" s="59">
        <v>206043</v>
      </c>
      <c r="C236" s="30"/>
      <c r="D236" s="30"/>
      <c r="E236" s="30"/>
      <c r="F236" s="30"/>
      <c r="G236" s="30"/>
      <c r="H236" s="30"/>
      <c r="I236" s="30"/>
      <c r="J236" s="30"/>
      <c r="K236" s="30"/>
      <c r="L236" s="30"/>
      <c r="M236" s="30"/>
      <c r="N236" s="30"/>
      <c r="O236" s="30"/>
      <c r="P236" s="30"/>
      <c r="Q236" s="30"/>
    </row>
    <row r="237" spans="1:17" x14ac:dyDescent="0.25">
      <c r="A237" s="59" t="s">
        <v>533</v>
      </c>
      <c r="B237" s="59" t="s">
        <v>286</v>
      </c>
      <c r="C237" s="30"/>
      <c r="D237" s="30"/>
      <c r="E237" s="30"/>
      <c r="F237" s="30"/>
      <c r="G237" s="30"/>
      <c r="H237" s="30"/>
      <c r="I237" s="30"/>
      <c r="J237" s="30"/>
      <c r="K237" s="30"/>
      <c r="L237" s="30"/>
      <c r="M237" s="30"/>
      <c r="N237" s="30"/>
      <c r="O237" s="30"/>
      <c r="P237" s="30"/>
      <c r="Q237" s="30"/>
    </row>
    <row r="238" spans="1:17" x14ac:dyDescent="0.25">
      <c r="A238" s="59" t="s">
        <v>533</v>
      </c>
      <c r="B238" s="59">
        <v>505502</v>
      </c>
      <c r="C238" s="30"/>
      <c r="D238" s="30"/>
      <c r="E238" s="30"/>
      <c r="F238" s="30"/>
      <c r="G238" s="30"/>
      <c r="H238" s="30"/>
      <c r="I238" s="30"/>
      <c r="J238" s="30"/>
      <c r="K238" s="30"/>
      <c r="L238" s="30"/>
      <c r="M238" s="30"/>
      <c r="N238" s="30"/>
      <c r="O238" s="30"/>
      <c r="P238" s="30"/>
      <c r="Q238" s="30"/>
    </row>
    <row r="239" spans="1:17" x14ac:dyDescent="0.25">
      <c r="A239" s="59" t="s">
        <v>563</v>
      </c>
      <c r="B239" s="59">
        <v>205978</v>
      </c>
      <c r="C239" s="30"/>
      <c r="D239" s="30"/>
      <c r="E239" s="30"/>
      <c r="F239" s="30"/>
      <c r="G239" s="30"/>
      <c r="H239" s="30"/>
      <c r="I239" s="30"/>
      <c r="J239" s="30"/>
      <c r="K239" s="30"/>
      <c r="L239" s="30"/>
      <c r="M239" s="30"/>
      <c r="N239" s="30"/>
      <c r="O239" s="30"/>
      <c r="P239" s="30"/>
      <c r="Q239" s="30"/>
    </row>
    <row r="240" spans="1:17" x14ac:dyDescent="0.25">
      <c r="A240" s="59" t="s">
        <v>1296</v>
      </c>
      <c r="B240" s="59">
        <v>435150</v>
      </c>
      <c r="C240" s="30"/>
      <c r="D240" s="30"/>
      <c r="E240" s="30"/>
      <c r="F240" s="30"/>
      <c r="G240" s="30"/>
      <c r="H240" s="30"/>
      <c r="I240" s="30"/>
      <c r="J240" s="30"/>
      <c r="K240" s="30"/>
      <c r="L240" s="30"/>
      <c r="M240" s="30"/>
      <c r="N240" s="30"/>
      <c r="O240" s="30"/>
      <c r="P240" s="30"/>
      <c r="Q240" s="30"/>
    </row>
    <row r="241" spans="1:17" x14ac:dyDescent="0.25">
      <c r="A241" s="59" t="s">
        <v>1288</v>
      </c>
      <c r="B241" s="59">
        <v>206067</v>
      </c>
      <c r="C241" s="30"/>
      <c r="D241" s="30"/>
      <c r="E241" s="30"/>
      <c r="F241" s="30"/>
      <c r="G241" s="30"/>
      <c r="H241" s="30"/>
      <c r="I241" s="30"/>
      <c r="J241" s="30"/>
      <c r="K241" s="30"/>
      <c r="L241" s="30"/>
      <c r="M241" s="30"/>
      <c r="N241" s="30"/>
      <c r="O241" s="30"/>
      <c r="P241" s="30"/>
      <c r="Q241" s="30"/>
    </row>
    <row r="242" spans="1:17" x14ac:dyDescent="0.25">
      <c r="A242" s="59" t="s">
        <v>534</v>
      </c>
      <c r="B242" s="59" t="s">
        <v>287</v>
      </c>
      <c r="C242" s="30"/>
      <c r="D242" s="30"/>
      <c r="E242" s="30"/>
      <c r="F242" s="30"/>
      <c r="G242" s="30"/>
      <c r="H242" s="30"/>
      <c r="I242" s="30"/>
      <c r="J242" s="30"/>
      <c r="K242" s="30"/>
      <c r="L242" s="30"/>
      <c r="M242" s="30"/>
      <c r="N242" s="30"/>
      <c r="O242" s="30"/>
      <c r="P242" s="30"/>
      <c r="Q242" s="30"/>
    </row>
    <row r="243" spans="1:17" x14ac:dyDescent="0.25">
      <c r="A243" s="59" t="s">
        <v>1282</v>
      </c>
      <c r="B243" s="59" t="s">
        <v>279</v>
      </c>
      <c r="C243" s="30"/>
      <c r="D243" s="30"/>
      <c r="E243" s="30"/>
      <c r="F243" s="30"/>
      <c r="G243" s="30"/>
      <c r="H243" s="30"/>
      <c r="I243" s="30"/>
      <c r="J243" s="30"/>
      <c r="K243" s="30"/>
      <c r="L243" s="30"/>
      <c r="M243" s="30"/>
      <c r="N243" s="30"/>
      <c r="O243" s="30"/>
      <c r="P243" s="30"/>
      <c r="Q243" s="30"/>
    </row>
    <row r="244" spans="1:17" x14ac:dyDescent="0.25">
      <c r="A244" s="59" t="s">
        <v>535</v>
      </c>
      <c r="B244" s="59" t="s">
        <v>288</v>
      </c>
      <c r="C244" s="30"/>
      <c r="D244" s="30"/>
      <c r="E244" s="30"/>
      <c r="F244" s="30"/>
      <c r="G244" s="30"/>
      <c r="H244" s="30"/>
      <c r="I244" s="30"/>
      <c r="J244" s="30"/>
      <c r="K244" s="30"/>
      <c r="L244" s="30"/>
      <c r="M244" s="30"/>
      <c r="N244" s="30"/>
      <c r="O244" s="30"/>
      <c r="P244" s="30"/>
      <c r="Q244" s="30"/>
    </row>
    <row r="245" spans="1:17" x14ac:dyDescent="0.25">
      <c r="A245" s="59" t="s">
        <v>1286</v>
      </c>
      <c r="B245" s="59" t="s">
        <v>793</v>
      </c>
      <c r="C245" s="30"/>
      <c r="D245" s="30"/>
      <c r="E245" s="30"/>
      <c r="F245" s="30"/>
      <c r="G245" s="30"/>
      <c r="H245" s="30"/>
      <c r="I245" s="30"/>
      <c r="J245" s="30"/>
      <c r="K245" s="30"/>
      <c r="L245" s="30"/>
      <c r="M245" s="30"/>
      <c r="N245" s="30"/>
      <c r="O245" s="30"/>
      <c r="P245" s="30"/>
      <c r="Q245" s="30"/>
    </row>
    <row r="246" spans="1:17" x14ac:dyDescent="0.25">
      <c r="A246" s="59" t="s">
        <v>1386</v>
      </c>
      <c r="B246" s="59">
        <v>414019</v>
      </c>
      <c r="C246" s="30"/>
      <c r="D246" s="30"/>
      <c r="E246" s="30"/>
      <c r="F246" s="30"/>
      <c r="G246" s="30"/>
      <c r="H246" s="30"/>
      <c r="I246" s="30"/>
      <c r="J246" s="30"/>
      <c r="K246" s="30"/>
      <c r="L246" s="30"/>
      <c r="M246" s="30"/>
      <c r="N246" s="30"/>
      <c r="O246" s="30"/>
      <c r="P246" s="30"/>
      <c r="Q246" s="30"/>
    </row>
    <row r="247" spans="1:17" x14ac:dyDescent="0.25">
      <c r="A247" s="59" t="s">
        <v>567</v>
      </c>
      <c r="B247" s="59" t="s">
        <v>274</v>
      </c>
      <c r="C247" s="30"/>
      <c r="D247" s="30"/>
      <c r="E247" s="30"/>
      <c r="F247" s="30"/>
      <c r="G247" s="30"/>
      <c r="H247" s="30"/>
      <c r="I247" s="30"/>
      <c r="J247" s="30"/>
      <c r="K247" s="30"/>
      <c r="L247" s="30"/>
      <c r="M247" s="30"/>
      <c r="N247" s="30"/>
      <c r="O247" s="30"/>
      <c r="P247" s="30"/>
      <c r="Q247" s="30"/>
    </row>
    <row r="248" spans="1:17" x14ac:dyDescent="0.25">
      <c r="A248" s="59" t="s">
        <v>1387</v>
      </c>
      <c r="B248" s="59">
        <v>458078</v>
      </c>
      <c r="C248" s="30"/>
      <c r="D248" s="30"/>
      <c r="E248" s="30"/>
      <c r="F248" s="30"/>
      <c r="G248" s="30"/>
      <c r="H248" s="30"/>
      <c r="I248" s="30"/>
      <c r="J248" s="30"/>
      <c r="K248" s="30"/>
      <c r="L248" s="30"/>
      <c r="M248" s="30"/>
      <c r="N248" s="30"/>
      <c r="O248" s="30"/>
      <c r="P248" s="30"/>
      <c r="Q248" s="30"/>
    </row>
    <row r="249" spans="1:17" x14ac:dyDescent="0.25">
      <c r="A249" s="59" t="s">
        <v>1287</v>
      </c>
      <c r="B249" s="59" t="s">
        <v>795</v>
      </c>
      <c r="C249" s="30"/>
      <c r="D249" s="30"/>
      <c r="E249" s="30"/>
      <c r="F249" s="30"/>
      <c r="G249" s="30"/>
      <c r="H249" s="30"/>
      <c r="I249" s="30"/>
      <c r="J249" s="30"/>
      <c r="K249" s="30"/>
      <c r="L249" s="30"/>
      <c r="M249" s="30"/>
      <c r="N249" s="30"/>
      <c r="O249" s="30"/>
      <c r="P249" s="30"/>
      <c r="Q249" s="30"/>
    </row>
    <row r="250" spans="1:17" x14ac:dyDescent="0.25">
      <c r="A250" s="59" t="s">
        <v>289</v>
      </c>
      <c r="B250" s="59" t="s">
        <v>290</v>
      </c>
      <c r="C250" s="30"/>
      <c r="D250" s="30"/>
      <c r="E250" s="30"/>
      <c r="F250" s="30"/>
      <c r="G250" s="30"/>
      <c r="H250" s="30"/>
      <c r="I250" s="30"/>
      <c r="J250" s="30"/>
      <c r="K250" s="30"/>
      <c r="L250" s="30"/>
      <c r="M250" s="30"/>
      <c r="N250" s="30"/>
      <c r="O250" s="30"/>
      <c r="P250" s="30"/>
      <c r="Q250" s="30"/>
    </row>
    <row r="251" spans="1:17" x14ac:dyDescent="0.25">
      <c r="A251" s="59" t="s">
        <v>1306</v>
      </c>
      <c r="B251" s="59">
        <v>4003</v>
      </c>
      <c r="C251" s="30"/>
      <c r="D251" s="30"/>
      <c r="E251" s="30"/>
      <c r="F251" s="30"/>
      <c r="G251" s="30"/>
      <c r="H251" s="30"/>
      <c r="I251" s="30"/>
      <c r="J251" s="30"/>
      <c r="K251" s="30"/>
      <c r="L251" s="30"/>
      <c r="M251" s="30"/>
      <c r="N251" s="30"/>
      <c r="O251" s="30"/>
      <c r="P251" s="30"/>
      <c r="Q251" s="30"/>
    </row>
    <row r="252" spans="1:17" x14ac:dyDescent="0.25">
      <c r="A252" s="59" t="s">
        <v>797</v>
      </c>
      <c r="B252" s="59" t="s">
        <v>798</v>
      </c>
      <c r="C252" s="30"/>
      <c r="D252" s="30"/>
      <c r="E252" s="30"/>
      <c r="F252" s="30"/>
      <c r="G252" s="30"/>
      <c r="H252" s="30"/>
      <c r="I252" s="30"/>
      <c r="J252" s="30"/>
      <c r="K252" s="30"/>
      <c r="L252" s="30"/>
      <c r="M252" s="30"/>
      <c r="N252" s="30"/>
      <c r="O252" s="30"/>
      <c r="P252" s="30"/>
      <c r="Q252" s="30"/>
    </row>
    <row r="253" spans="1:17" x14ac:dyDescent="0.25">
      <c r="A253" s="59" t="s">
        <v>291</v>
      </c>
      <c r="B253" s="59" t="s">
        <v>293</v>
      </c>
      <c r="C253" s="30"/>
      <c r="D253" s="30"/>
      <c r="E253" s="30"/>
      <c r="F253" s="30"/>
      <c r="G253" s="30"/>
      <c r="H253" s="30"/>
      <c r="I253" s="30"/>
      <c r="J253" s="30"/>
      <c r="K253" s="30"/>
      <c r="L253" s="30"/>
      <c r="M253" s="30"/>
      <c r="N253" s="30"/>
      <c r="O253" s="30"/>
      <c r="P253" s="30"/>
      <c r="Q253" s="30"/>
    </row>
    <row r="254" spans="1:17" x14ac:dyDescent="0.25">
      <c r="A254" s="59" t="s">
        <v>111</v>
      </c>
      <c r="B254" s="59">
        <v>4178</v>
      </c>
      <c r="C254" s="30"/>
      <c r="D254" s="30"/>
      <c r="E254" s="30"/>
      <c r="F254" s="30"/>
      <c r="G254" s="30"/>
      <c r="H254" s="30"/>
      <c r="I254" s="30"/>
      <c r="J254" s="30"/>
      <c r="K254" s="30"/>
      <c r="L254" s="30"/>
      <c r="M254" s="30"/>
      <c r="N254" s="30"/>
      <c r="O254" s="30"/>
      <c r="P254" s="30"/>
      <c r="Q254" s="30"/>
    </row>
    <row r="255" spans="1:17" x14ac:dyDescent="0.25">
      <c r="A255" s="59" t="s">
        <v>98</v>
      </c>
      <c r="B255" s="59">
        <v>3158</v>
      </c>
      <c r="C255" s="30"/>
      <c r="D255" s="30"/>
      <c r="E255" s="30"/>
      <c r="F255" s="30"/>
      <c r="G255" s="30"/>
      <c r="H255" s="30"/>
      <c r="I255" s="30"/>
      <c r="J255" s="30"/>
      <c r="K255" s="30"/>
      <c r="L255" s="30"/>
      <c r="M255" s="30"/>
      <c r="N255" s="30"/>
      <c r="O255" s="30"/>
      <c r="P255" s="30"/>
      <c r="Q255" s="30"/>
    </row>
    <row r="256" spans="1:17" x14ac:dyDescent="0.25">
      <c r="A256" s="59" t="s">
        <v>32</v>
      </c>
      <c r="B256" s="59">
        <v>2619</v>
      </c>
      <c r="C256" s="30"/>
      <c r="D256" s="30"/>
      <c r="E256" s="30"/>
      <c r="F256" s="30"/>
      <c r="G256" s="30"/>
      <c r="H256" s="30"/>
      <c r="I256" s="30"/>
      <c r="J256" s="30"/>
      <c r="K256" s="30"/>
      <c r="L256" s="30"/>
      <c r="M256" s="30"/>
      <c r="N256" s="30"/>
      <c r="O256" s="30"/>
      <c r="P256" s="30"/>
      <c r="Q256" s="30"/>
    </row>
    <row r="257" spans="1:17" x14ac:dyDescent="0.25">
      <c r="A257" s="59" t="s">
        <v>1388</v>
      </c>
      <c r="B257" s="59">
        <v>479542</v>
      </c>
      <c r="C257" s="30"/>
      <c r="D257" s="30"/>
      <c r="E257" s="30"/>
      <c r="F257" s="30"/>
      <c r="G257" s="30"/>
      <c r="H257" s="30"/>
      <c r="I257" s="30"/>
      <c r="J257" s="30"/>
      <c r="K257" s="30"/>
      <c r="L257" s="30"/>
      <c r="M257" s="30"/>
      <c r="N257" s="30"/>
      <c r="O257" s="30"/>
      <c r="P257" s="30"/>
      <c r="Q257" s="30"/>
    </row>
    <row r="258" spans="1:17" x14ac:dyDescent="0.25">
      <c r="A258" s="59" t="s">
        <v>1389</v>
      </c>
      <c r="B258" s="59" t="s">
        <v>1390</v>
      </c>
      <c r="C258" s="30"/>
      <c r="D258" s="30"/>
      <c r="E258" s="30"/>
      <c r="F258" s="30"/>
      <c r="G258" s="30"/>
      <c r="H258" s="30"/>
      <c r="I258" s="30"/>
      <c r="J258" s="30"/>
      <c r="K258" s="30"/>
      <c r="L258" s="30"/>
      <c r="M258" s="30"/>
      <c r="N258" s="30"/>
      <c r="O258" s="30"/>
      <c r="P258" s="30"/>
      <c r="Q258" s="30"/>
    </row>
    <row r="259" spans="1:17" x14ac:dyDescent="0.25">
      <c r="A259" s="59" t="s">
        <v>799</v>
      </c>
      <c r="B259" s="59" t="s">
        <v>800</v>
      </c>
      <c r="C259" s="30"/>
      <c r="D259" s="30"/>
      <c r="E259" s="30"/>
      <c r="F259" s="30"/>
      <c r="G259" s="30"/>
      <c r="H259" s="30"/>
      <c r="I259" s="30"/>
      <c r="J259" s="30"/>
      <c r="K259" s="30"/>
      <c r="L259" s="30"/>
      <c r="M259" s="30"/>
      <c r="N259" s="30"/>
      <c r="O259" s="30"/>
      <c r="P259" s="30"/>
      <c r="Q259" s="30"/>
    </row>
    <row r="260" spans="1:17" x14ac:dyDescent="0.25">
      <c r="A260" s="59" t="s">
        <v>1391</v>
      </c>
      <c r="B260" s="59">
        <v>487369</v>
      </c>
      <c r="C260" s="30"/>
      <c r="D260" s="30"/>
      <c r="E260" s="30"/>
      <c r="F260" s="30"/>
      <c r="G260" s="30"/>
      <c r="H260" s="30"/>
      <c r="I260" s="30"/>
      <c r="J260" s="30"/>
      <c r="K260" s="30"/>
      <c r="L260" s="30"/>
      <c r="M260" s="30"/>
      <c r="N260" s="30"/>
      <c r="O260" s="30"/>
      <c r="P260" s="30"/>
      <c r="Q260" s="30"/>
    </row>
    <row r="261" spans="1:17" x14ac:dyDescent="0.25">
      <c r="A261" s="59" t="s">
        <v>1392</v>
      </c>
      <c r="B261" s="59">
        <v>477763</v>
      </c>
      <c r="C261" s="30"/>
      <c r="D261" s="30"/>
      <c r="E261" s="30"/>
      <c r="F261" s="30"/>
      <c r="G261" s="30"/>
      <c r="H261" s="30"/>
      <c r="I261" s="30"/>
      <c r="J261" s="30"/>
      <c r="K261" s="30"/>
      <c r="L261" s="30"/>
      <c r="M261" s="30"/>
      <c r="N261" s="30"/>
      <c r="O261" s="30"/>
      <c r="P261" s="30"/>
      <c r="Q261" s="30"/>
    </row>
    <row r="262" spans="1:17" x14ac:dyDescent="0.25">
      <c r="A262" s="59" t="s">
        <v>294</v>
      </c>
      <c r="B262" s="59" t="s">
        <v>295</v>
      </c>
      <c r="C262" s="30"/>
      <c r="D262" s="30"/>
      <c r="E262" s="30"/>
      <c r="F262" s="30"/>
      <c r="G262" s="30"/>
      <c r="H262" s="30"/>
      <c r="I262" s="30"/>
      <c r="J262" s="30"/>
      <c r="K262" s="30"/>
      <c r="L262" s="30"/>
      <c r="M262" s="30"/>
      <c r="N262" s="30"/>
      <c r="O262" s="30"/>
      <c r="P262" s="30"/>
      <c r="Q262" s="30"/>
    </row>
    <row r="263" spans="1:17" x14ac:dyDescent="0.25">
      <c r="A263" s="59" t="s">
        <v>296</v>
      </c>
      <c r="B263" s="59">
        <v>258417</v>
      </c>
      <c r="C263" s="30"/>
      <c r="D263" s="30"/>
      <c r="E263" s="30"/>
      <c r="F263" s="30"/>
      <c r="G263" s="30"/>
      <c r="H263" s="30"/>
      <c r="I263" s="30"/>
      <c r="J263" s="30"/>
      <c r="K263" s="30"/>
      <c r="L263" s="30"/>
      <c r="M263" s="30"/>
      <c r="N263" s="30"/>
      <c r="O263" s="30"/>
      <c r="P263" s="30"/>
      <c r="Q263" s="30"/>
    </row>
    <row r="264" spans="1:17" x14ac:dyDescent="0.25">
      <c r="A264" s="59" t="s">
        <v>298</v>
      </c>
      <c r="B264" s="59" t="s">
        <v>300</v>
      </c>
      <c r="C264" s="30"/>
      <c r="D264" s="30"/>
      <c r="E264" s="30"/>
      <c r="F264" s="30"/>
      <c r="G264" s="30"/>
      <c r="H264" s="30"/>
      <c r="I264" s="30"/>
      <c r="J264" s="30"/>
      <c r="K264" s="30"/>
      <c r="L264" s="30"/>
      <c r="M264" s="30"/>
      <c r="N264" s="30"/>
      <c r="O264" s="30"/>
      <c r="P264" s="30"/>
      <c r="Q264" s="30"/>
    </row>
    <row r="265" spans="1:17" x14ac:dyDescent="0.25">
      <c r="A265" s="59" t="s">
        <v>301</v>
      </c>
      <c r="B265" s="59" t="s">
        <v>303</v>
      </c>
      <c r="C265" s="30"/>
      <c r="D265" s="30"/>
      <c r="E265" s="30"/>
      <c r="F265" s="30"/>
      <c r="G265" s="30"/>
      <c r="H265" s="30"/>
      <c r="I265" s="30"/>
      <c r="J265" s="30"/>
      <c r="K265" s="30"/>
      <c r="L265" s="30"/>
      <c r="M265" s="30"/>
      <c r="N265" s="30"/>
      <c r="O265" s="30"/>
      <c r="P265" s="30"/>
      <c r="Q265" s="30"/>
    </row>
    <row r="266" spans="1:17" x14ac:dyDescent="0.25">
      <c r="A266" s="59" t="s">
        <v>33</v>
      </c>
      <c r="B266" s="59">
        <v>2518</v>
      </c>
      <c r="C266" s="30"/>
      <c r="D266" s="30"/>
      <c r="E266" s="30"/>
      <c r="F266" s="30"/>
      <c r="G266" s="30"/>
      <c r="H266" s="30"/>
      <c r="I266" s="30"/>
      <c r="J266" s="30"/>
      <c r="K266" s="30"/>
      <c r="L266" s="30"/>
      <c r="M266" s="30"/>
      <c r="N266" s="30"/>
      <c r="O266" s="30"/>
      <c r="P266" s="30"/>
      <c r="Q266" s="30"/>
    </row>
    <row r="267" spans="1:17" x14ac:dyDescent="0.25">
      <c r="A267" s="59" t="s">
        <v>801</v>
      </c>
      <c r="B267" s="59" t="s">
        <v>802</v>
      </c>
      <c r="C267" s="30"/>
      <c r="D267" s="30"/>
      <c r="E267" s="30"/>
      <c r="F267" s="30"/>
      <c r="G267" s="30"/>
      <c r="H267" s="30"/>
      <c r="I267" s="30"/>
      <c r="J267" s="30"/>
      <c r="K267" s="30"/>
      <c r="L267" s="30"/>
      <c r="M267" s="30"/>
      <c r="N267" s="30"/>
      <c r="O267" s="30"/>
      <c r="P267" s="30"/>
      <c r="Q267" s="30"/>
    </row>
    <row r="268" spans="1:17" x14ac:dyDescent="0.25">
      <c r="A268" s="59" t="s">
        <v>304</v>
      </c>
      <c r="B268" s="59">
        <v>206106</v>
      </c>
      <c r="C268" s="30"/>
      <c r="D268" s="30"/>
      <c r="E268" s="30"/>
      <c r="F268" s="30"/>
      <c r="G268" s="30"/>
      <c r="H268" s="30"/>
      <c r="I268" s="30"/>
      <c r="J268" s="30"/>
      <c r="K268" s="30"/>
      <c r="L268" s="30"/>
      <c r="M268" s="30"/>
      <c r="N268" s="30"/>
      <c r="O268" s="30"/>
      <c r="P268" s="30"/>
      <c r="Q268" s="30"/>
    </row>
    <row r="269" spans="1:17" x14ac:dyDescent="0.25">
      <c r="A269" s="59" t="s">
        <v>306</v>
      </c>
      <c r="B269" s="59" t="s">
        <v>307</v>
      </c>
      <c r="C269" s="30"/>
      <c r="D269" s="30"/>
      <c r="E269" s="30"/>
      <c r="F269" s="30"/>
      <c r="G269" s="30"/>
      <c r="H269" s="30"/>
      <c r="I269" s="30"/>
      <c r="J269" s="30"/>
      <c r="K269" s="30"/>
      <c r="L269" s="30"/>
      <c r="M269" s="30"/>
      <c r="N269" s="30"/>
      <c r="O269" s="30"/>
      <c r="P269" s="30"/>
      <c r="Q269" s="30"/>
    </row>
    <row r="270" spans="1:17" x14ac:dyDescent="0.25">
      <c r="A270" s="59" t="s">
        <v>803</v>
      </c>
      <c r="B270" s="59" t="s">
        <v>804</v>
      </c>
      <c r="C270" s="30"/>
      <c r="D270" s="30"/>
      <c r="E270" s="30"/>
      <c r="F270" s="30"/>
      <c r="G270" s="30"/>
      <c r="H270" s="30"/>
      <c r="I270" s="30"/>
      <c r="J270" s="30"/>
      <c r="K270" s="30"/>
      <c r="L270" s="30"/>
      <c r="M270" s="30"/>
      <c r="N270" s="30"/>
      <c r="O270" s="30"/>
      <c r="P270" s="30"/>
      <c r="Q270" s="30"/>
    </row>
    <row r="271" spans="1:17" x14ac:dyDescent="0.25">
      <c r="A271" s="59" t="s">
        <v>34</v>
      </c>
      <c r="B271" s="59">
        <v>2457</v>
      </c>
      <c r="C271" s="30"/>
      <c r="D271" s="30"/>
      <c r="E271" s="30"/>
      <c r="F271" s="30"/>
      <c r="G271" s="30"/>
      <c r="H271" s="30"/>
      <c r="I271" s="30"/>
      <c r="J271" s="30"/>
      <c r="K271" s="30"/>
      <c r="L271" s="30"/>
      <c r="M271" s="30"/>
      <c r="N271" s="30"/>
      <c r="O271" s="30"/>
      <c r="P271" s="30"/>
      <c r="Q271" s="30"/>
    </row>
    <row r="272" spans="1:17" x14ac:dyDescent="0.25">
      <c r="A272" s="59" t="s">
        <v>99</v>
      </c>
      <c r="B272" s="59">
        <v>2010</v>
      </c>
      <c r="C272" s="30"/>
      <c r="D272" s="30"/>
      <c r="E272" s="30"/>
      <c r="F272" s="30"/>
      <c r="G272" s="30"/>
      <c r="H272" s="30"/>
      <c r="I272" s="30"/>
      <c r="J272" s="30"/>
      <c r="K272" s="30"/>
      <c r="L272" s="30"/>
      <c r="M272" s="30"/>
      <c r="N272" s="30"/>
      <c r="O272" s="30"/>
      <c r="P272" s="30"/>
      <c r="Q272" s="30"/>
    </row>
    <row r="273" spans="1:17" x14ac:dyDescent="0.25">
      <c r="A273" s="59" t="s">
        <v>35</v>
      </c>
      <c r="B273" s="59">
        <v>2002</v>
      </c>
      <c r="C273" s="30"/>
      <c r="D273" s="30"/>
      <c r="E273" s="30"/>
      <c r="F273" s="30"/>
      <c r="G273" s="30"/>
      <c r="H273" s="30"/>
      <c r="I273" s="30"/>
      <c r="J273" s="30"/>
      <c r="K273" s="30"/>
      <c r="L273" s="30"/>
      <c r="M273" s="30"/>
      <c r="N273" s="30"/>
      <c r="O273" s="30"/>
      <c r="P273" s="30"/>
      <c r="Q273" s="30"/>
    </row>
    <row r="274" spans="1:17" x14ac:dyDescent="0.25">
      <c r="A274" s="59" t="s">
        <v>36</v>
      </c>
      <c r="B274" s="59">
        <v>3544</v>
      </c>
      <c r="C274" s="30"/>
      <c r="D274" s="30"/>
      <c r="E274" s="30"/>
      <c r="F274" s="30"/>
      <c r="G274" s="30"/>
      <c r="H274" s="30"/>
      <c r="I274" s="30"/>
      <c r="J274" s="30"/>
      <c r="K274" s="30"/>
      <c r="L274" s="30"/>
      <c r="M274" s="30"/>
      <c r="N274" s="30"/>
      <c r="O274" s="30"/>
      <c r="P274" s="30"/>
      <c r="Q274" s="30"/>
    </row>
    <row r="275" spans="1:17" x14ac:dyDescent="0.25">
      <c r="A275" s="59" t="s">
        <v>5</v>
      </c>
      <c r="B275" s="59">
        <v>1008</v>
      </c>
      <c r="C275" s="30"/>
      <c r="D275" s="30"/>
      <c r="E275" s="30"/>
      <c r="F275" s="30"/>
      <c r="G275" s="30"/>
      <c r="H275" s="30"/>
      <c r="I275" s="30"/>
      <c r="J275" s="30"/>
      <c r="K275" s="30"/>
      <c r="L275" s="30"/>
      <c r="M275" s="30"/>
      <c r="N275" s="30"/>
      <c r="O275" s="30"/>
      <c r="P275" s="30"/>
      <c r="Q275" s="30"/>
    </row>
    <row r="276" spans="1:17" x14ac:dyDescent="0.25">
      <c r="A276" s="59" t="s">
        <v>308</v>
      </c>
      <c r="B276" s="59" t="s">
        <v>309</v>
      </c>
      <c r="C276" s="30"/>
      <c r="D276" s="30"/>
      <c r="E276" s="30"/>
      <c r="F276" s="30"/>
      <c r="G276" s="30"/>
      <c r="H276" s="30"/>
      <c r="I276" s="30"/>
      <c r="J276" s="30"/>
      <c r="K276" s="30"/>
      <c r="L276" s="30"/>
      <c r="M276" s="30"/>
      <c r="N276" s="30"/>
      <c r="O276" s="30"/>
      <c r="P276" s="30"/>
      <c r="Q276" s="30"/>
    </row>
    <row r="277" spans="1:17" x14ac:dyDescent="0.25">
      <c r="A277" s="59" t="s">
        <v>100</v>
      </c>
      <c r="B277" s="59">
        <v>2006</v>
      </c>
      <c r="C277" s="30"/>
      <c r="D277" s="30"/>
      <c r="E277" s="30"/>
      <c r="F277" s="30"/>
      <c r="G277" s="30"/>
      <c r="H277" s="30"/>
      <c r="I277" s="30"/>
      <c r="J277" s="30"/>
      <c r="K277" s="30"/>
      <c r="L277" s="30"/>
      <c r="M277" s="30"/>
      <c r="N277" s="30"/>
      <c r="O277" s="30"/>
      <c r="P277" s="30"/>
      <c r="Q277" s="30"/>
    </row>
    <row r="278" spans="1:17" x14ac:dyDescent="0.25">
      <c r="A278" s="59" t="s">
        <v>310</v>
      </c>
      <c r="B278" s="59" t="s">
        <v>311</v>
      </c>
      <c r="C278" s="30"/>
      <c r="D278" s="30"/>
      <c r="E278" s="30"/>
      <c r="F278" s="30"/>
      <c r="G278" s="30"/>
      <c r="H278" s="30"/>
      <c r="I278" s="30"/>
      <c r="J278" s="30"/>
      <c r="K278" s="30"/>
      <c r="L278" s="30"/>
      <c r="M278" s="30"/>
      <c r="N278" s="30"/>
      <c r="O278" s="30"/>
      <c r="P278" s="30"/>
      <c r="Q278" s="30"/>
    </row>
    <row r="279" spans="1:17" x14ac:dyDescent="0.25">
      <c r="A279" s="59" t="s">
        <v>312</v>
      </c>
      <c r="B279" s="59">
        <v>206133</v>
      </c>
      <c r="C279" s="30"/>
      <c r="D279" s="30"/>
      <c r="E279" s="30"/>
      <c r="F279" s="30"/>
      <c r="G279" s="30"/>
      <c r="H279" s="30"/>
      <c r="I279" s="30"/>
      <c r="J279" s="30"/>
      <c r="K279" s="30"/>
      <c r="L279" s="30"/>
      <c r="M279" s="30"/>
      <c r="N279" s="30"/>
      <c r="O279" s="30"/>
      <c r="P279" s="30"/>
      <c r="Q279" s="30"/>
    </row>
    <row r="280" spans="1:17" x14ac:dyDescent="0.25">
      <c r="A280" s="59" t="s">
        <v>806</v>
      </c>
      <c r="B280" s="59" t="s">
        <v>807</v>
      </c>
      <c r="C280" s="30"/>
      <c r="D280" s="30"/>
      <c r="E280" s="30"/>
      <c r="F280" s="30"/>
      <c r="G280" s="30"/>
      <c r="H280" s="30"/>
      <c r="I280" s="30"/>
      <c r="J280" s="30"/>
      <c r="K280" s="30"/>
      <c r="L280" s="30"/>
      <c r="M280" s="30"/>
      <c r="N280" s="30"/>
      <c r="O280" s="30"/>
      <c r="P280" s="30"/>
      <c r="Q280" s="30"/>
    </row>
    <row r="281" spans="1:17" x14ac:dyDescent="0.25">
      <c r="A281" s="59" t="s">
        <v>314</v>
      </c>
      <c r="B281" s="59" t="s">
        <v>316</v>
      </c>
      <c r="C281" s="30"/>
      <c r="D281" s="30"/>
      <c r="E281" s="30"/>
      <c r="F281" s="30"/>
      <c r="G281" s="30"/>
      <c r="H281" s="30"/>
      <c r="I281" s="30"/>
      <c r="J281" s="30"/>
      <c r="K281" s="30"/>
      <c r="L281" s="30"/>
      <c r="M281" s="30"/>
      <c r="N281" s="30"/>
      <c r="O281" s="30"/>
      <c r="P281" s="30"/>
      <c r="Q281" s="30"/>
    </row>
    <row r="282" spans="1:17" x14ac:dyDescent="0.25">
      <c r="A282" s="59" t="s">
        <v>317</v>
      </c>
      <c r="B282" s="59">
        <v>206134</v>
      </c>
      <c r="C282" s="30"/>
      <c r="D282" s="30"/>
      <c r="E282" s="30"/>
      <c r="F282" s="30"/>
      <c r="G282" s="30"/>
      <c r="H282" s="30"/>
      <c r="I282" s="30"/>
      <c r="J282" s="30"/>
      <c r="K282" s="30"/>
      <c r="L282" s="30"/>
      <c r="M282" s="30"/>
      <c r="N282" s="30"/>
      <c r="O282" s="30"/>
      <c r="P282" s="30"/>
      <c r="Q282" s="30"/>
    </row>
    <row r="283" spans="1:17" x14ac:dyDescent="0.25">
      <c r="A283" s="59" t="s">
        <v>321</v>
      </c>
      <c r="B283" s="59" t="s">
        <v>322</v>
      </c>
      <c r="C283" s="30"/>
      <c r="D283" s="30"/>
      <c r="E283" s="30"/>
      <c r="F283" s="30"/>
      <c r="G283" s="30"/>
      <c r="H283" s="30"/>
      <c r="I283" s="30"/>
      <c r="J283" s="30"/>
      <c r="K283" s="30"/>
      <c r="L283" s="30"/>
      <c r="M283" s="30"/>
      <c r="N283" s="30"/>
      <c r="O283" s="30"/>
      <c r="P283" s="30"/>
      <c r="Q283" s="30"/>
    </row>
    <row r="284" spans="1:17" x14ac:dyDescent="0.25">
      <c r="A284" s="59" t="s">
        <v>319</v>
      </c>
      <c r="B284" s="59" t="s">
        <v>320</v>
      </c>
      <c r="C284" s="30"/>
      <c r="D284" s="30"/>
      <c r="E284" s="30"/>
      <c r="F284" s="30"/>
      <c r="G284" s="30"/>
      <c r="H284" s="30"/>
      <c r="I284" s="30"/>
      <c r="J284" s="30"/>
      <c r="K284" s="30"/>
      <c r="L284" s="30"/>
      <c r="M284" s="30"/>
      <c r="N284" s="30"/>
      <c r="O284" s="30"/>
      <c r="P284" s="30"/>
      <c r="Q284" s="30"/>
    </row>
    <row r="285" spans="1:17" x14ac:dyDescent="0.25">
      <c r="A285" s="59" t="s">
        <v>323</v>
      </c>
      <c r="B285" s="59" t="s">
        <v>324</v>
      </c>
      <c r="C285" s="30"/>
      <c r="D285" s="30"/>
      <c r="E285" s="30"/>
      <c r="F285" s="30"/>
      <c r="G285" s="30"/>
      <c r="H285" s="30"/>
      <c r="I285" s="30"/>
      <c r="J285" s="30"/>
      <c r="K285" s="30"/>
      <c r="L285" s="30"/>
      <c r="M285" s="30"/>
      <c r="N285" s="30"/>
      <c r="O285" s="30"/>
      <c r="P285" s="30"/>
      <c r="Q285" s="30"/>
    </row>
    <row r="286" spans="1:17" x14ac:dyDescent="0.25">
      <c r="A286" s="59" t="s">
        <v>325</v>
      </c>
      <c r="B286" s="59">
        <v>206109</v>
      </c>
      <c r="C286" s="30"/>
      <c r="D286" s="30"/>
      <c r="E286" s="30"/>
      <c r="F286" s="30"/>
      <c r="G286" s="30"/>
      <c r="H286" s="30"/>
      <c r="I286" s="30"/>
      <c r="J286" s="30"/>
      <c r="K286" s="30"/>
      <c r="L286" s="30"/>
      <c r="M286" s="30"/>
      <c r="N286" s="30"/>
      <c r="O286" s="30"/>
      <c r="P286" s="30"/>
      <c r="Q286" s="30"/>
    </row>
    <row r="287" spans="1:17" x14ac:dyDescent="0.25">
      <c r="A287" s="59" t="s">
        <v>37</v>
      </c>
      <c r="B287" s="59">
        <v>2434</v>
      </c>
      <c r="C287" s="30"/>
      <c r="D287" s="30"/>
      <c r="E287" s="30"/>
      <c r="F287" s="30"/>
      <c r="G287" s="30"/>
      <c r="H287" s="30"/>
      <c r="I287" s="30"/>
      <c r="J287" s="30"/>
      <c r="K287" s="30"/>
      <c r="L287" s="30"/>
      <c r="M287" s="30"/>
      <c r="N287" s="30"/>
      <c r="O287" s="30"/>
      <c r="P287" s="30"/>
      <c r="Q287" s="30"/>
    </row>
    <row r="288" spans="1:17" x14ac:dyDescent="0.25">
      <c r="A288" s="59" t="s">
        <v>42</v>
      </c>
      <c r="B288" s="59">
        <v>2009</v>
      </c>
      <c r="C288" s="30"/>
      <c r="D288" s="30"/>
      <c r="E288" s="30"/>
      <c r="F288" s="30"/>
      <c r="G288" s="30"/>
      <c r="H288" s="30"/>
      <c r="I288" s="30"/>
      <c r="J288" s="30"/>
      <c r="K288" s="30"/>
      <c r="L288" s="30"/>
      <c r="M288" s="30"/>
      <c r="N288" s="30"/>
      <c r="O288" s="30"/>
      <c r="P288" s="30"/>
      <c r="Q288" s="30"/>
    </row>
    <row r="289" spans="1:17" x14ac:dyDescent="0.25">
      <c r="A289" s="59" t="s">
        <v>569</v>
      </c>
      <c r="B289" s="59">
        <v>6905</v>
      </c>
      <c r="C289" s="30"/>
      <c r="D289" s="30"/>
      <c r="E289" s="30"/>
      <c r="F289" s="30"/>
      <c r="G289" s="30"/>
      <c r="H289" s="30"/>
      <c r="I289" s="30"/>
      <c r="J289" s="30"/>
      <c r="K289" s="30"/>
      <c r="L289" s="30"/>
      <c r="M289" s="30"/>
      <c r="N289" s="30"/>
      <c r="O289" s="30"/>
      <c r="P289" s="30"/>
      <c r="Q289" s="30"/>
    </row>
    <row r="290" spans="1:17" x14ac:dyDescent="0.25">
      <c r="A290" s="59" t="s">
        <v>38</v>
      </c>
      <c r="B290" s="59">
        <v>2522</v>
      </c>
      <c r="C290" s="30"/>
      <c r="D290" s="30"/>
      <c r="E290" s="30"/>
      <c r="F290" s="30"/>
      <c r="G290" s="30"/>
      <c r="H290" s="30"/>
      <c r="I290" s="30"/>
      <c r="J290" s="30"/>
      <c r="K290" s="30"/>
      <c r="L290" s="30"/>
      <c r="M290" s="30"/>
      <c r="N290" s="30"/>
      <c r="O290" s="30"/>
      <c r="P290" s="30"/>
      <c r="Q290" s="30"/>
    </row>
    <row r="291" spans="1:17" x14ac:dyDescent="0.25">
      <c r="A291" s="59" t="s">
        <v>327</v>
      </c>
      <c r="B291" s="59">
        <v>206110</v>
      </c>
      <c r="C291" s="30"/>
      <c r="D291" s="30"/>
      <c r="E291" s="30"/>
      <c r="F291" s="30"/>
      <c r="G291" s="30"/>
      <c r="H291" s="30"/>
      <c r="I291" s="30"/>
      <c r="J291" s="30"/>
      <c r="K291" s="30"/>
      <c r="L291" s="30"/>
      <c r="M291" s="30"/>
      <c r="N291" s="30"/>
      <c r="O291" s="30"/>
      <c r="P291" s="30"/>
      <c r="Q291" s="30"/>
    </row>
    <row r="292" spans="1:17" x14ac:dyDescent="0.25">
      <c r="A292" s="59" t="s">
        <v>329</v>
      </c>
      <c r="B292" s="59">
        <v>206135</v>
      </c>
      <c r="C292" s="30"/>
      <c r="D292" s="30"/>
      <c r="E292" s="30"/>
      <c r="F292" s="30"/>
      <c r="G292" s="30"/>
      <c r="H292" s="30"/>
      <c r="I292" s="30"/>
      <c r="J292" s="30"/>
      <c r="K292" s="30"/>
      <c r="L292" s="30"/>
      <c r="M292" s="30"/>
      <c r="N292" s="30"/>
      <c r="O292" s="30"/>
      <c r="P292" s="30"/>
      <c r="Q292" s="30"/>
    </row>
    <row r="293" spans="1:17" x14ac:dyDescent="0.25">
      <c r="A293" s="59" t="s">
        <v>69</v>
      </c>
      <c r="B293" s="59">
        <v>4181</v>
      </c>
      <c r="C293" s="30"/>
      <c r="D293" s="30"/>
      <c r="E293" s="30"/>
      <c r="F293" s="30"/>
      <c r="G293" s="30"/>
      <c r="H293" s="30"/>
      <c r="I293" s="30"/>
      <c r="J293" s="30"/>
      <c r="K293" s="30"/>
      <c r="L293" s="30"/>
      <c r="M293" s="30"/>
      <c r="N293" s="30"/>
      <c r="O293" s="30"/>
      <c r="P293" s="30"/>
      <c r="Q293" s="30"/>
    </row>
    <row r="294" spans="1:17" x14ac:dyDescent="0.25">
      <c r="A294" s="59" t="s">
        <v>331</v>
      </c>
      <c r="B294" s="59">
        <v>509195</v>
      </c>
      <c r="C294" s="30"/>
      <c r="D294" s="30"/>
      <c r="E294" s="30"/>
      <c r="F294" s="30"/>
      <c r="G294" s="30"/>
      <c r="H294" s="30"/>
      <c r="I294" s="30"/>
      <c r="J294" s="30"/>
      <c r="K294" s="30"/>
      <c r="L294" s="30"/>
      <c r="M294" s="30"/>
      <c r="N294" s="30"/>
      <c r="O294" s="30"/>
      <c r="P294" s="30"/>
      <c r="Q294" s="30"/>
    </row>
    <row r="295" spans="1:17" x14ac:dyDescent="0.25">
      <c r="A295" s="59" t="s">
        <v>1393</v>
      </c>
      <c r="B295" s="59">
        <v>480857</v>
      </c>
      <c r="C295" s="30"/>
      <c r="D295" s="30"/>
      <c r="E295" s="30"/>
      <c r="F295" s="30"/>
      <c r="G295" s="30"/>
      <c r="H295" s="30"/>
      <c r="I295" s="30"/>
      <c r="J295" s="30"/>
      <c r="K295" s="30"/>
      <c r="L295" s="30"/>
      <c r="M295" s="30"/>
      <c r="N295" s="30"/>
      <c r="O295" s="30"/>
      <c r="P295" s="30"/>
      <c r="Q295" s="30"/>
    </row>
    <row r="296" spans="1:17" x14ac:dyDescent="0.25">
      <c r="A296" s="59" t="s">
        <v>333</v>
      </c>
      <c r="B296" s="59" t="s">
        <v>334</v>
      </c>
      <c r="C296" s="30"/>
      <c r="D296" s="30"/>
      <c r="E296" s="30"/>
      <c r="F296" s="30"/>
      <c r="G296" s="30"/>
      <c r="H296" s="30"/>
      <c r="I296" s="30"/>
      <c r="J296" s="30"/>
      <c r="K296" s="30"/>
      <c r="L296" s="30"/>
      <c r="M296" s="30"/>
      <c r="N296" s="30"/>
      <c r="O296" s="30"/>
      <c r="P296" s="30"/>
      <c r="Q296" s="30"/>
    </row>
    <row r="297" spans="1:17" x14ac:dyDescent="0.25">
      <c r="A297" s="59" t="s">
        <v>335</v>
      </c>
      <c r="B297" s="59" t="s">
        <v>336</v>
      </c>
      <c r="C297" s="30"/>
      <c r="D297" s="30"/>
      <c r="E297" s="30"/>
      <c r="F297" s="30"/>
      <c r="G297" s="30"/>
      <c r="H297" s="30"/>
      <c r="I297" s="30"/>
      <c r="J297" s="30"/>
      <c r="K297" s="30"/>
      <c r="L297" s="30"/>
      <c r="M297" s="30"/>
      <c r="N297" s="30"/>
      <c r="O297" s="30"/>
      <c r="P297" s="30"/>
      <c r="Q297" s="30"/>
    </row>
    <row r="298" spans="1:17" x14ac:dyDescent="0.25">
      <c r="A298" s="59" t="s">
        <v>1394</v>
      </c>
      <c r="B298" s="59">
        <v>492973</v>
      </c>
      <c r="C298" s="30"/>
      <c r="D298" s="30"/>
      <c r="E298" s="30"/>
      <c r="F298" s="30"/>
      <c r="G298" s="30"/>
      <c r="H298" s="30"/>
      <c r="I298" s="30"/>
      <c r="J298" s="30"/>
      <c r="K298" s="30"/>
      <c r="L298" s="30"/>
      <c r="M298" s="30"/>
      <c r="N298" s="30"/>
      <c r="O298" s="30"/>
      <c r="P298" s="30"/>
      <c r="Q298" s="30"/>
    </row>
    <row r="299" spans="1:17" x14ac:dyDescent="0.25">
      <c r="A299" s="59" t="s">
        <v>337</v>
      </c>
      <c r="B299" s="59" t="s">
        <v>339</v>
      </c>
      <c r="C299" s="30"/>
      <c r="D299" s="30"/>
      <c r="E299" s="30"/>
      <c r="F299" s="30"/>
      <c r="G299" s="30"/>
      <c r="H299" s="30"/>
      <c r="I299" s="30"/>
      <c r="J299" s="30"/>
      <c r="K299" s="30"/>
      <c r="L299" s="30"/>
      <c r="M299" s="30"/>
      <c r="N299" s="30"/>
      <c r="O299" s="30"/>
      <c r="P299" s="30"/>
      <c r="Q299" s="30"/>
    </row>
    <row r="300" spans="1:17" x14ac:dyDescent="0.25">
      <c r="A300" s="59" t="s">
        <v>340</v>
      </c>
      <c r="B300" s="59">
        <v>509199</v>
      </c>
      <c r="C300" s="30"/>
      <c r="D300" s="30"/>
      <c r="E300" s="30"/>
      <c r="F300" s="30"/>
      <c r="G300" s="30"/>
      <c r="H300" s="30"/>
      <c r="I300" s="30"/>
      <c r="J300" s="30"/>
      <c r="K300" s="30"/>
      <c r="L300" s="30"/>
      <c r="M300" s="30"/>
      <c r="N300" s="30"/>
      <c r="O300" s="30"/>
      <c r="P300" s="30"/>
      <c r="Q300" s="30"/>
    </row>
    <row r="301" spans="1:17" x14ac:dyDescent="0.25">
      <c r="A301" s="59" t="s">
        <v>342</v>
      </c>
      <c r="B301" s="59">
        <v>509197</v>
      </c>
      <c r="C301" s="30"/>
      <c r="D301" s="30"/>
      <c r="E301" s="30"/>
      <c r="F301" s="30"/>
      <c r="G301" s="30"/>
      <c r="H301" s="30"/>
      <c r="I301" s="30"/>
      <c r="J301" s="30"/>
      <c r="K301" s="30"/>
      <c r="L301" s="30"/>
      <c r="M301" s="30"/>
      <c r="N301" s="30"/>
      <c r="O301" s="30"/>
      <c r="P301" s="30"/>
      <c r="Q301" s="30"/>
    </row>
    <row r="302" spans="1:17" x14ac:dyDescent="0.25">
      <c r="A302" s="59" t="s">
        <v>808</v>
      </c>
      <c r="B302" s="59">
        <v>479383</v>
      </c>
      <c r="C302" s="30"/>
      <c r="D302" s="30"/>
      <c r="E302" s="30"/>
      <c r="F302" s="30"/>
      <c r="G302" s="30"/>
      <c r="H302" s="30"/>
      <c r="I302" s="30"/>
      <c r="J302" s="30"/>
      <c r="K302" s="30"/>
      <c r="L302" s="30"/>
      <c r="M302" s="30"/>
      <c r="N302" s="30"/>
      <c r="O302" s="30"/>
      <c r="P302" s="30"/>
      <c r="Q302" s="30"/>
    </row>
    <row r="303" spans="1:17" x14ac:dyDescent="0.25">
      <c r="A303" s="59" t="s">
        <v>347</v>
      </c>
      <c r="B303" s="59" t="s">
        <v>348</v>
      </c>
      <c r="C303" s="30"/>
      <c r="D303" s="30"/>
      <c r="E303" s="30"/>
      <c r="F303" s="30"/>
      <c r="G303" s="30"/>
      <c r="H303" s="30"/>
      <c r="I303" s="30"/>
      <c r="J303" s="30"/>
      <c r="K303" s="30"/>
      <c r="L303" s="30"/>
      <c r="M303" s="30"/>
      <c r="N303" s="30"/>
      <c r="O303" s="30"/>
      <c r="P303" s="30"/>
      <c r="Q303" s="30"/>
    </row>
    <row r="304" spans="1:17" x14ac:dyDescent="0.25">
      <c r="A304" s="59" t="s">
        <v>70</v>
      </c>
      <c r="B304" s="59">
        <v>4182</v>
      </c>
      <c r="C304" s="30"/>
      <c r="D304" s="30"/>
      <c r="E304" s="30"/>
      <c r="F304" s="30"/>
      <c r="G304" s="30"/>
      <c r="H304" s="30"/>
      <c r="I304" s="30"/>
      <c r="J304" s="30"/>
      <c r="K304" s="30"/>
      <c r="L304" s="30"/>
      <c r="M304" s="30"/>
      <c r="N304" s="30"/>
      <c r="O304" s="30"/>
      <c r="P304" s="30"/>
      <c r="Q304" s="30"/>
    </row>
    <row r="305" spans="1:17" x14ac:dyDescent="0.25">
      <c r="A305" s="59" t="s">
        <v>344</v>
      </c>
      <c r="B305" s="59" t="s">
        <v>346</v>
      </c>
      <c r="C305" s="30"/>
      <c r="D305" s="30"/>
      <c r="E305" s="30"/>
      <c r="F305" s="30"/>
      <c r="G305" s="30"/>
      <c r="H305" s="30"/>
      <c r="I305" s="30"/>
      <c r="J305" s="30"/>
      <c r="K305" s="30"/>
      <c r="L305" s="30"/>
      <c r="M305" s="30"/>
      <c r="N305" s="30"/>
      <c r="O305" s="30"/>
      <c r="P305" s="30"/>
      <c r="Q305" s="30"/>
    </row>
    <row r="306" spans="1:17" x14ac:dyDescent="0.25">
      <c r="A306" s="59" t="s">
        <v>6</v>
      </c>
      <c r="B306" s="59">
        <v>1005</v>
      </c>
      <c r="C306" s="30"/>
      <c r="D306" s="30"/>
      <c r="E306" s="30"/>
      <c r="F306" s="30"/>
      <c r="G306" s="30"/>
      <c r="H306" s="30"/>
      <c r="I306" s="30"/>
      <c r="J306" s="30"/>
      <c r="K306" s="30"/>
      <c r="L306" s="30"/>
      <c r="M306" s="30"/>
      <c r="N306" s="30"/>
      <c r="O306" s="30"/>
      <c r="P306" s="30"/>
      <c r="Q306" s="30"/>
    </row>
    <row r="307" spans="1:17" x14ac:dyDescent="0.25">
      <c r="A307" s="59" t="s">
        <v>809</v>
      </c>
      <c r="B307" s="59" t="s">
        <v>810</v>
      </c>
      <c r="C307" s="30"/>
      <c r="D307" s="30"/>
      <c r="E307" s="30"/>
      <c r="F307" s="30"/>
      <c r="G307" s="30"/>
      <c r="H307" s="30"/>
      <c r="I307" s="30"/>
      <c r="J307" s="30"/>
      <c r="K307" s="30"/>
      <c r="L307" s="30"/>
      <c r="M307" s="30"/>
      <c r="N307" s="30"/>
      <c r="O307" s="30"/>
      <c r="P307" s="30"/>
      <c r="Q307" s="30"/>
    </row>
    <row r="308" spans="1:17" x14ac:dyDescent="0.25">
      <c r="A308" s="59" t="s">
        <v>39</v>
      </c>
      <c r="B308" s="59">
        <v>2436</v>
      </c>
      <c r="C308" s="30"/>
      <c r="D308" s="30"/>
      <c r="E308" s="30"/>
      <c r="F308" s="30"/>
      <c r="G308" s="30"/>
      <c r="H308" s="30"/>
      <c r="I308" s="30"/>
      <c r="J308" s="30"/>
      <c r="K308" s="30"/>
      <c r="L308" s="30"/>
      <c r="M308" s="30"/>
      <c r="N308" s="30"/>
      <c r="O308" s="30"/>
      <c r="P308" s="30"/>
      <c r="Q308" s="30"/>
    </row>
    <row r="309" spans="1:17" x14ac:dyDescent="0.25">
      <c r="A309" s="59" t="s">
        <v>349</v>
      </c>
      <c r="B309" s="59">
        <v>206117</v>
      </c>
      <c r="C309" s="30"/>
      <c r="D309" s="30"/>
      <c r="E309" s="30"/>
      <c r="F309" s="30"/>
      <c r="G309" s="30"/>
      <c r="H309" s="30"/>
      <c r="I309" s="30"/>
      <c r="J309" s="30"/>
      <c r="K309" s="30"/>
      <c r="L309" s="30"/>
      <c r="M309" s="30"/>
      <c r="N309" s="30"/>
      <c r="O309" s="30"/>
      <c r="P309" s="30"/>
      <c r="Q309" s="30"/>
    </row>
    <row r="310" spans="1:17" x14ac:dyDescent="0.25">
      <c r="A310" s="59" t="s">
        <v>40</v>
      </c>
      <c r="B310" s="59">
        <v>2452</v>
      </c>
      <c r="C310" s="30"/>
      <c r="D310" s="30"/>
      <c r="E310" s="30"/>
      <c r="F310" s="30"/>
      <c r="G310" s="30"/>
      <c r="H310" s="30"/>
      <c r="I310" s="30"/>
      <c r="J310" s="30"/>
      <c r="K310" s="30"/>
      <c r="L310" s="30"/>
      <c r="M310" s="30"/>
      <c r="N310" s="30"/>
      <c r="O310" s="30"/>
      <c r="P310" s="30"/>
      <c r="Q310" s="30"/>
    </row>
    <row r="311" spans="1:17" x14ac:dyDescent="0.25">
      <c r="A311" s="59" t="s">
        <v>71</v>
      </c>
      <c r="B311" s="59">
        <v>4001</v>
      </c>
      <c r="C311" s="30"/>
      <c r="D311" s="30"/>
      <c r="E311" s="30"/>
      <c r="F311" s="30"/>
      <c r="G311" s="30"/>
      <c r="H311" s="30"/>
      <c r="I311" s="30"/>
      <c r="J311" s="30"/>
      <c r="K311" s="30"/>
      <c r="L311" s="30"/>
      <c r="M311" s="30"/>
      <c r="N311" s="30"/>
      <c r="O311" s="30"/>
      <c r="P311" s="30"/>
      <c r="Q311" s="30"/>
    </row>
    <row r="312" spans="1:17" x14ac:dyDescent="0.25">
      <c r="A312" s="59" t="s">
        <v>351</v>
      </c>
      <c r="B312" s="59">
        <v>206141</v>
      </c>
      <c r="C312" s="30"/>
      <c r="D312" s="30"/>
      <c r="E312" s="30"/>
      <c r="F312" s="30"/>
      <c r="G312" s="30"/>
      <c r="H312" s="30"/>
      <c r="I312" s="30"/>
      <c r="J312" s="30"/>
      <c r="K312" s="30"/>
      <c r="L312" s="30"/>
      <c r="M312" s="30"/>
      <c r="N312" s="30"/>
      <c r="O312" s="30"/>
      <c r="P312" s="30"/>
      <c r="Q312" s="30"/>
    </row>
    <row r="313" spans="1:17" x14ac:dyDescent="0.25">
      <c r="A313" s="59" t="s">
        <v>41</v>
      </c>
      <c r="B313" s="59">
        <v>2627</v>
      </c>
      <c r="C313" s="30"/>
      <c r="D313" s="30"/>
      <c r="E313" s="30"/>
      <c r="F313" s="30"/>
      <c r="G313" s="30"/>
      <c r="H313" s="30"/>
      <c r="I313" s="30"/>
      <c r="J313" s="30"/>
      <c r="K313" s="30"/>
      <c r="L313" s="30"/>
      <c r="M313" s="30"/>
      <c r="N313" s="30"/>
      <c r="O313" s="30"/>
      <c r="P313" s="30"/>
      <c r="Q313" s="30"/>
    </row>
    <row r="314" spans="1:17" x14ac:dyDescent="0.25">
      <c r="A314" s="59" t="s">
        <v>112</v>
      </c>
      <c r="B314" s="59">
        <v>5406</v>
      </c>
      <c r="C314" s="30"/>
      <c r="D314" s="30"/>
      <c r="E314" s="30"/>
      <c r="F314" s="30"/>
      <c r="G314" s="30"/>
      <c r="H314" s="30"/>
      <c r="I314" s="30"/>
      <c r="J314" s="30"/>
      <c r="K314" s="30"/>
      <c r="L314" s="30"/>
      <c r="M314" s="30"/>
      <c r="N314" s="30"/>
      <c r="O314" s="30"/>
      <c r="P314" s="30"/>
      <c r="Q314" s="30"/>
    </row>
    <row r="315" spans="1:17" x14ac:dyDescent="0.25">
      <c r="A315" s="59" t="s">
        <v>113</v>
      </c>
      <c r="B315" s="59">
        <v>5407</v>
      </c>
      <c r="C315" s="30"/>
      <c r="D315" s="30"/>
      <c r="E315" s="30"/>
      <c r="F315" s="30"/>
      <c r="G315" s="30"/>
      <c r="H315" s="30"/>
      <c r="I315" s="30"/>
      <c r="J315" s="30"/>
      <c r="K315" s="30"/>
      <c r="L315" s="30"/>
      <c r="M315" s="30"/>
      <c r="N315" s="30"/>
      <c r="O315" s="30"/>
      <c r="P315" s="30"/>
      <c r="Q315" s="30"/>
    </row>
    <row r="316" spans="1:17" x14ac:dyDescent="0.25">
      <c r="A316" s="59" t="s">
        <v>353</v>
      </c>
      <c r="B316" s="59" t="s">
        <v>355</v>
      </c>
      <c r="C316" s="30"/>
      <c r="D316" s="30"/>
      <c r="E316" s="30"/>
      <c r="F316" s="30"/>
      <c r="G316" s="30"/>
      <c r="H316" s="30"/>
      <c r="I316" s="30"/>
      <c r="J316" s="30"/>
      <c r="K316" s="30"/>
      <c r="L316" s="30"/>
      <c r="M316" s="30"/>
      <c r="N316" s="30"/>
      <c r="O316" s="30"/>
      <c r="P316" s="30"/>
      <c r="Q316" s="30"/>
    </row>
    <row r="317" spans="1:17" x14ac:dyDescent="0.25">
      <c r="A317" s="59" t="s">
        <v>356</v>
      </c>
      <c r="B317" s="59">
        <v>258404</v>
      </c>
      <c r="C317" s="30"/>
      <c r="D317" s="30"/>
      <c r="E317" s="30"/>
      <c r="F317" s="30"/>
      <c r="G317" s="30"/>
      <c r="H317" s="30"/>
      <c r="I317" s="30"/>
      <c r="J317" s="30"/>
      <c r="K317" s="30"/>
      <c r="L317" s="30"/>
      <c r="M317" s="30"/>
      <c r="N317" s="30"/>
      <c r="O317" s="30"/>
      <c r="P317" s="30"/>
      <c r="Q317" s="30"/>
    </row>
    <row r="318" spans="1:17" x14ac:dyDescent="0.25">
      <c r="A318" s="59" t="s">
        <v>101</v>
      </c>
      <c r="B318" s="59">
        <v>2473</v>
      </c>
      <c r="C318" s="30"/>
      <c r="D318" s="30"/>
      <c r="E318" s="30"/>
      <c r="F318" s="30"/>
      <c r="G318" s="30"/>
      <c r="H318" s="30"/>
      <c r="I318" s="30"/>
      <c r="J318" s="30"/>
      <c r="K318" s="30"/>
      <c r="L318" s="30"/>
      <c r="M318" s="30"/>
      <c r="N318" s="30"/>
      <c r="O318" s="30"/>
      <c r="P318" s="30"/>
      <c r="Q318" s="30"/>
    </row>
    <row r="319" spans="1:17" x14ac:dyDescent="0.25">
      <c r="A319" s="59" t="s">
        <v>44</v>
      </c>
      <c r="B319" s="59">
        <v>2471</v>
      </c>
      <c r="C319" s="30"/>
      <c r="D319" s="30"/>
      <c r="E319" s="30"/>
      <c r="F319" s="30"/>
      <c r="G319" s="30"/>
      <c r="H319" s="30"/>
      <c r="I319" s="30"/>
      <c r="J319" s="30"/>
      <c r="K319" s="30"/>
      <c r="L319" s="30"/>
      <c r="M319" s="30"/>
      <c r="N319" s="30"/>
      <c r="O319" s="30"/>
      <c r="P319" s="30"/>
      <c r="Q319" s="30"/>
    </row>
    <row r="320" spans="1:17" x14ac:dyDescent="0.25">
      <c r="A320" s="59" t="s">
        <v>358</v>
      </c>
      <c r="B320" s="59">
        <v>258405</v>
      </c>
      <c r="C320" s="30"/>
      <c r="D320" s="30"/>
      <c r="E320" s="30"/>
      <c r="F320" s="30"/>
      <c r="G320" s="30"/>
      <c r="H320" s="30"/>
      <c r="I320" s="30"/>
      <c r="J320" s="30"/>
      <c r="K320" s="30"/>
      <c r="L320" s="30"/>
      <c r="M320" s="30"/>
      <c r="N320" s="30"/>
      <c r="O320" s="30"/>
      <c r="P320" s="30"/>
      <c r="Q320" s="30"/>
    </row>
    <row r="321" spans="1:17" x14ac:dyDescent="0.25">
      <c r="A321" s="59" t="s">
        <v>360</v>
      </c>
      <c r="B321" s="59">
        <v>258406</v>
      </c>
      <c r="C321" s="30"/>
      <c r="D321" s="30"/>
      <c r="E321" s="30"/>
      <c r="F321" s="30"/>
      <c r="G321" s="30"/>
      <c r="H321" s="30"/>
      <c r="I321" s="30"/>
      <c r="J321" s="30"/>
      <c r="K321" s="30"/>
      <c r="L321" s="30"/>
      <c r="M321" s="30"/>
      <c r="N321" s="30"/>
      <c r="O321" s="30"/>
      <c r="P321" s="30"/>
      <c r="Q321" s="30"/>
    </row>
    <row r="322" spans="1:17" x14ac:dyDescent="0.25">
      <c r="A322" s="59" t="s">
        <v>1395</v>
      </c>
      <c r="B322" s="59">
        <v>206145</v>
      </c>
      <c r="C322" s="30"/>
      <c r="D322" s="30"/>
      <c r="E322" s="30"/>
      <c r="F322" s="30"/>
      <c r="G322" s="30"/>
      <c r="H322" s="30"/>
      <c r="I322" s="30"/>
      <c r="J322" s="30"/>
      <c r="K322" s="30"/>
      <c r="L322" s="30"/>
      <c r="M322" s="30"/>
      <c r="N322" s="30"/>
      <c r="O322" s="30"/>
      <c r="P322" s="30"/>
      <c r="Q322" s="30"/>
    </row>
    <row r="323" spans="1:17" x14ac:dyDescent="0.25">
      <c r="A323" s="59" t="s">
        <v>43</v>
      </c>
      <c r="B323" s="59">
        <v>2420</v>
      </c>
      <c r="C323" s="30"/>
      <c r="D323" s="30"/>
      <c r="E323" s="30"/>
      <c r="F323" s="30"/>
      <c r="G323" s="30"/>
      <c r="H323" s="30"/>
      <c r="I323" s="30"/>
      <c r="J323" s="30"/>
      <c r="K323" s="30"/>
      <c r="L323" s="30"/>
      <c r="M323" s="30"/>
      <c r="N323" s="30"/>
      <c r="O323" s="30"/>
      <c r="P323" s="30"/>
      <c r="Q323" s="30"/>
    </row>
    <row r="324" spans="1:17" x14ac:dyDescent="0.25">
      <c r="A324" s="59" t="s">
        <v>362</v>
      </c>
      <c r="B324" s="59">
        <v>206160</v>
      </c>
      <c r="C324" s="30"/>
      <c r="D324" s="30"/>
      <c r="E324" s="30"/>
      <c r="F324" s="30"/>
      <c r="G324" s="30"/>
      <c r="H324" s="30"/>
      <c r="I324" s="30"/>
      <c r="J324" s="30"/>
      <c r="K324" s="30"/>
      <c r="L324" s="30"/>
      <c r="M324" s="30"/>
      <c r="N324" s="30"/>
      <c r="O324" s="30"/>
      <c r="P324" s="30"/>
      <c r="Q324" s="30"/>
    </row>
    <row r="325" spans="1:17" x14ac:dyDescent="0.25">
      <c r="A325" s="59" t="s">
        <v>45</v>
      </c>
      <c r="B325" s="59">
        <v>2003</v>
      </c>
      <c r="C325" s="30"/>
      <c r="D325" s="30"/>
      <c r="E325" s="30"/>
      <c r="F325" s="30"/>
      <c r="G325" s="30"/>
      <c r="H325" s="30"/>
      <c r="I325" s="30"/>
      <c r="J325" s="30"/>
      <c r="K325" s="30"/>
      <c r="L325" s="30"/>
      <c r="M325" s="30"/>
      <c r="N325" s="30"/>
      <c r="O325" s="30"/>
      <c r="P325" s="30"/>
      <c r="Q325" s="30"/>
    </row>
    <row r="326" spans="1:17" x14ac:dyDescent="0.25">
      <c r="A326" s="59" t="s">
        <v>46</v>
      </c>
      <c r="B326" s="59">
        <v>2423</v>
      </c>
      <c r="C326" s="30"/>
      <c r="D326" s="30"/>
      <c r="E326" s="30"/>
      <c r="F326" s="30"/>
      <c r="G326" s="30"/>
      <c r="H326" s="30"/>
      <c r="I326" s="30"/>
      <c r="J326" s="30"/>
      <c r="K326" s="30"/>
      <c r="L326" s="30"/>
      <c r="M326" s="30"/>
      <c r="N326" s="30"/>
      <c r="O326" s="30"/>
      <c r="P326" s="30"/>
      <c r="Q326" s="30"/>
    </row>
    <row r="327" spans="1:17" x14ac:dyDescent="0.25">
      <c r="A327" s="59" t="s">
        <v>47</v>
      </c>
      <c r="B327" s="59">
        <v>2424</v>
      </c>
      <c r="C327" s="30"/>
      <c r="D327" s="30"/>
      <c r="E327" s="30"/>
      <c r="F327" s="30"/>
      <c r="G327" s="30"/>
      <c r="H327" s="30"/>
      <c r="I327" s="30"/>
      <c r="J327" s="30"/>
      <c r="K327" s="30"/>
      <c r="L327" s="30"/>
      <c r="M327" s="30"/>
      <c r="N327" s="30"/>
      <c r="O327" s="30"/>
      <c r="P327" s="30"/>
      <c r="Q327" s="30"/>
    </row>
    <row r="328" spans="1:17" x14ac:dyDescent="0.25">
      <c r="A328" s="59" t="s">
        <v>364</v>
      </c>
      <c r="B328" s="59" t="s">
        <v>366</v>
      </c>
      <c r="C328" s="30"/>
      <c r="D328" s="30"/>
      <c r="E328" s="30"/>
      <c r="F328" s="30"/>
      <c r="G328" s="30"/>
      <c r="H328" s="30"/>
      <c r="I328" s="30"/>
      <c r="J328" s="30"/>
      <c r="K328" s="30"/>
      <c r="L328" s="30"/>
      <c r="M328" s="30"/>
      <c r="N328" s="30"/>
      <c r="O328" s="30"/>
      <c r="P328" s="30"/>
      <c r="Q328" s="30"/>
    </row>
    <row r="329" spans="1:17" x14ac:dyDescent="0.25">
      <c r="A329" s="59" t="s">
        <v>367</v>
      </c>
      <c r="B329" s="59" t="s">
        <v>368</v>
      </c>
      <c r="C329" s="30"/>
      <c r="D329" s="30"/>
      <c r="E329" s="30"/>
      <c r="F329" s="30"/>
      <c r="G329" s="30"/>
      <c r="H329" s="30"/>
      <c r="I329" s="30"/>
      <c r="J329" s="30"/>
      <c r="K329" s="30"/>
      <c r="L329" s="30"/>
      <c r="M329" s="30"/>
      <c r="N329" s="30"/>
      <c r="O329" s="30"/>
      <c r="P329" s="30"/>
      <c r="Q329" s="30"/>
    </row>
    <row r="330" spans="1:17" x14ac:dyDescent="0.25">
      <c r="A330" s="59" t="s">
        <v>369</v>
      </c>
      <c r="B330" s="59" t="s">
        <v>371</v>
      </c>
      <c r="C330" s="30"/>
      <c r="D330" s="30"/>
      <c r="E330" s="30"/>
      <c r="F330" s="30"/>
      <c r="G330" s="30"/>
      <c r="H330" s="30"/>
      <c r="I330" s="30"/>
      <c r="J330" s="30"/>
      <c r="K330" s="30"/>
      <c r="L330" s="30"/>
      <c r="M330" s="30"/>
      <c r="N330" s="30"/>
      <c r="O330" s="30"/>
      <c r="P330" s="30"/>
      <c r="Q330" s="30"/>
    </row>
    <row r="331" spans="1:17" x14ac:dyDescent="0.25">
      <c r="A331" s="59" t="s">
        <v>811</v>
      </c>
      <c r="B331" s="59" t="s">
        <v>812</v>
      </c>
      <c r="C331" s="30"/>
      <c r="D331" s="30"/>
      <c r="E331" s="30"/>
      <c r="F331" s="30"/>
      <c r="G331" s="30"/>
      <c r="H331" s="30"/>
      <c r="I331" s="30"/>
      <c r="J331" s="30"/>
      <c r="K331" s="30"/>
      <c r="L331" s="30"/>
      <c r="M331" s="30"/>
      <c r="N331" s="30"/>
      <c r="O331" s="30"/>
      <c r="P331" s="30"/>
      <c r="Q331" s="30"/>
    </row>
    <row r="332" spans="1:17" x14ac:dyDescent="0.25">
      <c r="A332" s="59" t="s">
        <v>372</v>
      </c>
      <c r="B332" s="59">
        <v>206146</v>
      </c>
      <c r="C332" s="30"/>
      <c r="D332" s="30"/>
      <c r="E332" s="30"/>
      <c r="F332" s="30"/>
      <c r="G332" s="30"/>
      <c r="H332" s="30"/>
      <c r="I332" s="30"/>
      <c r="J332" s="30"/>
      <c r="K332" s="30"/>
      <c r="L332" s="30"/>
      <c r="M332" s="30"/>
      <c r="N332" s="30"/>
      <c r="O332" s="30"/>
      <c r="P332" s="30"/>
      <c r="Q332" s="30"/>
    </row>
    <row r="333" spans="1:17" x14ac:dyDescent="0.25">
      <c r="A333" s="59" t="s">
        <v>48</v>
      </c>
      <c r="B333" s="59">
        <v>2439</v>
      </c>
      <c r="C333" s="30"/>
      <c r="D333" s="30"/>
      <c r="E333" s="30"/>
      <c r="F333" s="30"/>
      <c r="G333" s="30"/>
      <c r="H333" s="30"/>
      <c r="I333" s="30"/>
      <c r="J333" s="30"/>
      <c r="K333" s="30"/>
      <c r="L333" s="30"/>
      <c r="M333" s="30"/>
      <c r="N333" s="30"/>
      <c r="O333" s="30"/>
      <c r="P333" s="30"/>
      <c r="Q333" s="30"/>
    </row>
    <row r="334" spans="1:17" x14ac:dyDescent="0.25">
      <c r="A334" s="59" t="s">
        <v>49</v>
      </c>
      <c r="B334" s="59">
        <v>2440</v>
      </c>
      <c r="C334" s="30"/>
      <c r="D334" s="30"/>
      <c r="E334" s="30"/>
      <c r="F334" s="30"/>
      <c r="G334" s="30"/>
      <c r="H334" s="30"/>
      <c r="I334" s="30"/>
      <c r="J334" s="30"/>
      <c r="K334" s="30"/>
      <c r="L334" s="30"/>
      <c r="M334" s="30"/>
      <c r="N334" s="30"/>
      <c r="O334" s="30"/>
      <c r="P334" s="30"/>
      <c r="Q334" s="30"/>
    </row>
    <row r="335" spans="1:17" x14ac:dyDescent="0.25">
      <c r="A335" s="59" t="s">
        <v>374</v>
      </c>
      <c r="B335" s="59" t="s">
        <v>375</v>
      </c>
      <c r="C335" s="30"/>
      <c r="D335" s="30"/>
      <c r="E335" s="30"/>
      <c r="F335" s="30"/>
      <c r="G335" s="30"/>
      <c r="H335" s="30"/>
      <c r="I335" s="30"/>
      <c r="J335" s="30"/>
      <c r="K335" s="30"/>
      <c r="L335" s="30"/>
      <c r="M335" s="30"/>
      <c r="N335" s="30"/>
      <c r="O335" s="30"/>
      <c r="P335" s="30"/>
      <c r="Q335" s="30"/>
    </row>
    <row r="336" spans="1:17" x14ac:dyDescent="0.25">
      <c r="A336" s="59" t="s">
        <v>813</v>
      </c>
      <c r="B336" s="59" t="s">
        <v>814</v>
      </c>
      <c r="C336" s="30"/>
      <c r="D336" s="30"/>
      <c r="E336" s="30"/>
      <c r="F336" s="30"/>
      <c r="G336" s="30"/>
      <c r="H336" s="30"/>
      <c r="I336" s="30"/>
      <c r="J336" s="30"/>
      <c r="K336" s="30"/>
      <c r="L336" s="30"/>
      <c r="M336" s="30"/>
      <c r="N336" s="30"/>
      <c r="O336" s="30"/>
      <c r="P336" s="30"/>
      <c r="Q336" s="30"/>
    </row>
    <row r="337" spans="1:17" x14ac:dyDescent="0.25">
      <c r="A337" s="59" t="s">
        <v>815</v>
      </c>
      <c r="B337" s="59" t="s">
        <v>816</v>
      </c>
      <c r="C337" s="30"/>
      <c r="D337" s="30"/>
      <c r="E337" s="30"/>
      <c r="F337" s="30"/>
      <c r="G337" s="30"/>
      <c r="H337" s="30"/>
      <c r="I337" s="30"/>
      <c r="J337" s="30"/>
      <c r="K337" s="30"/>
      <c r="L337" s="30"/>
      <c r="M337" s="30"/>
      <c r="N337" s="30"/>
      <c r="O337" s="30"/>
      <c r="P337" s="30"/>
      <c r="Q337" s="30"/>
    </row>
    <row r="338" spans="1:17" x14ac:dyDescent="0.25">
      <c r="A338" s="67" t="s">
        <v>377</v>
      </c>
      <c r="B338" s="67" t="s">
        <v>378</v>
      </c>
      <c r="C338" s="30"/>
      <c r="D338" s="30"/>
      <c r="E338" s="30"/>
      <c r="F338" s="30"/>
      <c r="G338" s="30"/>
      <c r="H338" s="30"/>
      <c r="I338" s="30"/>
      <c r="J338" s="30"/>
      <c r="K338" s="30"/>
      <c r="L338" s="30"/>
      <c r="M338" s="30"/>
      <c r="N338" s="30"/>
      <c r="O338" s="30"/>
      <c r="P338" s="30"/>
      <c r="Q338" s="30"/>
    </row>
    <row r="339" spans="1:17" x14ac:dyDescent="0.25">
      <c r="A339" s="105" t="s">
        <v>377</v>
      </c>
      <c r="B339" s="110" t="s">
        <v>817</v>
      </c>
      <c r="C339" s="30"/>
      <c r="D339" s="30"/>
      <c r="E339" s="30"/>
      <c r="F339" s="30"/>
      <c r="G339" s="30"/>
      <c r="H339" s="30"/>
      <c r="I339" s="30"/>
      <c r="J339" s="30"/>
      <c r="K339" s="30"/>
      <c r="L339" s="30"/>
      <c r="M339" s="30"/>
      <c r="N339" s="30"/>
      <c r="O339" s="30"/>
      <c r="P339" s="30"/>
      <c r="Q339" s="30"/>
    </row>
    <row r="340" spans="1:17" x14ac:dyDescent="0.25">
      <c r="A340" s="105" t="s">
        <v>102</v>
      </c>
      <c r="B340" s="110">
        <v>2462</v>
      </c>
      <c r="C340" s="30"/>
      <c r="D340" s="30"/>
      <c r="E340" s="30"/>
      <c r="F340" s="30"/>
      <c r="G340" s="30"/>
      <c r="H340" s="30"/>
      <c r="I340" s="30"/>
      <c r="J340" s="30"/>
      <c r="K340" s="30"/>
      <c r="L340" s="30"/>
      <c r="M340" s="30"/>
      <c r="N340" s="30"/>
      <c r="O340" s="30"/>
      <c r="P340" s="30"/>
      <c r="Q340" s="30"/>
    </row>
    <row r="341" spans="1:17" x14ac:dyDescent="0.25">
      <c r="A341" s="105" t="s">
        <v>50</v>
      </c>
      <c r="B341" s="110">
        <v>2463</v>
      </c>
      <c r="C341" s="30"/>
      <c r="D341" s="30"/>
      <c r="E341" s="30"/>
      <c r="F341" s="30"/>
      <c r="G341" s="30"/>
      <c r="H341" s="30"/>
      <c r="I341" s="30"/>
      <c r="J341" s="30"/>
      <c r="K341" s="30"/>
      <c r="L341" s="30"/>
      <c r="M341" s="30"/>
      <c r="N341" s="30"/>
      <c r="O341" s="30"/>
      <c r="P341" s="30"/>
      <c r="Q341" s="30"/>
    </row>
    <row r="342" spans="1:17" x14ac:dyDescent="0.25">
      <c r="A342" s="105" t="s">
        <v>51</v>
      </c>
      <c r="B342" s="67">
        <v>2505</v>
      </c>
      <c r="C342" s="30"/>
      <c r="D342" s="30"/>
      <c r="E342" s="30"/>
      <c r="F342" s="30"/>
      <c r="G342" s="30"/>
      <c r="H342" s="30"/>
      <c r="I342" s="30"/>
      <c r="J342" s="30"/>
      <c r="K342" s="30"/>
      <c r="L342" s="30"/>
      <c r="M342" s="30"/>
      <c r="N342" s="30"/>
      <c r="O342" s="30"/>
      <c r="P342" s="30"/>
      <c r="Q342" s="30"/>
    </row>
    <row r="343" spans="1:17" x14ac:dyDescent="0.25">
      <c r="A343" s="105" t="s">
        <v>1304</v>
      </c>
      <c r="B343" s="110">
        <v>2000</v>
      </c>
      <c r="C343" s="30"/>
      <c r="D343" s="30"/>
      <c r="E343" s="30"/>
      <c r="F343" s="30"/>
      <c r="G343" s="30"/>
      <c r="H343" s="30"/>
      <c r="I343" s="30"/>
      <c r="J343" s="30"/>
      <c r="K343" s="30"/>
      <c r="L343" s="30"/>
      <c r="M343" s="30"/>
      <c r="N343" s="30"/>
      <c r="O343" s="30"/>
      <c r="P343" s="30"/>
      <c r="Q343" s="30"/>
    </row>
    <row r="344" spans="1:17" x14ac:dyDescent="0.25">
      <c r="A344" s="105" t="s">
        <v>53</v>
      </c>
      <c r="B344" s="67">
        <v>2458</v>
      </c>
      <c r="C344" s="30"/>
      <c r="D344" s="30"/>
      <c r="E344" s="30"/>
      <c r="F344" s="30"/>
      <c r="G344" s="30"/>
      <c r="H344" s="30"/>
      <c r="I344" s="30"/>
      <c r="J344" s="30"/>
      <c r="K344" s="30"/>
      <c r="L344" s="30"/>
      <c r="M344" s="30"/>
      <c r="N344" s="30"/>
      <c r="O344" s="30"/>
      <c r="P344" s="30"/>
      <c r="Q344" s="30"/>
    </row>
    <row r="345" spans="1:17" x14ac:dyDescent="0.25">
      <c r="A345" s="105" t="s">
        <v>379</v>
      </c>
      <c r="B345" s="67" t="s">
        <v>381</v>
      </c>
      <c r="C345" s="30"/>
      <c r="D345" s="30"/>
      <c r="E345" s="30"/>
      <c r="F345" s="30"/>
      <c r="G345" s="30"/>
      <c r="H345" s="30"/>
      <c r="I345" s="30"/>
      <c r="J345" s="30"/>
      <c r="K345" s="30"/>
      <c r="L345" s="30"/>
      <c r="M345" s="30"/>
      <c r="N345" s="30"/>
      <c r="O345" s="30"/>
      <c r="P345" s="30"/>
      <c r="Q345" s="30"/>
    </row>
    <row r="346" spans="1:17" x14ac:dyDescent="0.25">
      <c r="A346" s="105" t="s">
        <v>54</v>
      </c>
      <c r="B346" s="67">
        <v>2001</v>
      </c>
      <c r="C346" s="30"/>
      <c r="D346" s="30"/>
      <c r="E346" s="30"/>
      <c r="F346" s="30"/>
      <c r="G346" s="30"/>
      <c r="H346" s="30"/>
      <c r="I346" s="30"/>
      <c r="J346" s="30"/>
      <c r="K346" s="30"/>
      <c r="L346" s="30"/>
      <c r="M346" s="30"/>
      <c r="N346" s="30"/>
      <c r="O346" s="30"/>
      <c r="P346" s="30"/>
      <c r="Q346" s="30"/>
    </row>
    <row r="347" spans="1:17" x14ac:dyDescent="0.25">
      <c r="A347" s="105" t="s">
        <v>382</v>
      </c>
      <c r="B347" s="67" t="s">
        <v>383</v>
      </c>
      <c r="C347" s="30"/>
      <c r="D347" s="30"/>
      <c r="E347" s="30"/>
      <c r="F347" s="30"/>
      <c r="G347" s="30"/>
      <c r="H347" s="30"/>
      <c r="I347" s="30"/>
      <c r="J347" s="30"/>
      <c r="K347" s="30"/>
      <c r="L347" s="30"/>
      <c r="M347" s="30"/>
      <c r="N347" s="30"/>
      <c r="O347" s="30"/>
      <c r="P347" s="30"/>
      <c r="Q347" s="30"/>
    </row>
    <row r="348" spans="1:17" x14ac:dyDescent="0.25">
      <c r="A348" s="105" t="s">
        <v>55</v>
      </c>
      <c r="B348" s="67">
        <v>2429</v>
      </c>
      <c r="C348" s="30"/>
      <c r="D348" s="30"/>
      <c r="E348" s="30"/>
      <c r="F348" s="30"/>
      <c r="G348" s="30"/>
      <c r="H348" s="30"/>
      <c r="I348" s="30"/>
      <c r="J348" s="30"/>
      <c r="K348" s="30"/>
      <c r="L348" s="30"/>
      <c r="M348" s="30"/>
      <c r="N348" s="30"/>
      <c r="O348" s="30"/>
      <c r="P348" s="30"/>
      <c r="Q348" s="30"/>
    </row>
    <row r="349" spans="1:17" x14ac:dyDescent="0.25">
      <c r="A349" s="105" t="s">
        <v>384</v>
      </c>
      <c r="B349" s="67">
        <v>113044</v>
      </c>
      <c r="C349" s="30"/>
      <c r="D349" s="30"/>
      <c r="E349" s="30"/>
      <c r="F349" s="30"/>
      <c r="G349" s="30"/>
      <c r="H349" s="30"/>
      <c r="I349" s="30"/>
      <c r="J349" s="30"/>
      <c r="K349" s="30"/>
      <c r="L349" s="30"/>
      <c r="M349" s="30"/>
      <c r="N349" s="30"/>
      <c r="O349" s="30"/>
      <c r="P349" s="30"/>
      <c r="Q349" s="30"/>
    </row>
    <row r="350" spans="1:17" x14ac:dyDescent="0.25">
      <c r="A350" s="105" t="s">
        <v>386</v>
      </c>
      <c r="B350" s="67" t="s">
        <v>388</v>
      </c>
      <c r="C350" s="30"/>
      <c r="D350" s="30"/>
      <c r="E350" s="30"/>
      <c r="F350" s="30"/>
      <c r="G350" s="30"/>
      <c r="H350" s="30"/>
      <c r="I350" s="30"/>
      <c r="J350" s="30"/>
      <c r="K350" s="30"/>
      <c r="L350" s="30"/>
      <c r="M350" s="30"/>
      <c r="N350" s="30"/>
      <c r="O350" s="30"/>
      <c r="P350" s="30"/>
      <c r="Q350" s="30"/>
    </row>
    <row r="351" spans="1:17" x14ac:dyDescent="0.25">
      <c r="A351" s="105" t="s">
        <v>72</v>
      </c>
      <c r="B351" s="67">
        <v>4607</v>
      </c>
      <c r="C351" s="30"/>
      <c r="D351" s="30"/>
      <c r="E351" s="30"/>
      <c r="F351" s="30"/>
      <c r="G351" s="30"/>
      <c r="H351" s="30"/>
      <c r="I351" s="30"/>
      <c r="J351" s="30"/>
      <c r="K351" s="30"/>
      <c r="L351" s="30"/>
      <c r="M351" s="30"/>
      <c r="N351" s="30"/>
      <c r="O351" s="30"/>
      <c r="P351" s="30"/>
      <c r="Q351" s="30"/>
    </row>
    <row r="352" spans="1:17" x14ac:dyDescent="0.25">
      <c r="A352" s="105" t="s">
        <v>818</v>
      </c>
      <c r="B352" s="67" t="s">
        <v>819</v>
      </c>
      <c r="C352" s="30"/>
      <c r="D352" s="30"/>
      <c r="E352" s="30"/>
      <c r="F352" s="30"/>
      <c r="G352" s="30"/>
      <c r="H352" s="30"/>
      <c r="I352" s="30"/>
      <c r="J352" s="30"/>
      <c r="K352" s="30"/>
      <c r="L352" s="30"/>
      <c r="M352" s="30"/>
      <c r="N352" s="30"/>
      <c r="O352" s="30"/>
      <c r="P352" s="30"/>
      <c r="Q352" s="30"/>
    </row>
    <row r="353" spans="1:17" x14ac:dyDescent="0.25">
      <c r="A353" s="105" t="s">
        <v>820</v>
      </c>
      <c r="B353" s="67" t="s">
        <v>821</v>
      </c>
      <c r="C353" s="30"/>
      <c r="D353" s="30"/>
      <c r="E353" s="30"/>
      <c r="F353" s="30"/>
      <c r="G353" s="30"/>
      <c r="H353" s="30"/>
      <c r="I353" s="30"/>
      <c r="J353" s="30"/>
      <c r="K353" s="30"/>
      <c r="L353" s="30"/>
      <c r="M353" s="30"/>
      <c r="N353" s="30"/>
      <c r="O353" s="30"/>
      <c r="P353" s="30"/>
      <c r="Q353" s="30"/>
    </row>
    <row r="354" spans="1:17" x14ac:dyDescent="0.25">
      <c r="A354" s="105" t="s">
        <v>56</v>
      </c>
      <c r="B354" s="67">
        <v>2444</v>
      </c>
      <c r="C354" s="30"/>
      <c r="D354" s="30"/>
      <c r="E354" s="30"/>
      <c r="F354" s="30"/>
      <c r="G354" s="30"/>
      <c r="H354" s="30"/>
      <c r="I354" s="30"/>
      <c r="J354" s="30"/>
      <c r="K354" s="30"/>
      <c r="L354" s="30"/>
      <c r="M354" s="30"/>
      <c r="N354" s="30"/>
      <c r="O354" s="30"/>
      <c r="P354" s="30"/>
      <c r="Q354" s="30"/>
    </row>
    <row r="355" spans="1:17" x14ac:dyDescent="0.25">
      <c r="A355" s="105" t="s">
        <v>57</v>
      </c>
      <c r="B355" s="67">
        <v>5209</v>
      </c>
      <c r="C355" s="30"/>
      <c r="D355" s="30"/>
      <c r="E355" s="30"/>
      <c r="F355" s="30"/>
      <c r="G355" s="30"/>
      <c r="H355" s="30"/>
      <c r="I355" s="30"/>
      <c r="J355" s="30"/>
      <c r="K355" s="30"/>
      <c r="L355" s="30"/>
      <c r="M355" s="30"/>
      <c r="N355" s="30"/>
      <c r="O355" s="30"/>
      <c r="P355" s="30"/>
      <c r="Q355" s="30"/>
    </row>
    <row r="356" spans="1:17" x14ac:dyDescent="0.25">
      <c r="A356" s="105" t="s">
        <v>389</v>
      </c>
      <c r="B356" s="67" t="s">
        <v>391</v>
      </c>
      <c r="C356" s="30"/>
      <c r="D356" s="30"/>
      <c r="E356" s="30"/>
      <c r="F356" s="30"/>
      <c r="G356" s="30"/>
      <c r="H356" s="30"/>
      <c r="I356" s="30"/>
      <c r="J356" s="30"/>
      <c r="K356" s="30"/>
      <c r="L356" s="30"/>
      <c r="M356" s="30"/>
      <c r="N356" s="30"/>
      <c r="O356" s="30"/>
      <c r="P356" s="30"/>
      <c r="Q356" s="30"/>
    </row>
    <row r="357" spans="1:17" x14ac:dyDescent="0.25">
      <c r="A357" s="105" t="s">
        <v>392</v>
      </c>
      <c r="B357" s="67" t="s">
        <v>394</v>
      </c>
      <c r="C357" s="30"/>
      <c r="D357" s="30"/>
      <c r="E357" s="30"/>
      <c r="F357" s="30"/>
      <c r="G357" s="30"/>
      <c r="H357" s="30"/>
      <c r="I357" s="30"/>
      <c r="J357" s="30"/>
      <c r="K357" s="30"/>
      <c r="L357" s="30"/>
      <c r="M357" s="30"/>
      <c r="N357" s="30"/>
      <c r="O357" s="30"/>
      <c r="P357" s="30"/>
      <c r="Q357" s="30"/>
    </row>
    <row r="358" spans="1:17" x14ac:dyDescent="0.25">
      <c r="A358" s="105" t="s">
        <v>58</v>
      </c>
      <c r="B358" s="67">
        <v>2469</v>
      </c>
      <c r="C358" s="30"/>
      <c r="D358" s="30"/>
      <c r="E358" s="30"/>
      <c r="F358" s="30"/>
      <c r="G358" s="30"/>
      <c r="H358" s="30"/>
      <c r="I358" s="30"/>
      <c r="J358" s="30"/>
      <c r="K358" s="30"/>
      <c r="L358" s="30"/>
      <c r="M358" s="30"/>
      <c r="N358" s="30"/>
      <c r="O358" s="30"/>
      <c r="P358" s="30"/>
      <c r="Q358" s="30"/>
    </row>
    <row r="359" spans="1:17" x14ac:dyDescent="0.25">
      <c r="A359" s="105" t="s">
        <v>395</v>
      </c>
      <c r="B359" s="110" t="s">
        <v>397</v>
      </c>
      <c r="C359" s="30"/>
      <c r="D359" s="30"/>
      <c r="E359" s="30"/>
      <c r="F359" s="30"/>
      <c r="G359" s="30"/>
      <c r="H359" s="30"/>
      <c r="I359" s="30"/>
      <c r="J359" s="30"/>
      <c r="K359" s="30"/>
      <c r="L359" s="30"/>
      <c r="M359" s="30"/>
      <c r="N359" s="30"/>
      <c r="O359" s="30"/>
      <c r="P359" s="30"/>
      <c r="Q359" s="30"/>
    </row>
    <row r="360" spans="1:17" x14ac:dyDescent="0.25">
      <c r="A360" s="105" t="s">
        <v>398</v>
      </c>
      <c r="B360" s="67" t="s">
        <v>399</v>
      </c>
      <c r="C360" s="30"/>
      <c r="D360" s="30"/>
      <c r="E360" s="30"/>
      <c r="F360" s="30"/>
      <c r="G360" s="30"/>
      <c r="H360" s="30"/>
      <c r="I360" s="30"/>
      <c r="J360" s="30"/>
      <c r="K360" s="30"/>
      <c r="L360" s="30"/>
      <c r="M360" s="30"/>
      <c r="N360" s="30"/>
      <c r="O360" s="30"/>
      <c r="P360" s="30"/>
      <c r="Q360" s="30"/>
    </row>
    <row r="361" spans="1:17" x14ac:dyDescent="0.25">
      <c r="A361" s="59" t="s">
        <v>59</v>
      </c>
      <c r="B361" s="59">
        <v>2466</v>
      </c>
      <c r="C361" s="30"/>
      <c r="D361" s="30"/>
      <c r="E361" s="30"/>
      <c r="F361" s="30"/>
      <c r="G361" s="30"/>
      <c r="H361" s="30"/>
      <c r="I361" s="30"/>
      <c r="J361" s="30"/>
      <c r="K361" s="30"/>
      <c r="L361" s="30"/>
      <c r="M361" s="30"/>
      <c r="N361" s="30"/>
      <c r="O361" s="30"/>
      <c r="P361" s="30"/>
      <c r="Q361" s="30"/>
    </row>
    <row r="362" spans="1:17" x14ac:dyDescent="0.25">
      <c r="A362" s="59" t="s">
        <v>60</v>
      </c>
      <c r="B362" s="59">
        <v>3543</v>
      </c>
      <c r="C362" s="30"/>
      <c r="D362" s="30"/>
      <c r="E362" s="30"/>
      <c r="F362" s="30"/>
      <c r="G362" s="30"/>
      <c r="H362" s="30"/>
      <c r="I362" s="30"/>
      <c r="J362" s="30"/>
      <c r="K362" s="30"/>
      <c r="L362" s="30"/>
      <c r="M362" s="30"/>
      <c r="N362" s="30"/>
      <c r="O362" s="30"/>
      <c r="P362" s="30"/>
      <c r="Q362" s="30"/>
    </row>
    <row r="363" spans="1:17" x14ac:dyDescent="0.25">
      <c r="A363" s="59" t="s">
        <v>400</v>
      </c>
      <c r="B363" s="59">
        <v>206152</v>
      </c>
      <c r="C363" s="30"/>
      <c r="D363" s="30"/>
      <c r="E363" s="30"/>
      <c r="F363" s="30"/>
      <c r="G363" s="30"/>
      <c r="H363" s="30"/>
      <c r="I363" s="30"/>
      <c r="J363" s="30"/>
      <c r="K363" s="30"/>
      <c r="L363" s="30"/>
      <c r="M363" s="30"/>
      <c r="N363" s="30"/>
      <c r="O363" s="30"/>
      <c r="P363" s="30"/>
      <c r="Q363" s="30"/>
    </row>
    <row r="364" spans="1:17" x14ac:dyDescent="0.25">
      <c r="A364" s="59" t="s">
        <v>402</v>
      </c>
      <c r="B364" s="59">
        <v>206153</v>
      </c>
      <c r="C364" s="30"/>
      <c r="D364" s="30"/>
      <c r="E364" s="30"/>
      <c r="F364" s="30"/>
      <c r="G364" s="30"/>
      <c r="H364" s="30"/>
      <c r="I364" s="30"/>
      <c r="J364" s="30"/>
      <c r="K364" s="30"/>
      <c r="L364" s="30"/>
      <c r="M364" s="30"/>
      <c r="N364" s="30"/>
      <c r="O364" s="30"/>
      <c r="P364" s="30"/>
      <c r="Q364" s="30"/>
    </row>
    <row r="365" spans="1:17" x14ac:dyDescent="0.25">
      <c r="A365" s="59" t="s">
        <v>62</v>
      </c>
      <c r="B365" s="59">
        <v>3531</v>
      </c>
      <c r="C365" s="30"/>
      <c r="D365" s="30"/>
      <c r="E365" s="30"/>
      <c r="F365" s="30"/>
      <c r="G365" s="30"/>
      <c r="H365" s="30"/>
      <c r="I365" s="30"/>
      <c r="J365" s="30"/>
      <c r="K365" s="30"/>
      <c r="L365" s="30"/>
      <c r="M365" s="30"/>
      <c r="N365" s="30"/>
      <c r="O365" s="30"/>
      <c r="P365" s="30"/>
      <c r="Q365" s="30"/>
    </row>
    <row r="366" spans="1:17" x14ac:dyDescent="0.25">
      <c r="A366" s="59" t="s">
        <v>63</v>
      </c>
      <c r="B366" s="59">
        <v>3526</v>
      </c>
      <c r="C366" s="30"/>
      <c r="D366" s="30"/>
      <c r="E366" s="30"/>
      <c r="F366" s="30"/>
      <c r="G366" s="30"/>
      <c r="H366" s="30"/>
      <c r="I366" s="30"/>
      <c r="J366" s="30"/>
      <c r="K366" s="30"/>
      <c r="L366" s="30"/>
      <c r="M366" s="30"/>
      <c r="N366" s="30"/>
      <c r="O366" s="30"/>
      <c r="P366" s="30"/>
      <c r="Q366" s="30"/>
    </row>
    <row r="367" spans="1:17" x14ac:dyDescent="0.25">
      <c r="A367" s="59" t="s">
        <v>104</v>
      </c>
      <c r="B367" s="59">
        <v>3535</v>
      </c>
      <c r="C367" s="30"/>
      <c r="D367" s="30"/>
      <c r="E367" s="30"/>
      <c r="F367" s="30"/>
      <c r="G367" s="30"/>
      <c r="H367" s="30"/>
      <c r="I367" s="30"/>
      <c r="J367" s="30"/>
      <c r="K367" s="30"/>
      <c r="L367" s="30"/>
      <c r="M367" s="30"/>
      <c r="N367" s="30"/>
      <c r="O367" s="30"/>
      <c r="P367" s="30"/>
      <c r="Q367" s="30"/>
    </row>
    <row r="368" spans="1:17" x14ac:dyDescent="0.25">
      <c r="A368" s="59" t="s">
        <v>64</v>
      </c>
      <c r="B368" s="59">
        <v>2008</v>
      </c>
      <c r="C368" s="30"/>
      <c r="D368" s="30"/>
      <c r="E368" s="30"/>
      <c r="F368" s="30"/>
      <c r="G368" s="30"/>
      <c r="H368" s="30"/>
      <c r="I368" s="30"/>
      <c r="J368" s="30"/>
      <c r="K368" s="30"/>
      <c r="L368" s="30"/>
      <c r="M368" s="30"/>
      <c r="N368" s="30"/>
      <c r="O368" s="30"/>
      <c r="P368" s="30"/>
      <c r="Q368" s="30"/>
    </row>
    <row r="369" spans="1:2" x14ac:dyDescent="0.25">
      <c r="A369" s="59" t="s">
        <v>105</v>
      </c>
      <c r="B369" s="59">
        <v>3542</v>
      </c>
    </row>
    <row r="370" spans="1:2" x14ac:dyDescent="0.25">
      <c r="A370" s="59" t="s">
        <v>404</v>
      </c>
      <c r="B370" s="59">
        <v>206154</v>
      </c>
    </row>
    <row r="371" spans="1:2" x14ac:dyDescent="0.25">
      <c r="A371" s="59" t="s">
        <v>106</v>
      </c>
      <c r="B371" s="59">
        <v>3528</v>
      </c>
    </row>
    <row r="372" spans="1:2" x14ac:dyDescent="0.25">
      <c r="A372" s="59" t="s">
        <v>406</v>
      </c>
      <c r="B372" s="59" t="s">
        <v>407</v>
      </c>
    </row>
    <row r="373" spans="1:2" x14ac:dyDescent="0.25">
      <c r="A373" s="59" t="s">
        <v>107</v>
      </c>
      <c r="B373" s="59">
        <v>3534</v>
      </c>
    </row>
    <row r="374" spans="1:2" x14ac:dyDescent="0.25">
      <c r="A374" s="59" t="s">
        <v>108</v>
      </c>
      <c r="B374" s="59">
        <v>3532</v>
      </c>
    </row>
    <row r="375" spans="1:2" x14ac:dyDescent="0.25">
      <c r="A375" s="59" t="s">
        <v>7</v>
      </c>
      <c r="B375" s="59">
        <v>1010</v>
      </c>
    </row>
    <row r="376" spans="1:2" x14ac:dyDescent="0.25">
      <c r="A376" s="59" t="s">
        <v>1396</v>
      </c>
      <c r="B376" s="59">
        <v>484523</v>
      </c>
    </row>
    <row r="377" spans="1:2" x14ac:dyDescent="0.25">
      <c r="A377" s="59" t="s">
        <v>408</v>
      </c>
      <c r="B377" s="59" t="s">
        <v>410</v>
      </c>
    </row>
    <row r="378" spans="1:2" x14ac:dyDescent="0.25">
      <c r="A378" s="59" t="s">
        <v>114</v>
      </c>
      <c r="B378" s="59">
        <v>4177</v>
      </c>
    </row>
    <row r="379" spans="1:2" x14ac:dyDescent="0.25">
      <c r="A379" s="59" t="s">
        <v>822</v>
      </c>
      <c r="B379" s="59" t="s">
        <v>824</v>
      </c>
    </row>
    <row r="380" spans="1:2" x14ac:dyDescent="0.25">
      <c r="A380" s="59" t="s">
        <v>411</v>
      </c>
      <c r="B380" s="59" t="s">
        <v>413</v>
      </c>
    </row>
    <row r="381" spans="1:2" x14ac:dyDescent="0.25">
      <c r="A381" s="59" t="s">
        <v>414</v>
      </c>
      <c r="B381" s="59">
        <v>206103</v>
      </c>
    </row>
    <row r="382" spans="1:2" x14ac:dyDescent="0.25">
      <c r="A382" s="59" t="s">
        <v>415</v>
      </c>
      <c r="B382" s="59" t="s">
        <v>417</v>
      </c>
    </row>
    <row r="383" spans="1:2" x14ac:dyDescent="0.25">
      <c r="A383" s="59" t="s">
        <v>418</v>
      </c>
      <c r="B383" s="59" t="s">
        <v>420</v>
      </c>
    </row>
    <row r="384" spans="1:2" x14ac:dyDescent="0.25">
      <c r="A384" s="59" t="s">
        <v>421</v>
      </c>
      <c r="B384" s="59">
        <v>258420</v>
      </c>
    </row>
    <row r="385" spans="1:2" x14ac:dyDescent="0.25">
      <c r="A385" s="59" t="s">
        <v>423</v>
      </c>
      <c r="B385" s="59">
        <v>258424</v>
      </c>
    </row>
    <row r="386" spans="1:2" x14ac:dyDescent="0.25">
      <c r="A386" s="59" t="s">
        <v>1397</v>
      </c>
      <c r="B386" s="59">
        <v>482634</v>
      </c>
    </row>
    <row r="387" spans="1:2" x14ac:dyDescent="0.25">
      <c r="A387" s="59" t="s">
        <v>425</v>
      </c>
      <c r="B387" s="59" t="s">
        <v>426</v>
      </c>
    </row>
    <row r="388" spans="1:2" x14ac:dyDescent="0.25">
      <c r="A388" s="59" t="s">
        <v>65</v>
      </c>
      <c r="B388" s="59">
        <v>3546</v>
      </c>
    </row>
    <row r="389" spans="1:2" x14ac:dyDescent="0.25">
      <c r="A389" s="59" t="s">
        <v>8</v>
      </c>
      <c r="B389" s="59">
        <v>1009</v>
      </c>
    </row>
    <row r="390" spans="1:2" x14ac:dyDescent="0.25">
      <c r="A390" s="59" t="s">
        <v>1398</v>
      </c>
      <c r="B390" s="59">
        <v>476554</v>
      </c>
    </row>
    <row r="391" spans="1:2" x14ac:dyDescent="0.25">
      <c r="A391" s="59" t="s">
        <v>66</v>
      </c>
      <c r="B391" s="59">
        <v>3530</v>
      </c>
    </row>
    <row r="392" spans="1:2" x14ac:dyDescent="0.25">
      <c r="A392" s="59" t="s">
        <v>74</v>
      </c>
      <c r="B392" s="59">
        <v>5412</v>
      </c>
    </row>
    <row r="393" spans="1:2" x14ac:dyDescent="0.25">
      <c r="A393" s="59" t="s">
        <v>432</v>
      </c>
      <c r="B393" s="59" t="s">
        <v>433</v>
      </c>
    </row>
    <row r="394" spans="1:2" x14ac:dyDescent="0.25">
      <c r="A394" s="59" t="s">
        <v>427</v>
      </c>
      <c r="B394" s="59" t="s">
        <v>429</v>
      </c>
    </row>
    <row r="395" spans="1:2" x14ac:dyDescent="0.25">
      <c r="A395" s="59" t="s">
        <v>9</v>
      </c>
      <c r="B395" s="59">
        <v>1015</v>
      </c>
    </row>
    <row r="396" spans="1:2" x14ac:dyDescent="0.25">
      <c r="A396" s="59" t="s">
        <v>430</v>
      </c>
      <c r="B396" s="59" t="s">
        <v>431</v>
      </c>
    </row>
    <row r="397" spans="1:2" x14ac:dyDescent="0.25">
      <c r="A397" s="59" t="s">
        <v>434</v>
      </c>
      <c r="B397" s="59">
        <v>509204</v>
      </c>
    </row>
    <row r="398" spans="1:2" x14ac:dyDescent="0.25">
      <c r="A398" s="59" t="s">
        <v>434</v>
      </c>
      <c r="B398" s="59" t="s">
        <v>825</v>
      </c>
    </row>
    <row r="399" spans="1:2" x14ac:dyDescent="0.25">
      <c r="A399" s="59" t="s">
        <v>67</v>
      </c>
      <c r="B399" s="59">
        <v>2459</v>
      </c>
    </row>
    <row r="400" spans="1:2" x14ac:dyDescent="0.25">
      <c r="A400" s="59" t="s">
        <v>96</v>
      </c>
      <c r="B400" s="59">
        <v>2007</v>
      </c>
    </row>
  </sheetData>
  <sheetProtection password="EF5C" sheet="1" objects="1" scenarios="1"/>
  <mergeCells count="6">
    <mergeCell ref="D118:E118"/>
    <mergeCell ref="E119:F119"/>
    <mergeCell ref="N2:O2"/>
    <mergeCell ref="N3:O3"/>
    <mergeCell ref="N4:O4"/>
    <mergeCell ref="C116:D116"/>
  </mergeCells>
  <pageMargins left="0.7" right="0.7" top="0.75" bottom="0.75" header="0.3" footer="0.3"/>
  <pageSetup paperSize="9" orientation="portrait"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sheetPr>
  <dimension ref="A1:AF416"/>
  <sheetViews>
    <sheetView workbookViewId="0">
      <pane xSplit="2" ySplit="5" topLeftCell="C150" activePane="bottomRight" state="frozen"/>
      <selection activeCell="C118" sqref="C118"/>
      <selection pane="topRight" activeCell="C118" sqref="C118"/>
      <selection pane="bottomLeft" activeCell="C118" sqref="C118"/>
      <selection pane="bottomRight" activeCell="F165" sqref="F165"/>
    </sheetView>
  </sheetViews>
  <sheetFormatPr defaultRowHeight="13.2" x14ac:dyDescent="0.25"/>
  <cols>
    <col min="1" max="1" width="52.44140625" bestFit="1" customWidth="1"/>
    <col min="2" max="2" width="17.109375" style="30" bestFit="1" customWidth="1"/>
    <col min="3" max="9" width="11.44140625" style="23" customWidth="1"/>
    <col min="10" max="12" width="11.44140625" style="925" customWidth="1"/>
    <col min="13" max="14" width="15.109375" style="925" customWidth="1"/>
    <col min="15" max="17" width="12.5546875" style="925" customWidth="1"/>
    <col min="18" max="34" width="9.109375" customWidth="1"/>
  </cols>
  <sheetData>
    <row r="1" spans="1:32" ht="12.75" x14ac:dyDescent="0.2">
      <c r="A1" s="924" t="s">
        <v>957</v>
      </c>
    </row>
    <row r="2" spans="1:32" ht="18.75" customHeight="1" x14ac:dyDescent="0.25">
      <c r="A2" s="1" t="s">
        <v>958</v>
      </c>
      <c r="B2" s="926"/>
      <c r="C2" s="927">
        <v>933.86172170858913</v>
      </c>
      <c r="D2" s="927">
        <v>117.30841547807324</v>
      </c>
      <c r="E2" s="927">
        <v>234.6255044064591</v>
      </c>
      <c r="F2" s="927">
        <v>352.38493930078818</v>
      </c>
      <c r="G2" s="927">
        <v>469.69335477886142</v>
      </c>
      <c r="H2" s="927">
        <v>939.39538300803542</v>
      </c>
      <c r="I2" s="927">
        <v>939.39538300803542</v>
      </c>
      <c r="J2" s="928"/>
      <c r="K2" s="929"/>
      <c r="L2" s="928"/>
      <c r="M2" s="928"/>
      <c r="N2" s="928"/>
      <c r="O2" s="926"/>
      <c r="P2" s="926"/>
      <c r="Q2" s="926"/>
    </row>
    <row r="3" spans="1:32" ht="18.75" customHeight="1" x14ac:dyDescent="0.25">
      <c r="A3" s="1" t="s">
        <v>77</v>
      </c>
      <c r="B3" s="926"/>
      <c r="C3" s="927">
        <v>715.21270513666468</v>
      </c>
      <c r="D3" s="927">
        <v>93.126835011549474</v>
      </c>
      <c r="E3" s="927">
        <v>186.68734253409619</v>
      </c>
      <c r="F3" s="927">
        <v>279.82285099586556</v>
      </c>
      <c r="G3" s="927">
        <v>372.9496860074151</v>
      </c>
      <c r="H3" s="927">
        <v>746.33304452582729</v>
      </c>
      <c r="I3" s="927">
        <v>746.33304452582729</v>
      </c>
      <c r="J3" s="928"/>
      <c r="K3" s="929"/>
      <c r="L3" s="928"/>
      <c r="M3" s="3"/>
      <c r="N3" s="928"/>
      <c r="O3" s="926"/>
      <c r="P3" s="926"/>
      <c r="Q3" s="926"/>
    </row>
    <row r="4" spans="1:32" ht="23.25" customHeight="1" x14ac:dyDescent="0.2">
      <c r="A4" s="1"/>
      <c r="B4" s="926" t="s">
        <v>959</v>
      </c>
      <c r="C4" s="927"/>
      <c r="D4" s="927"/>
      <c r="E4" s="927"/>
      <c r="F4" s="927"/>
      <c r="G4" s="927"/>
      <c r="H4" s="927"/>
      <c r="I4" s="927"/>
      <c r="J4" s="928"/>
      <c r="K4" s="929"/>
      <c r="L4" s="928"/>
      <c r="M4" s="3"/>
      <c r="N4" s="928"/>
      <c r="O4" s="926"/>
      <c r="P4" s="926"/>
      <c r="Q4" s="926"/>
      <c r="R4" s="378" t="s">
        <v>1242</v>
      </c>
      <c r="S4" s="378"/>
      <c r="T4" s="378" t="s">
        <v>1243</v>
      </c>
      <c r="U4" s="378"/>
      <c r="V4" s="378" t="s">
        <v>1244</v>
      </c>
      <c r="W4" s="378"/>
      <c r="X4" s="378" t="s">
        <v>1245</v>
      </c>
      <c r="Y4" s="378"/>
      <c r="Z4" s="378" t="s">
        <v>1246</v>
      </c>
      <c r="AA4" s="378"/>
      <c r="AB4" s="378" t="s">
        <v>1247</v>
      </c>
      <c r="AC4" s="378"/>
      <c r="AD4" s="378" t="s">
        <v>1248</v>
      </c>
      <c r="AE4" s="378"/>
    </row>
    <row r="5" spans="1:32" ht="73.5" customHeight="1" x14ac:dyDescent="0.25">
      <c r="A5" s="13" t="s">
        <v>118</v>
      </c>
      <c r="B5" s="6" t="s">
        <v>81</v>
      </c>
      <c r="C5" s="930" t="s">
        <v>960</v>
      </c>
      <c r="D5" s="930" t="s">
        <v>120</v>
      </c>
      <c r="E5" s="930" t="s">
        <v>121</v>
      </c>
      <c r="F5" s="930" t="s">
        <v>122</v>
      </c>
      <c r="G5" s="930" t="s">
        <v>123</v>
      </c>
      <c r="H5" s="930" t="s">
        <v>124</v>
      </c>
      <c r="I5" s="930" t="s">
        <v>125</v>
      </c>
      <c r="J5" s="931"/>
      <c r="K5" s="931" t="s">
        <v>961</v>
      </c>
      <c r="L5" s="931" t="s">
        <v>962</v>
      </c>
      <c r="M5" s="931" t="s">
        <v>963</v>
      </c>
      <c r="N5" s="931" t="s">
        <v>964</v>
      </c>
      <c r="O5" s="8" t="s">
        <v>965</v>
      </c>
      <c r="P5" s="8"/>
      <c r="Q5" s="8"/>
      <c r="R5" s="8" t="s">
        <v>0</v>
      </c>
      <c r="S5" s="8" t="s">
        <v>1</v>
      </c>
      <c r="T5" s="8" t="s">
        <v>0</v>
      </c>
      <c r="U5" s="8" t="s">
        <v>1</v>
      </c>
      <c r="V5" s="8" t="s">
        <v>0</v>
      </c>
      <c r="W5" s="8" t="s">
        <v>1</v>
      </c>
      <c r="X5" s="8" t="s">
        <v>0</v>
      </c>
      <c r="Y5" s="8" t="s">
        <v>1</v>
      </c>
      <c r="Z5" s="8" t="s">
        <v>0</v>
      </c>
      <c r="AA5" s="8" t="s">
        <v>1</v>
      </c>
      <c r="AB5" s="8" t="s">
        <v>0</v>
      </c>
      <c r="AC5" s="8" t="s">
        <v>1</v>
      </c>
      <c r="AD5" s="8" t="s">
        <v>0</v>
      </c>
      <c r="AE5" s="8" t="s">
        <v>1</v>
      </c>
      <c r="AF5" s="30"/>
    </row>
    <row r="6" spans="1:32" ht="12.75" x14ac:dyDescent="0.2">
      <c r="A6" s="9" t="s">
        <v>1301</v>
      </c>
      <c r="B6" s="10">
        <v>2014</v>
      </c>
      <c r="C6" s="9">
        <v>0</v>
      </c>
      <c r="D6" s="9">
        <v>1.3645833333333344</v>
      </c>
      <c r="E6" s="9">
        <v>2.7291666666666656</v>
      </c>
      <c r="F6" s="9">
        <v>10.916666666666655</v>
      </c>
      <c r="G6" s="9">
        <v>5.4583333333333437</v>
      </c>
      <c r="H6" s="9">
        <v>0</v>
      </c>
      <c r="I6" s="9">
        <v>0</v>
      </c>
      <c r="J6" s="932">
        <f>SUM(C6:I6)</f>
        <v>20.46875</v>
      </c>
      <c r="K6" s="932">
        <f t="shared" ref="K6:K69" si="0">C$2*C6</f>
        <v>0</v>
      </c>
      <c r="L6" s="932"/>
      <c r="M6" s="933">
        <f t="shared" ref="M6:M70" si="1">D$2*D6+E$2*E6+F$2*F6+G$2*G6+H$2*H6+I$2*I6</f>
        <v>7211.0210299319724</v>
      </c>
      <c r="N6" s="933"/>
      <c r="O6" s="934">
        <f>K6+L6+M6+N6</f>
        <v>7211.0210299319724</v>
      </c>
      <c r="P6" s="934"/>
      <c r="Q6" s="934"/>
      <c r="R6" s="937">
        <f>C6</f>
        <v>0</v>
      </c>
      <c r="S6" s="9"/>
      <c r="T6" s="9">
        <f>D6</f>
        <v>1.3645833333333344</v>
      </c>
      <c r="U6" s="9"/>
      <c r="V6" s="9">
        <f>E6</f>
        <v>2.7291666666666656</v>
      </c>
      <c r="W6" s="9"/>
      <c r="X6" s="9">
        <f>F6</f>
        <v>10.916666666666655</v>
      </c>
      <c r="Y6" s="9"/>
      <c r="Z6" s="11">
        <f>G6</f>
        <v>5.4583333333333437</v>
      </c>
      <c r="AA6" s="30"/>
      <c r="AB6" s="11">
        <f>H6</f>
        <v>0</v>
      </c>
      <c r="AC6" s="30"/>
      <c r="AD6" s="11">
        <f>I6</f>
        <v>0</v>
      </c>
      <c r="AE6" s="30"/>
      <c r="AF6" s="930"/>
    </row>
    <row r="7" spans="1:32" ht="12.75" x14ac:dyDescent="0.2">
      <c r="A7" s="9" t="s">
        <v>10</v>
      </c>
      <c r="B7" s="10">
        <v>2012</v>
      </c>
      <c r="C7" s="9">
        <v>234.03380281690141</v>
      </c>
      <c r="D7" s="9">
        <v>0</v>
      </c>
      <c r="E7" s="9">
        <v>2.0054794520547943</v>
      </c>
      <c r="F7" s="9">
        <v>78.213698630136875</v>
      </c>
      <c r="G7" s="9">
        <v>226.61917808219187</v>
      </c>
      <c r="H7" s="9">
        <v>49.134246575342559</v>
      </c>
      <c r="I7" s="9">
        <v>0</v>
      </c>
      <c r="J7" s="932">
        <f>SUM(C7:I7)</f>
        <v>590.00640555662744</v>
      </c>
      <c r="K7" s="932">
        <f t="shared" si="0"/>
        <v>218555.21003660001</v>
      </c>
      <c r="L7" s="932"/>
      <c r="M7" s="933">
        <f t="shared" si="1"/>
        <v>180629.87246339419</v>
      </c>
      <c r="N7" s="933"/>
      <c r="O7" s="934">
        <f>K7+L7+M7+N7</f>
        <v>399185.0824999942</v>
      </c>
      <c r="P7" s="934"/>
      <c r="Q7" s="934"/>
      <c r="R7" s="937">
        <f>C7</f>
        <v>234.03380281690141</v>
      </c>
      <c r="S7" s="9"/>
      <c r="T7" s="9">
        <f>D7</f>
        <v>0</v>
      </c>
      <c r="U7" s="9"/>
      <c r="V7" s="9">
        <f>E7</f>
        <v>2.0054794520547943</v>
      </c>
      <c r="W7" s="9"/>
      <c r="X7" s="9">
        <f>F7</f>
        <v>78.213698630136875</v>
      </c>
      <c r="Y7" s="9"/>
      <c r="Z7" s="11">
        <f>G7</f>
        <v>226.61917808219187</v>
      </c>
      <c r="AA7" s="30"/>
      <c r="AB7" s="11">
        <f>H7</f>
        <v>49.134246575342559</v>
      </c>
      <c r="AC7" s="30"/>
      <c r="AD7" s="11">
        <f>I7</f>
        <v>0</v>
      </c>
      <c r="AE7" s="30"/>
      <c r="AF7" s="30"/>
    </row>
    <row r="8" spans="1:32" ht="12.75" x14ac:dyDescent="0.2">
      <c r="A8" s="9" t="s">
        <v>11</v>
      </c>
      <c r="B8" s="10">
        <v>2443</v>
      </c>
      <c r="C8" s="9">
        <v>61.158301158301164</v>
      </c>
      <c r="D8" s="9">
        <v>27.1026615969582</v>
      </c>
      <c r="E8" s="9">
        <v>70.266159695817365</v>
      </c>
      <c r="F8" s="9">
        <v>60.228136882129391</v>
      </c>
      <c r="G8" s="9">
        <v>54.205323193916399</v>
      </c>
      <c r="H8" s="9">
        <v>3.0114068441064696</v>
      </c>
      <c r="I8" s="9">
        <v>0</v>
      </c>
      <c r="J8" s="932">
        <f t="shared" ref="J8:J70" si="2">SUM(C8:I8)</f>
        <v>275.97198937122897</v>
      </c>
      <c r="K8" s="932">
        <f t="shared" si="0"/>
        <v>57113.396416463525</v>
      </c>
      <c r="L8" s="932"/>
      <c r="M8" s="933">
        <f t="shared" si="1"/>
        <v>69177.873591457726</v>
      </c>
      <c r="N8" s="933"/>
      <c r="O8" s="934">
        <f t="shared" ref="O8:O71" si="3">K8+L8+M8+N8</f>
        <v>126291.27000792125</v>
      </c>
      <c r="P8" s="934"/>
      <c r="Q8" s="934"/>
      <c r="R8" s="937">
        <f t="shared" ref="R8:R71" si="4">C8</f>
        <v>61.158301158301164</v>
      </c>
      <c r="S8" s="9"/>
      <c r="T8" s="9">
        <f t="shared" ref="T8:T71" si="5">D8</f>
        <v>27.1026615969582</v>
      </c>
      <c r="U8" s="9"/>
      <c r="V8" s="9">
        <f t="shared" ref="V8:V71" si="6">E8</f>
        <v>70.266159695817365</v>
      </c>
      <c r="W8" s="9"/>
      <c r="X8" s="9">
        <f t="shared" ref="X8:X71" si="7">F8</f>
        <v>60.228136882129391</v>
      </c>
      <c r="Y8" s="9"/>
      <c r="Z8" s="11">
        <f t="shared" ref="Z8:Z71" si="8">G8</f>
        <v>54.205323193916399</v>
      </c>
      <c r="AA8" s="30"/>
      <c r="AB8" s="11">
        <f t="shared" ref="AB8:AB71" si="9">H8</f>
        <v>3.0114068441064696</v>
      </c>
      <c r="AC8" s="30"/>
      <c r="AD8" s="11">
        <f t="shared" ref="AD8:AD71" si="10">I8</f>
        <v>0</v>
      </c>
      <c r="AE8" s="30"/>
      <c r="AF8" s="30"/>
    </row>
    <row r="9" spans="1:32" ht="12.75" x14ac:dyDescent="0.2">
      <c r="A9" s="9" t="s">
        <v>94</v>
      </c>
      <c r="B9" s="10">
        <v>2442</v>
      </c>
      <c r="C9" s="9">
        <v>132.58566978193147</v>
      </c>
      <c r="D9" s="9">
        <v>38.32335329341312</v>
      </c>
      <c r="E9" s="9">
        <v>81.437125748503036</v>
      </c>
      <c r="F9" s="9">
        <v>69.940119760479035</v>
      </c>
      <c r="G9" s="9">
        <v>69.940119760479035</v>
      </c>
      <c r="H9" s="9">
        <v>3.832335329341312</v>
      </c>
      <c r="I9" s="9">
        <v>0</v>
      </c>
      <c r="J9" s="932">
        <f t="shared" si="2"/>
        <v>396.05872367414702</v>
      </c>
      <c r="K9" s="932">
        <f t="shared" si="0"/>
        <v>123816.68185644098</v>
      </c>
      <c r="L9" s="932"/>
      <c r="M9" s="933">
        <f t="shared" si="1"/>
        <v>84699.211011754262</v>
      </c>
      <c r="N9" s="933"/>
      <c r="O9" s="934">
        <f t="shared" si="3"/>
        <v>208515.89286819525</v>
      </c>
      <c r="P9" s="934"/>
      <c r="Q9" s="934"/>
      <c r="R9" s="937">
        <f t="shared" si="4"/>
        <v>132.58566978193147</v>
      </c>
      <c r="S9" s="9"/>
      <c r="T9" s="9">
        <f t="shared" si="5"/>
        <v>38.32335329341312</v>
      </c>
      <c r="U9" s="9"/>
      <c r="V9" s="9">
        <f t="shared" si="6"/>
        <v>81.437125748503036</v>
      </c>
      <c r="W9" s="9"/>
      <c r="X9" s="9">
        <f t="shared" si="7"/>
        <v>69.940119760479035</v>
      </c>
      <c r="Y9" s="9"/>
      <c r="Z9" s="11">
        <f t="shared" si="8"/>
        <v>69.940119760479035</v>
      </c>
      <c r="AA9" s="30"/>
      <c r="AB9" s="11">
        <f t="shared" si="9"/>
        <v>3.832335329341312</v>
      </c>
      <c r="AC9" s="30"/>
      <c r="AD9" s="11">
        <f t="shared" si="10"/>
        <v>0</v>
      </c>
      <c r="AE9" s="30"/>
      <c r="AF9" s="30"/>
    </row>
    <row r="10" spans="1:32" ht="12.75" x14ac:dyDescent="0.2">
      <c r="A10" s="9" t="s">
        <v>13</v>
      </c>
      <c r="B10" s="10">
        <v>2629</v>
      </c>
      <c r="C10" s="9">
        <v>179.16438356164383</v>
      </c>
      <c r="D10" s="9">
        <v>9.2414163090128554</v>
      </c>
      <c r="E10" s="9">
        <v>0</v>
      </c>
      <c r="F10" s="9">
        <v>128.35300429184528</v>
      </c>
      <c r="G10" s="9">
        <v>311.12768240343343</v>
      </c>
      <c r="H10" s="9">
        <v>9.2414163090128554</v>
      </c>
      <c r="I10" s="9">
        <v>0</v>
      </c>
      <c r="J10" s="932">
        <f t="shared" si="2"/>
        <v>637.12790287494829</v>
      </c>
      <c r="K10" s="932">
        <f t="shared" si="0"/>
        <v>167314.75970173476</v>
      </c>
      <c r="L10" s="932"/>
      <c r="M10" s="933">
        <f t="shared" si="1"/>
        <v>201129.71025622185</v>
      </c>
      <c r="N10" s="933"/>
      <c r="O10" s="934">
        <f t="shared" si="3"/>
        <v>368444.46995795658</v>
      </c>
      <c r="P10" s="934"/>
      <c r="Q10" s="934"/>
      <c r="R10" s="937">
        <f t="shared" si="4"/>
        <v>179.16438356164383</v>
      </c>
      <c r="S10" s="9"/>
      <c r="T10" s="9">
        <f t="shared" si="5"/>
        <v>9.2414163090128554</v>
      </c>
      <c r="U10" s="9"/>
      <c r="V10" s="9">
        <f t="shared" si="6"/>
        <v>0</v>
      </c>
      <c r="W10" s="9"/>
      <c r="X10" s="9">
        <f t="shared" si="7"/>
        <v>128.35300429184528</v>
      </c>
      <c r="Y10" s="9"/>
      <c r="Z10" s="11">
        <f t="shared" si="8"/>
        <v>311.12768240343343</v>
      </c>
      <c r="AA10" s="30"/>
      <c r="AB10" s="11">
        <f t="shared" si="9"/>
        <v>9.2414163090128554</v>
      </c>
      <c r="AC10" s="30"/>
      <c r="AD10" s="11">
        <f t="shared" si="10"/>
        <v>0</v>
      </c>
      <c r="AE10" s="30"/>
      <c r="AF10" s="30"/>
    </row>
    <row r="11" spans="1:32" ht="12.75" x14ac:dyDescent="0.2">
      <c r="A11" s="9" t="s">
        <v>14</v>
      </c>
      <c r="B11" s="10">
        <v>2509</v>
      </c>
      <c r="C11" s="9">
        <v>46.910891089108915</v>
      </c>
      <c r="D11" s="9">
        <v>5.0000000000000053</v>
      </c>
      <c r="E11" s="9">
        <v>22.999999999999957</v>
      </c>
      <c r="F11" s="9">
        <v>58.99999999999995</v>
      </c>
      <c r="G11" s="9">
        <v>25.000000000000025</v>
      </c>
      <c r="H11" s="9">
        <v>8.9999999999999982</v>
      </c>
      <c r="I11" s="9">
        <v>0</v>
      </c>
      <c r="J11" s="932">
        <f t="shared" si="2"/>
        <v>167.91089108910884</v>
      </c>
      <c r="K11" s="932">
        <f t="shared" si="0"/>
        <v>43808.285519359364</v>
      </c>
      <c r="L11" s="932"/>
      <c r="M11" s="933">
        <f t="shared" si="1"/>
        <v>46970.532414029265</v>
      </c>
      <c r="N11" s="933"/>
      <c r="O11" s="934">
        <f t="shared" si="3"/>
        <v>90778.817933388636</v>
      </c>
      <c r="P11" s="934"/>
      <c r="Q11" s="934"/>
      <c r="R11" s="937">
        <f t="shared" si="4"/>
        <v>46.910891089108915</v>
      </c>
      <c r="S11" s="9"/>
      <c r="T11" s="9">
        <f t="shared" si="5"/>
        <v>5.0000000000000053</v>
      </c>
      <c r="U11" s="9"/>
      <c r="V11" s="9">
        <f t="shared" si="6"/>
        <v>22.999999999999957</v>
      </c>
      <c r="W11" s="9"/>
      <c r="X11" s="9">
        <f t="shared" si="7"/>
        <v>58.99999999999995</v>
      </c>
      <c r="Y11" s="9"/>
      <c r="Z11" s="11">
        <f t="shared" si="8"/>
        <v>25.000000000000025</v>
      </c>
      <c r="AA11" s="30"/>
      <c r="AB11" s="11">
        <f t="shared" si="9"/>
        <v>8.9999999999999982</v>
      </c>
      <c r="AC11" s="30"/>
      <c r="AD11" s="11">
        <f t="shared" si="10"/>
        <v>0</v>
      </c>
      <c r="AE11" s="30"/>
      <c r="AF11" s="30"/>
    </row>
    <row r="12" spans="1:32" ht="12.75" x14ac:dyDescent="0.2">
      <c r="A12" s="9" t="s">
        <v>15</v>
      </c>
      <c r="B12" s="10">
        <v>2005</v>
      </c>
      <c r="C12" s="9">
        <v>168.36111111111111</v>
      </c>
      <c r="D12" s="9">
        <v>49.622222222222362</v>
      </c>
      <c r="E12" s="9">
        <v>65.825396825396709</v>
      </c>
      <c r="F12" s="9">
        <v>107.3460317460319</v>
      </c>
      <c r="G12" s="9">
        <v>62.787301587301641</v>
      </c>
      <c r="H12" s="9">
        <v>19.241269841269833</v>
      </c>
      <c r="I12" s="9">
        <v>0</v>
      </c>
      <c r="J12" s="932">
        <f t="shared" si="2"/>
        <v>473.18333333333351</v>
      </c>
      <c r="K12" s="932">
        <f t="shared" si="0"/>
        <v>157225.9970909933</v>
      </c>
      <c r="L12" s="932"/>
      <c r="M12" s="933">
        <f t="shared" si="1"/>
        <v>106658.48444746218</v>
      </c>
      <c r="N12" s="933"/>
      <c r="O12" s="934">
        <f t="shared" si="3"/>
        <v>263884.48153845547</v>
      </c>
      <c r="P12" s="934"/>
      <c r="Q12" s="934"/>
      <c r="R12" s="937">
        <f t="shared" si="4"/>
        <v>168.36111111111111</v>
      </c>
      <c r="S12" s="9"/>
      <c r="T12" s="9">
        <f t="shared" si="5"/>
        <v>49.622222222222362</v>
      </c>
      <c r="U12" s="9"/>
      <c r="V12" s="9">
        <f t="shared" si="6"/>
        <v>65.825396825396709</v>
      </c>
      <c r="W12" s="9"/>
      <c r="X12" s="9">
        <f t="shared" si="7"/>
        <v>107.3460317460319</v>
      </c>
      <c r="Y12" s="9"/>
      <c r="Z12" s="11">
        <f t="shared" si="8"/>
        <v>62.787301587301641</v>
      </c>
      <c r="AA12" s="30"/>
      <c r="AB12" s="11">
        <f t="shared" si="9"/>
        <v>19.241269841269833</v>
      </c>
      <c r="AC12" s="30"/>
      <c r="AD12" s="11">
        <f t="shared" si="10"/>
        <v>0</v>
      </c>
      <c r="AE12" s="30"/>
      <c r="AF12" s="30"/>
    </row>
    <row r="13" spans="1:32" ht="12.75" x14ac:dyDescent="0.2">
      <c r="A13" s="9" t="s">
        <v>16</v>
      </c>
      <c r="B13" s="10">
        <v>2464</v>
      </c>
      <c r="C13" s="9">
        <v>65.969230769230762</v>
      </c>
      <c r="D13" s="9">
        <v>132.99999999999994</v>
      </c>
      <c r="E13" s="9">
        <v>41.000000000000085</v>
      </c>
      <c r="F13" s="9">
        <v>3.0000000000000084</v>
      </c>
      <c r="G13" s="9">
        <v>0.99999999999999944</v>
      </c>
      <c r="H13" s="9">
        <v>0</v>
      </c>
      <c r="I13" s="9">
        <v>0</v>
      </c>
      <c r="J13" s="932">
        <f t="shared" si="2"/>
        <v>243.96923076923079</v>
      </c>
      <c r="K13" s="932">
        <f t="shared" si="0"/>
        <v>61606.139425945075</v>
      </c>
      <c r="L13" s="932"/>
      <c r="M13" s="933">
        <f t="shared" si="1"/>
        <v>26748.513111929806</v>
      </c>
      <c r="N13" s="933"/>
      <c r="O13" s="934">
        <f t="shared" si="3"/>
        <v>88354.652537874877</v>
      </c>
      <c r="P13" s="934"/>
      <c r="Q13" s="934"/>
      <c r="R13" s="937">
        <f t="shared" si="4"/>
        <v>65.969230769230762</v>
      </c>
      <c r="S13" s="9"/>
      <c r="T13" s="9">
        <f t="shared" si="5"/>
        <v>132.99999999999994</v>
      </c>
      <c r="U13" s="9"/>
      <c r="V13" s="9">
        <f t="shared" si="6"/>
        <v>41.000000000000085</v>
      </c>
      <c r="W13" s="9"/>
      <c r="X13" s="9">
        <f t="shared" si="7"/>
        <v>3.0000000000000084</v>
      </c>
      <c r="Y13" s="9"/>
      <c r="Z13" s="11">
        <f t="shared" si="8"/>
        <v>0.99999999999999944</v>
      </c>
      <c r="AA13" s="30"/>
      <c r="AB13" s="11">
        <f t="shared" si="9"/>
        <v>0</v>
      </c>
      <c r="AC13" s="30"/>
      <c r="AD13" s="11">
        <f t="shared" si="10"/>
        <v>0</v>
      </c>
      <c r="AE13" s="30"/>
      <c r="AF13" s="30"/>
    </row>
    <row r="14" spans="1:32" ht="12.75" x14ac:dyDescent="0.2">
      <c r="A14" s="9" t="s">
        <v>17</v>
      </c>
      <c r="B14" s="10">
        <v>2004</v>
      </c>
      <c r="C14" s="9">
        <v>159.35361216730038</v>
      </c>
      <c r="D14" s="9">
        <v>20.158730158730169</v>
      </c>
      <c r="E14" s="9">
        <v>31.24603174603174</v>
      </c>
      <c r="F14" s="9">
        <v>12.095238095238091</v>
      </c>
      <c r="G14" s="9">
        <v>73.579365079365161</v>
      </c>
      <c r="H14" s="9">
        <v>96.761904761904773</v>
      </c>
      <c r="I14" s="9">
        <v>0</v>
      </c>
      <c r="J14" s="932">
        <f t="shared" si="2"/>
        <v>393.19488200857035</v>
      </c>
      <c r="K14" s="932">
        <f t="shared" si="0"/>
        <v>148814.2386190379</v>
      </c>
      <c r="L14" s="932"/>
      <c r="M14" s="933">
        <f t="shared" si="1"/>
        <v>139415.50980512486</v>
      </c>
      <c r="N14" s="933"/>
      <c r="O14" s="934">
        <f t="shared" si="3"/>
        <v>288229.74842416274</v>
      </c>
      <c r="P14" s="934"/>
      <c r="Q14" s="934"/>
      <c r="R14" s="937">
        <f t="shared" si="4"/>
        <v>159.35361216730038</v>
      </c>
      <c r="S14" s="9"/>
      <c r="T14" s="9">
        <f t="shared" si="5"/>
        <v>20.158730158730169</v>
      </c>
      <c r="U14" s="9"/>
      <c r="V14" s="9">
        <f t="shared" si="6"/>
        <v>31.24603174603174</v>
      </c>
      <c r="W14" s="9"/>
      <c r="X14" s="9">
        <f t="shared" si="7"/>
        <v>12.095238095238091</v>
      </c>
      <c r="Y14" s="9"/>
      <c r="Z14" s="11">
        <f t="shared" si="8"/>
        <v>73.579365079365161</v>
      </c>
      <c r="AA14" s="30"/>
      <c r="AB14" s="11">
        <f t="shared" si="9"/>
        <v>96.761904761904773</v>
      </c>
      <c r="AC14" s="30"/>
      <c r="AD14" s="11">
        <f t="shared" si="10"/>
        <v>0</v>
      </c>
      <c r="AE14" s="30"/>
      <c r="AF14" s="30"/>
    </row>
    <row r="15" spans="1:32" ht="12.75" x14ac:dyDescent="0.2">
      <c r="A15" s="9" t="s">
        <v>18</v>
      </c>
      <c r="B15" s="10">
        <v>2405</v>
      </c>
      <c r="C15" s="9">
        <v>103.80582524271844</v>
      </c>
      <c r="D15" s="9">
        <v>3.8823529411764706</v>
      </c>
      <c r="E15" s="9">
        <v>16.499999999999993</v>
      </c>
      <c r="F15" s="9">
        <v>139.76470588235304</v>
      </c>
      <c r="G15" s="9">
        <v>13.588235294117656</v>
      </c>
      <c r="H15" s="9">
        <v>21.352941176470594</v>
      </c>
      <c r="I15" s="9">
        <v>0</v>
      </c>
      <c r="J15" s="932">
        <f t="shared" si="2"/>
        <v>298.89406053683626</v>
      </c>
      <c r="K15" s="932">
        <f t="shared" si="0"/>
        <v>96940.286684545965</v>
      </c>
      <c r="L15" s="932"/>
      <c r="M15" s="933">
        <f t="shared" si="1"/>
        <v>80018.889068945398</v>
      </c>
      <c r="N15" s="933"/>
      <c r="O15" s="934">
        <f t="shared" si="3"/>
        <v>176959.17575349135</v>
      </c>
      <c r="P15" s="934"/>
      <c r="Q15" s="934"/>
      <c r="R15" s="937">
        <f t="shared" si="4"/>
        <v>103.80582524271844</v>
      </c>
      <c r="S15" s="9"/>
      <c r="T15" s="9">
        <f t="shared" si="5"/>
        <v>3.8823529411764706</v>
      </c>
      <c r="U15" s="9"/>
      <c r="V15" s="9">
        <f t="shared" si="6"/>
        <v>16.499999999999993</v>
      </c>
      <c r="W15" s="9"/>
      <c r="X15" s="9">
        <f t="shared" si="7"/>
        <v>139.76470588235304</v>
      </c>
      <c r="Y15" s="9"/>
      <c r="Z15" s="11">
        <f t="shared" si="8"/>
        <v>13.588235294117656</v>
      </c>
      <c r="AA15" s="30"/>
      <c r="AB15" s="11">
        <f t="shared" si="9"/>
        <v>21.352941176470594</v>
      </c>
      <c r="AC15" s="30"/>
      <c r="AD15" s="11">
        <f t="shared" si="10"/>
        <v>0</v>
      </c>
      <c r="AE15" s="30"/>
      <c r="AF15" s="30"/>
    </row>
    <row r="16" spans="1:32" ht="12.75" x14ac:dyDescent="0.2">
      <c r="A16" s="9" t="s">
        <v>95</v>
      </c>
      <c r="B16" s="10">
        <v>2011</v>
      </c>
      <c r="C16" s="9">
        <v>79.864485981308405</v>
      </c>
      <c r="D16" s="9">
        <v>9.0000000000000089</v>
      </c>
      <c r="E16" s="9">
        <v>92.000000000000099</v>
      </c>
      <c r="F16" s="9">
        <v>83.000000000000085</v>
      </c>
      <c r="G16" s="9">
        <v>5.0000000000000044</v>
      </c>
      <c r="H16" s="9">
        <v>1.9999999999999998</v>
      </c>
      <c r="I16" s="9">
        <v>0</v>
      </c>
      <c r="J16" s="932">
        <f t="shared" si="2"/>
        <v>270.86448598130858</v>
      </c>
      <c r="K16" s="932">
        <f t="shared" si="0"/>
        <v>74582.386381876146</v>
      </c>
      <c r="L16" s="932"/>
      <c r="M16" s="933">
        <f t="shared" si="1"/>
        <v>56116.529646572744</v>
      </c>
      <c r="N16" s="933"/>
      <c r="O16" s="934">
        <f t="shared" si="3"/>
        <v>130698.91602844889</v>
      </c>
      <c r="P16" s="934"/>
      <c r="Q16" s="934"/>
      <c r="R16" s="937">
        <f t="shared" si="4"/>
        <v>79.864485981308405</v>
      </c>
      <c r="S16" s="9"/>
      <c r="T16" s="9">
        <f t="shared" si="5"/>
        <v>9.0000000000000089</v>
      </c>
      <c r="U16" s="9"/>
      <c r="V16" s="9">
        <f t="shared" si="6"/>
        <v>92.000000000000099</v>
      </c>
      <c r="W16" s="9"/>
      <c r="X16" s="9">
        <f t="shared" si="7"/>
        <v>83.000000000000085</v>
      </c>
      <c r="Y16" s="9"/>
      <c r="Z16" s="11">
        <f t="shared" si="8"/>
        <v>5.0000000000000044</v>
      </c>
      <c r="AA16" s="30"/>
      <c r="AB16" s="11">
        <f t="shared" si="9"/>
        <v>1.9999999999999998</v>
      </c>
      <c r="AC16" s="30"/>
      <c r="AD16" s="11">
        <f t="shared" si="10"/>
        <v>0</v>
      </c>
      <c r="AE16" s="30"/>
      <c r="AF16" s="30"/>
    </row>
    <row r="17" spans="1:32" ht="12.75" x14ac:dyDescent="0.2">
      <c r="A17" s="9" t="s">
        <v>20</v>
      </c>
      <c r="B17" s="10">
        <v>5201</v>
      </c>
      <c r="C17" s="9">
        <v>58.584905660377359</v>
      </c>
      <c r="D17" s="9">
        <v>78.188861985472172</v>
      </c>
      <c r="E17" s="9">
        <v>44.106537530266415</v>
      </c>
      <c r="F17" s="9">
        <v>15.036319612590786</v>
      </c>
      <c r="G17" s="9">
        <v>1.002421307506054</v>
      </c>
      <c r="H17" s="9">
        <v>0</v>
      </c>
      <c r="I17" s="9">
        <v>0</v>
      </c>
      <c r="J17" s="932">
        <f t="shared" si="2"/>
        <v>196.91904609621278</v>
      </c>
      <c r="K17" s="932">
        <f t="shared" si="0"/>
        <v>54710.200866135267</v>
      </c>
      <c r="L17" s="932"/>
      <c r="M17" s="933">
        <f t="shared" si="1"/>
        <v>25290.133324025061</v>
      </c>
      <c r="N17" s="933"/>
      <c r="O17" s="934">
        <f t="shared" si="3"/>
        <v>80000.334190160327</v>
      </c>
      <c r="P17" s="934"/>
      <c r="Q17" s="934"/>
      <c r="R17" s="937">
        <f t="shared" si="4"/>
        <v>58.584905660377359</v>
      </c>
      <c r="S17" s="9"/>
      <c r="T17" s="9">
        <f t="shared" si="5"/>
        <v>78.188861985472172</v>
      </c>
      <c r="U17" s="9"/>
      <c r="V17" s="9">
        <f t="shared" si="6"/>
        <v>44.106537530266415</v>
      </c>
      <c r="W17" s="9"/>
      <c r="X17" s="9">
        <f t="shared" si="7"/>
        <v>15.036319612590786</v>
      </c>
      <c r="Y17" s="9"/>
      <c r="Z17" s="11">
        <f t="shared" si="8"/>
        <v>1.002421307506054</v>
      </c>
      <c r="AA17" s="30"/>
      <c r="AB17" s="11">
        <f t="shared" si="9"/>
        <v>0</v>
      </c>
      <c r="AC17" s="30"/>
      <c r="AD17" s="11">
        <f t="shared" si="10"/>
        <v>0</v>
      </c>
      <c r="AE17" s="30"/>
      <c r="AF17" s="30"/>
    </row>
    <row r="18" spans="1:32" ht="12.75" x14ac:dyDescent="0.2">
      <c r="A18" s="9" t="s">
        <v>96</v>
      </c>
      <c r="B18" s="10">
        <v>2007</v>
      </c>
      <c r="C18" s="9">
        <v>184.18327974276525</v>
      </c>
      <c r="D18" s="9">
        <v>34.199413489736074</v>
      </c>
      <c r="E18" s="9">
        <v>9.0527859237536497</v>
      </c>
      <c r="F18" s="9">
        <v>68.39882697947202</v>
      </c>
      <c r="G18" s="9">
        <v>199.16129032258078</v>
      </c>
      <c r="H18" s="9">
        <v>13.076246334310843</v>
      </c>
      <c r="I18" s="9">
        <v>0</v>
      </c>
      <c r="J18" s="932">
        <f t="shared" si="2"/>
        <v>508.07184279261861</v>
      </c>
      <c r="K18" s="932">
        <f t="shared" si="0"/>
        <v>172001.71473051346</v>
      </c>
      <c r="L18" s="932"/>
      <c r="M18" s="933">
        <f t="shared" si="1"/>
        <v>136067.10999103825</v>
      </c>
      <c r="N18" s="933"/>
      <c r="O18" s="934">
        <f t="shared" si="3"/>
        <v>308068.82472155173</v>
      </c>
      <c r="P18" s="934"/>
      <c r="Q18" s="934"/>
      <c r="R18" s="937">
        <f t="shared" si="4"/>
        <v>184.18327974276525</v>
      </c>
      <c r="S18" s="9"/>
      <c r="T18" s="9">
        <f t="shared" si="5"/>
        <v>34.199413489736074</v>
      </c>
      <c r="U18" s="9"/>
      <c r="V18" s="9">
        <f t="shared" si="6"/>
        <v>9.0527859237536497</v>
      </c>
      <c r="W18" s="9"/>
      <c r="X18" s="9">
        <f t="shared" si="7"/>
        <v>68.39882697947202</v>
      </c>
      <c r="Y18" s="9"/>
      <c r="Z18" s="11">
        <f t="shared" si="8"/>
        <v>199.16129032258078</v>
      </c>
      <c r="AA18" s="30"/>
      <c r="AB18" s="11">
        <f t="shared" si="9"/>
        <v>13.076246334310843</v>
      </c>
      <c r="AC18" s="30"/>
      <c r="AD18" s="11">
        <f t="shared" si="10"/>
        <v>0</v>
      </c>
      <c r="AE18" s="30"/>
      <c r="AF18" s="30"/>
    </row>
    <row r="19" spans="1:32" ht="12.75" x14ac:dyDescent="0.2">
      <c r="A19" s="9" t="s">
        <v>21</v>
      </c>
      <c r="B19" s="10">
        <v>2433</v>
      </c>
      <c r="C19" s="9">
        <v>61.927461139896373</v>
      </c>
      <c r="D19" s="9">
        <v>46.581632653061192</v>
      </c>
      <c r="E19" s="9">
        <v>46.581632653061192</v>
      </c>
      <c r="F19" s="9">
        <v>54.204081632653065</v>
      </c>
      <c r="G19" s="9">
        <v>8.4693877551020407</v>
      </c>
      <c r="H19" s="9">
        <v>2.5408163265306136</v>
      </c>
      <c r="I19" s="9">
        <v>0</v>
      </c>
      <c r="J19" s="932">
        <f t="shared" si="2"/>
        <v>220.3050121603045</v>
      </c>
      <c r="K19" s="932">
        <f t="shared" si="0"/>
        <v>57831.685481145374</v>
      </c>
      <c r="L19" s="932"/>
      <c r="M19" s="933">
        <f t="shared" si="1"/>
        <v>41859.204864021762</v>
      </c>
      <c r="N19" s="933"/>
      <c r="O19" s="934">
        <f t="shared" si="3"/>
        <v>99690.890345167136</v>
      </c>
      <c r="P19" s="934"/>
      <c r="Q19" s="934"/>
      <c r="R19" s="937">
        <f t="shared" si="4"/>
        <v>61.927461139896373</v>
      </c>
      <c r="S19" s="9"/>
      <c r="T19" s="9">
        <f t="shared" si="5"/>
        <v>46.581632653061192</v>
      </c>
      <c r="U19" s="9"/>
      <c r="V19" s="9">
        <f t="shared" si="6"/>
        <v>46.581632653061192</v>
      </c>
      <c r="W19" s="9"/>
      <c r="X19" s="9">
        <f t="shared" si="7"/>
        <v>54.204081632653065</v>
      </c>
      <c r="Y19" s="9"/>
      <c r="Z19" s="11">
        <f t="shared" si="8"/>
        <v>8.4693877551020407</v>
      </c>
      <c r="AA19" s="30"/>
      <c r="AB19" s="11">
        <f t="shared" si="9"/>
        <v>2.5408163265306136</v>
      </c>
      <c r="AC19" s="30"/>
      <c r="AD19" s="11">
        <f t="shared" si="10"/>
        <v>0</v>
      </c>
      <c r="AE19" s="30"/>
      <c r="AF19" s="30"/>
    </row>
    <row r="20" spans="1:32" ht="12.75" x14ac:dyDescent="0.2">
      <c r="A20" s="9" t="s">
        <v>22</v>
      </c>
      <c r="B20" s="10">
        <v>2432</v>
      </c>
      <c r="C20" s="9">
        <v>102.41295546558703</v>
      </c>
      <c r="D20" s="9">
        <v>47.206611570247944</v>
      </c>
      <c r="E20" s="9">
        <v>48.049586776859584</v>
      </c>
      <c r="F20" s="9">
        <v>67.438016528925573</v>
      </c>
      <c r="G20" s="9">
        <v>11.801652892561986</v>
      </c>
      <c r="H20" s="9">
        <v>6.7438016528925582</v>
      </c>
      <c r="I20" s="9">
        <v>0</v>
      </c>
      <c r="J20" s="932">
        <f t="shared" si="2"/>
        <v>283.65262488707469</v>
      </c>
      <c r="K20" s="932">
        <f t="shared" si="0"/>
        <v>95639.538916358171</v>
      </c>
      <c r="L20" s="932"/>
      <c r="M20" s="933">
        <f t="shared" si="1"/>
        <v>52453.78677424058</v>
      </c>
      <c r="N20" s="933"/>
      <c r="O20" s="934">
        <f t="shared" si="3"/>
        <v>148093.32569059875</v>
      </c>
      <c r="P20" s="934"/>
      <c r="Q20" s="934"/>
      <c r="R20" s="937">
        <f t="shared" si="4"/>
        <v>102.41295546558703</v>
      </c>
      <c r="S20" s="9"/>
      <c r="T20" s="9">
        <f t="shared" si="5"/>
        <v>47.206611570247944</v>
      </c>
      <c r="U20" s="9"/>
      <c r="V20" s="9">
        <f t="shared" si="6"/>
        <v>48.049586776859584</v>
      </c>
      <c r="W20" s="9"/>
      <c r="X20" s="9">
        <f t="shared" si="7"/>
        <v>67.438016528925573</v>
      </c>
      <c r="Y20" s="9"/>
      <c r="Z20" s="11">
        <f t="shared" si="8"/>
        <v>11.801652892561986</v>
      </c>
      <c r="AA20" s="30"/>
      <c r="AB20" s="11">
        <f t="shared" si="9"/>
        <v>6.7438016528925582</v>
      </c>
      <c r="AC20" s="30"/>
      <c r="AD20" s="11">
        <f t="shared" si="10"/>
        <v>0</v>
      </c>
      <c r="AE20" s="30"/>
      <c r="AF20" s="30"/>
    </row>
    <row r="21" spans="1:32" ht="12.75" x14ac:dyDescent="0.2">
      <c r="A21" s="9" t="s">
        <v>949</v>
      </c>
      <c r="B21" s="10">
        <v>2447</v>
      </c>
      <c r="C21" s="9">
        <v>153.27699530516432</v>
      </c>
      <c r="D21" s="9">
        <v>16.000000000000011</v>
      </c>
      <c r="E21" s="9">
        <v>149.00000000000014</v>
      </c>
      <c r="F21" s="9">
        <v>69.000000000000085</v>
      </c>
      <c r="G21" s="9">
        <v>28</v>
      </c>
      <c r="H21" s="9">
        <v>43.000000000000149</v>
      </c>
      <c r="I21" s="9">
        <v>0</v>
      </c>
      <c r="J21" s="932">
        <f t="shared" si="2"/>
        <v>458.27699530516469</v>
      </c>
      <c r="K21" s="932">
        <f t="shared" si="0"/>
        <v>143139.51873400007</v>
      </c>
      <c r="L21" s="932"/>
      <c r="M21" s="933">
        <f t="shared" si="1"/>
        <v>114696.11101911979</v>
      </c>
      <c r="N21" s="933"/>
      <c r="O21" s="934">
        <f t="shared" si="3"/>
        <v>257835.62975311987</v>
      </c>
      <c r="P21" s="934"/>
      <c r="Q21" s="934"/>
      <c r="R21" s="937">
        <f t="shared" si="4"/>
        <v>153.27699530516432</v>
      </c>
      <c r="S21" s="9"/>
      <c r="T21" s="9">
        <f t="shared" si="5"/>
        <v>16.000000000000011</v>
      </c>
      <c r="U21" s="9"/>
      <c r="V21" s="9">
        <f t="shared" si="6"/>
        <v>149.00000000000014</v>
      </c>
      <c r="W21" s="9"/>
      <c r="X21" s="9">
        <f t="shared" si="7"/>
        <v>69.000000000000085</v>
      </c>
      <c r="Y21" s="9"/>
      <c r="Z21" s="11">
        <f t="shared" si="8"/>
        <v>28</v>
      </c>
      <c r="AA21" s="30"/>
      <c r="AB21" s="11">
        <f t="shared" si="9"/>
        <v>43.000000000000149</v>
      </c>
      <c r="AC21" s="30"/>
      <c r="AD21" s="11">
        <f t="shared" si="10"/>
        <v>0</v>
      </c>
      <c r="AE21" s="30"/>
      <c r="AF21" s="30"/>
    </row>
    <row r="22" spans="1:32" ht="12.75" x14ac:dyDescent="0.2">
      <c r="A22" s="9" t="s">
        <v>23</v>
      </c>
      <c r="B22" s="10">
        <v>2512</v>
      </c>
      <c r="C22" s="9">
        <v>31.293838862559241</v>
      </c>
      <c r="D22" s="9">
        <v>13.185714285714285</v>
      </c>
      <c r="E22" s="9">
        <v>2.0285714285714276</v>
      </c>
      <c r="F22" s="9">
        <v>4.0571428571428472</v>
      </c>
      <c r="G22" s="9">
        <v>2.0285714285714276</v>
      </c>
      <c r="H22" s="9">
        <v>0</v>
      </c>
      <c r="I22" s="9">
        <v>0</v>
      </c>
      <c r="J22" s="932">
        <f t="shared" si="2"/>
        <v>52.593838862559224</v>
      </c>
      <c r="K22" s="932">
        <f t="shared" si="0"/>
        <v>29224.118239060728</v>
      </c>
      <c r="L22" s="932"/>
      <c r="M22" s="933">
        <f t="shared" si="1"/>
        <v>4405.23240360001</v>
      </c>
      <c r="N22" s="933"/>
      <c r="O22" s="934">
        <f t="shared" si="3"/>
        <v>33629.350642660735</v>
      </c>
      <c r="P22" s="934"/>
      <c r="Q22" s="934"/>
      <c r="R22" s="937">
        <f t="shared" si="4"/>
        <v>31.293838862559241</v>
      </c>
      <c r="S22" s="9"/>
      <c r="T22" s="9">
        <f t="shared" si="5"/>
        <v>13.185714285714285</v>
      </c>
      <c r="U22" s="9"/>
      <c r="V22" s="9">
        <f t="shared" si="6"/>
        <v>2.0285714285714276</v>
      </c>
      <c r="W22" s="9"/>
      <c r="X22" s="9">
        <f t="shared" si="7"/>
        <v>4.0571428571428472</v>
      </c>
      <c r="Y22" s="9"/>
      <c r="Z22" s="11">
        <f t="shared" si="8"/>
        <v>2.0285714285714276</v>
      </c>
      <c r="AA22" s="30"/>
      <c r="AB22" s="11">
        <f t="shared" si="9"/>
        <v>0</v>
      </c>
      <c r="AC22" s="30"/>
      <c r="AD22" s="11">
        <f t="shared" si="10"/>
        <v>0</v>
      </c>
      <c r="AE22" s="30"/>
      <c r="AF22" s="30"/>
    </row>
    <row r="23" spans="1:32" ht="12.75" x14ac:dyDescent="0.2">
      <c r="A23" s="9" t="s">
        <v>24</v>
      </c>
      <c r="B23" s="10">
        <v>2456</v>
      </c>
      <c r="C23" s="9">
        <v>17.797752808988765</v>
      </c>
      <c r="D23" s="9">
        <v>2.0114285714285667</v>
      </c>
      <c r="E23" s="9">
        <v>9.0514285714285663</v>
      </c>
      <c r="F23" s="9">
        <v>2.0114285714285667</v>
      </c>
      <c r="G23" s="9">
        <v>9.0514285714285663</v>
      </c>
      <c r="H23" s="9">
        <v>0</v>
      </c>
      <c r="I23" s="9">
        <v>0</v>
      </c>
      <c r="J23" s="932">
        <f t="shared" si="2"/>
        <v>39.923467094703028</v>
      </c>
      <c r="K23" s="932">
        <f t="shared" si="0"/>
        <v>16620.640080746125</v>
      </c>
      <c r="L23" s="932"/>
      <c r="M23" s="933">
        <f t="shared" si="1"/>
        <v>7319.8464790383186</v>
      </c>
      <c r="N23" s="933"/>
      <c r="O23" s="934">
        <f t="shared" si="3"/>
        <v>23940.486559784444</v>
      </c>
      <c r="P23" s="934"/>
      <c r="Q23" s="934"/>
      <c r="R23" s="937">
        <f t="shared" si="4"/>
        <v>17.797752808988765</v>
      </c>
      <c r="S23" s="9"/>
      <c r="T23" s="9">
        <f t="shared" si="5"/>
        <v>2.0114285714285667</v>
      </c>
      <c r="U23" s="9"/>
      <c r="V23" s="9">
        <f t="shared" si="6"/>
        <v>9.0514285714285663</v>
      </c>
      <c r="W23" s="9"/>
      <c r="X23" s="9">
        <f t="shared" si="7"/>
        <v>2.0114285714285667</v>
      </c>
      <c r="Y23" s="9"/>
      <c r="Z23" s="11">
        <f t="shared" si="8"/>
        <v>9.0514285714285663</v>
      </c>
      <c r="AA23" s="30"/>
      <c r="AB23" s="11">
        <f t="shared" si="9"/>
        <v>0</v>
      </c>
      <c r="AC23" s="30"/>
      <c r="AD23" s="11">
        <f t="shared" si="10"/>
        <v>0</v>
      </c>
      <c r="AE23" s="30"/>
      <c r="AF23" s="30"/>
    </row>
    <row r="24" spans="1:32" ht="12.75" x14ac:dyDescent="0.2">
      <c r="A24" s="9" t="s">
        <v>25</v>
      </c>
      <c r="B24" s="10">
        <v>2449</v>
      </c>
      <c r="C24" s="9">
        <v>53.400000000000006</v>
      </c>
      <c r="D24" s="9">
        <v>12.999999999999993</v>
      </c>
      <c r="E24" s="9">
        <v>45.000000000000099</v>
      </c>
      <c r="F24" s="9">
        <v>31.000000000000085</v>
      </c>
      <c r="G24" s="9">
        <v>7.0000000000000071</v>
      </c>
      <c r="H24" s="9">
        <v>8.9999999999999929</v>
      </c>
      <c r="I24" s="9">
        <v>0</v>
      </c>
      <c r="J24" s="932">
        <f t="shared" si="2"/>
        <v>158.4000000000002</v>
      </c>
      <c r="K24" s="932">
        <f t="shared" si="0"/>
        <v>49868.215939238667</v>
      </c>
      <c r="L24" s="932"/>
      <c r="M24" s="933">
        <f t="shared" si="1"/>
        <v>34749.502148354441</v>
      </c>
      <c r="N24" s="933"/>
      <c r="O24" s="934">
        <f t="shared" si="3"/>
        <v>84617.718087593108</v>
      </c>
      <c r="P24" s="934"/>
      <c r="Q24" s="934"/>
      <c r="R24" s="937">
        <f t="shared" si="4"/>
        <v>53.400000000000006</v>
      </c>
      <c r="S24" s="9"/>
      <c r="T24" s="9">
        <f t="shared" si="5"/>
        <v>12.999999999999993</v>
      </c>
      <c r="U24" s="9"/>
      <c r="V24" s="9">
        <f t="shared" si="6"/>
        <v>45.000000000000099</v>
      </c>
      <c r="W24" s="9"/>
      <c r="X24" s="9">
        <f t="shared" si="7"/>
        <v>31.000000000000085</v>
      </c>
      <c r="Y24" s="9"/>
      <c r="Z24" s="11">
        <f t="shared" si="8"/>
        <v>7.0000000000000071</v>
      </c>
      <c r="AA24" s="30"/>
      <c r="AB24" s="11">
        <f t="shared" si="9"/>
        <v>8.9999999999999929</v>
      </c>
      <c r="AC24" s="30"/>
      <c r="AD24" s="11">
        <f t="shared" si="10"/>
        <v>0</v>
      </c>
      <c r="AE24" s="30"/>
      <c r="AF24" s="30"/>
    </row>
    <row r="25" spans="1:32" ht="12.75" x14ac:dyDescent="0.2">
      <c r="A25" s="9" t="s">
        <v>26</v>
      </c>
      <c r="B25" s="10">
        <v>2448</v>
      </c>
      <c r="C25" s="9">
        <v>121.58132530120481</v>
      </c>
      <c r="D25" s="9">
        <v>18.999999999999986</v>
      </c>
      <c r="E25" s="9">
        <v>60.00000000000005</v>
      </c>
      <c r="F25" s="9">
        <v>42.999999999999901</v>
      </c>
      <c r="G25" s="9">
        <v>6.0000000000000044</v>
      </c>
      <c r="H25" s="9">
        <v>13.000000000000016</v>
      </c>
      <c r="I25" s="9">
        <v>0</v>
      </c>
      <c r="J25" s="932">
        <f t="shared" si="2"/>
        <v>262.58132530120474</v>
      </c>
      <c r="K25" s="932">
        <f t="shared" si="0"/>
        <v>113540.14577339518</v>
      </c>
      <c r="L25" s="932"/>
      <c r="M25" s="933">
        <f t="shared" si="1"/>
        <v>46489.242656182447</v>
      </c>
      <c r="N25" s="933"/>
      <c r="O25" s="934">
        <f t="shared" si="3"/>
        <v>160029.38842957764</v>
      </c>
      <c r="P25" s="934"/>
      <c r="Q25" s="934"/>
      <c r="R25" s="937">
        <f t="shared" si="4"/>
        <v>121.58132530120481</v>
      </c>
      <c r="S25" s="9"/>
      <c r="T25" s="9">
        <f t="shared" si="5"/>
        <v>18.999999999999986</v>
      </c>
      <c r="U25" s="9"/>
      <c r="V25" s="9">
        <f t="shared" si="6"/>
        <v>60.00000000000005</v>
      </c>
      <c r="W25" s="9"/>
      <c r="X25" s="9">
        <f t="shared" si="7"/>
        <v>42.999999999999901</v>
      </c>
      <c r="Y25" s="9"/>
      <c r="Z25" s="11">
        <f t="shared" si="8"/>
        <v>6.0000000000000044</v>
      </c>
      <c r="AA25" s="30"/>
      <c r="AB25" s="11">
        <f t="shared" si="9"/>
        <v>13.000000000000016</v>
      </c>
      <c r="AC25" s="30"/>
      <c r="AD25" s="11">
        <f t="shared" si="10"/>
        <v>0</v>
      </c>
      <c r="AE25" s="30"/>
      <c r="AF25" s="30"/>
    </row>
    <row r="26" spans="1:32" ht="12.75" x14ac:dyDescent="0.2">
      <c r="A26" s="9" t="s">
        <v>126</v>
      </c>
      <c r="B26" s="10">
        <v>2467</v>
      </c>
      <c r="C26" s="9">
        <v>97.710914454277301</v>
      </c>
      <c r="D26" s="9">
        <v>55.163204747774572</v>
      </c>
      <c r="E26" s="9">
        <v>18.053412462908025</v>
      </c>
      <c r="F26" s="9">
        <v>93.275964391691502</v>
      </c>
      <c r="G26" s="9">
        <v>6.017804154302663</v>
      </c>
      <c r="H26" s="9">
        <v>16.047477744807136</v>
      </c>
      <c r="I26" s="9">
        <v>0</v>
      </c>
      <c r="J26" s="932">
        <f t="shared" si="2"/>
        <v>286.26877795576115</v>
      </c>
      <c r="K26" s="932">
        <f t="shared" si="0"/>
        <v>91248.482801992068</v>
      </c>
      <c r="L26" s="932"/>
      <c r="M26" s="933">
        <f t="shared" si="1"/>
        <v>61477.393321442913</v>
      </c>
      <c r="N26" s="933"/>
      <c r="O26" s="934">
        <f t="shared" si="3"/>
        <v>152725.87612343498</v>
      </c>
      <c r="P26" s="934"/>
      <c r="Q26" s="934"/>
      <c r="R26" s="937">
        <f t="shared" si="4"/>
        <v>97.710914454277301</v>
      </c>
      <c r="S26" s="9"/>
      <c r="T26" s="9">
        <f t="shared" si="5"/>
        <v>55.163204747774572</v>
      </c>
      <c r="U26" s="9"/>
      <c r="V26" s="9">
        <f t="shared" si="6"/>
        <v>18.053412462908025</v>
      </c>
      <c r="W26" s="9"/>
      <c r="X26" s="9">
        <f t="shared" si="7"/>
        <v>93.275964391691502</v>
      </c>
      <c r="Y26" s="9"/>
      <c r="Z26" s="11">
        <f t="shared" si="8"/>
        <v>6.017804154302663</v>
      </c>
      <c r="AA26" s="30"/>
      <c r="AB26" s="11">
        <f t="shared" si="9"/>
        <v>16.047477744807136</v>
      </c>
      <c r="AC26" s="30"/>
      <c r="AD26" s="11">
        <f t="shared" si="10"/>
        <v>0</v>
      </c>
      <c r="AE26" s="30"/>
      <c r="AF26" s="30"/>
    </row>
    <row r="27" spans="1:32" ht="12.75" x14ac:dyDescent="0.2">
      <c r="A27" s="9" t="s">
        <v>28</v>
      </c>
      <c r="B27" s="10">
        <v>2455</v>
      </c>
      <c r="C27" s="9">
        <v>44.747191011235955</v>
      </c>
      <c r="D27" s="9">
        <v>1.0114285714285725</v>
      </c>
      <c r="E27" s="9">
        <v>81.925714285714136</v>
      </c>
      <c r="F27" s="9">
        <v>13.148571428571413</v>
      </c>
      <c r="G27" s="9">
        <v>9.1028571428571379</v>
      </c>
      <c r="H27" s="9">
        <v>2.0228571428571414</v>
      </c>
      <c r="I27" s="9">
        <v>0</v>
      </c>
      <c r="J27" s="932">
        <f t="shared" si="2"/>
        <v>151.95861958266437</v>
      </c>
      <c r="K27" s="932">
        <f t="shared" si="0"/>
        <v>41787.688839375915</v>
      </c>
      <c r="L27" s="932"/>
      <c r="M27" s="933">
        <f t="shared" si="1"/>
        <v>30149.683835963999</v>
      </c>
      <c r="N27" s="933"/>
      <c r="O27" s="934">
        <f t="shared" si="3"/>
        <v>71937.37267533991</v>
      </c>
      <c r="P27" s="934"/>
      <c r="Q27" s="934"/>
      <c r="R27" s="937">
        <f t="shared" si="4"/>
        <v>44.747191011235955</v>
      </c>
      <c r="S27" s="9"/>
      <c r="T27" s="9">
        <f t="shared" si="5"/>
        <v>1.0114285714285725</v>
      </c>
      <c r="U27" s="9"/>
      <c r="V27" s="9">
        <f t="shared" si="6"/>
        <v>81.925714285714136</v>
      </c>
      <c r="W27" s="9"/>
      <c r="X27" s="9">
        <f t="shared" si="7"/>
        <v>13.148571428571413</v>
      </c>
      <c r="Y27" s="9"/>
      <c r="Z27" s="11">
        <f t="shared" si="8"/>
        <v>9.1028571428571379</v>
      </c>
      <c r="AA27" s="30"/>
      <c r="AB27" s="11">
        <f t="shared" si="9"/>
        <v>2.0228571428571414</v>
      </c>
      <c r="AC27" s="30"/>
      <c r="AD27" s="11">
        <f t="shared" si="10"/>
        <v>0</v>
      </c>
      <c r="AE27" s="30"/>
      <c r="AF27" s="30"/>
    </row>
    <row r="28" spans="1:32" ht="12.75" x14ac:dyDescent="0.2">
      <c r="A28" s="9" t="s">
        <v>29</v>
      </c>
      <c r="B28" s="10">
        <v>5203</v>
      </c>
      <c r="C28" s="9">
        <v>95.556935817805382</v>
      </c>
      <c r="D28" s="9">
        <v>0</v>
      </c>
      <c r="E28" s="9">
        <v>103.26185567010286</v>
      </c>
      <c r="F28" s="9">
        <v>10.123711340206171</v>
      </c>
      <c r="G28" s="9">
        <v>7.0865979381443553</v>
      </c>
      <c r="H28" s="9">
        <v>1.0123711340206172</v>
      </c>
      <c r="I28" s="9">
        <v>0</v>
      </c>
      <c r="J28" s="932">
        <f t="shared" si="2"/>
        <v>217.04147190027939</v>
      </c>
      <c r="K28" s="932">
        <f t="shared" si="0"/>
        <v>89236.964604012886</v>
      </c>
      <c r="L28" s="932"/>
      <c r="M28" s="933">
        <f t="shared" si="1"/>
        <v>32074.853107387673</v>
      </c>
      <c r="N28" s="933"/>
      <c r="O28" s="934">
        <f t="shared" si="3"/>
        <v>121311.81771140057</v>
      </c>
      <c r="P28" s="934"/>
      <c r="Q28" s="934"/>
      <c r="R28" s="937">
        <f t="shared" si="4"/>
        <v>95.556935817805382</v>
      </c>
      <c r="S28" s="9"/>
      <c r="T28" s="9">
        <f t="shared" si="5"/>
        <v>0</v>
      </c>
      <c r="U28" s="9"/>
      <c r="V28" s="9">
        <f t="shared" si="6"/>
        <v>103.26185567010286</v>
      </c>
      <c r="W28" s="9"/>
      <c r="X28" s="9">
        <f t="shared" si="7"/>
        <v>10.123711340206171</v>
      </c>
      <c r="Y28" s="9"/>
      <c r="Z28" s="11">
        <f t="shared" si="8"/>
        <v>7.0865979381443553</v>
      </c>
      <c r="AA28" s="30"/>
      <c r="AB28" s="11">
        <f t="shared" si="9"/>
        <v>1.0123711340206172</v>
      </c>
      <c r="AC28" s="30"/>
      <c r="AD28" s="11">
        <f t="shared" si="10"/>
        <v>0</v>
      </c>
      <c r="AE28" s="30"/>
      <c r="AF28" s="30"/>
    </row>
    <row r="29" spans="1:32" ht="12.75" x14ac:dyDescent="0.2">
      <c r="A29" s="9" t="s">
        <v>30</v>
      </c>
      <c r="B29" s="10">
        <v>2451</v>
      </c>
      <c r="C29" s="9">
        <v>99.691022964509401</v>
      </c>
      <c r="D29" s="9">
        <v>154.99999999999974</v>
      </c>
      <c r="E29" s="9">
        <v>13.999999999999982</v>
      </c>
      <c r="F29" s="9">
        <v>78.999999999999972</v>
      </c>
      <c r="G29" s="9">
        <v>5</v>
      </c>
      <c r="H29" s="9">
        <v>6.9999999999999911</v>
      </c>
      <c r="I29" s="9">
        <v>0</v>
      </c>
      <c r="J29" s="932">
        <f t="shared" si="2"/>
        <v>359.6910229645091</v>
      </c>
      <c r="K29" s="932">
        <f t="shared" si="0"/>
        <v>93097.63034452725</v>
      </c>
      <c r="L29" s="932"/>
      <c r="M29" s="933">
        <f t="shared" si="1"/>
        <v>58230.206120504547</v>
      </c>
      <c r="N29" s="933"/>
      <c r="O29" s="934">
        <f t="shared" si="3"/>
        <v>151327.83646503178</v>
      </c>
      <c r="P29" s="934"/>
      <c r="Q29" s="934"/>
      <c r="R29" s="937">
        <f t="shared" si="4"/>
        <v>99.691022964509401</v>
      </c>
      <c r="S29" s="9"/>
      <c r="T29" s="9">
        <f t="shared" si="5"/>
        <v>154.99999999999974</v>
      </c>
      <c r="U29" s="9"/>
      <c r="V29" s="9">
        <f t="shared" si="6"/>
        <v>13.999999999999982</v>
      </c>
      <c r="W29" s="9"/>
      <c r="X29" s="9">
        <f t="shared" si="7"/>
        <v>78.999999999999972</v>
      </c>
      <c r="Y29" s="9"/>
      <c r="Z29" s="11">
        <f t="shared" si="8"/>
        <v>5</v>
      </c>
      <c r="AA29" s="30"/>
      <c r="AB29" s="11">
        <f t="shared" si="9"/>
        <v>6.9999999999999911</v>
      </c>
      <c r="AC29" s="30"/>
      <c r="AD29" s="11">
        <f t="shared" si="10"/>
        <v>0</v>
      </c>
      <c r="AE29" s="30"/>
      <c r="AF29" s="30"/>
    </row>
    <row r="30" spans="1:32" ht="12.75" x14ac:dyDescent="0.2">
      <c r="A30" s="9" t="s">
        <v>31</v>
      </c>
      <c r="B30" s="10">
        <v>2409</v>
      </c>
      <c r="C30" s="9">
        <v>170.12363636363636</v>
      </c>
      <c r="D30" s="9">
        <v>23.999999999999982</v>
      </c>
      <c r="E30" s="9">
        <v>1.0000000000000016</v>
      </c>
      <c r="F30" s="9">
        <v>281.00000000000011</v>
      </c>
      <c r="G30" s="9">
        <v>86.999999999999844</v>
      </c>
      <c r="H30" s="9">
        <v>2.9999999999999991</v>
      </c>
      <c r="I30" s="9">
        <v>0</v>
      </c>
      <c r="J30" s="932">
        <f t="shared" si="2"/>
        <v>566.12363636363636</v>
      </c>
      <c r="K30" s="932">
        <f t="shared" si="0"/>
        <v>158871.95195787141</v>
      </c>
      <c r="L30" s="932"/>
      <c r="M30" s="933">
        <f t="shared" si="1"/>
        <v>145751.7034341867</v>
      </c>
      <c r="N30" s="933"/>
      <c r="O30" s="934">
        <f t="shared" si="3"/>
        <v>304623.65539205808</v>
      </c>
      <c r="P30" s="934"/>
      <c r="Q30" s="934"/>
      <c r="R30" s="937">
        <f t="shared" si="4"/>
        <v>170.12363636363636</v>
      </c>
      <c r="S30" s="9"/>
      <c r="T30" s="9">
        <f t="shared" si="5"/>
        <v>23.999999999999982</v>
      </c>
      <c r="U30" s="9"/>
      <c r="V30" s="9">
        <f t="shared" si="6"/>
        <v>1.0000000000000016</v>
      </c>
      <c r="W30" s="9"/>
      <c r="X30" s="9">
        <f t="shared" si="7"/>
        <v>281.00000000000011</v>
      </c>
      <c r="Y30" s="9"/>
      <c r="Z30" s="11">
        <f t="shared" si="8"/>
        <v>86.999999999999844</v>
      </c>
      <c r="AA30" s="30"/>
      <c r="AB30" s="11">
        <f t="shared" si="9"/>
        <v>2.9999999999999991</v>
      </c>
      <c r="AC30" s="30"/>
      <c r="AD30" s="11">
        <f t="shared" si="10"/>
        <v>0</v>
      </c>
      <c r="AE30" s="30"/>
      <c r="AF30" s="30"/>
    </row>
    <row r="31" spans="1:32" ht="12.75" x14ac:dyDescent="0.2">
      <c r="A31" s="9" t="s">
        <v>98</v>
      </c>
      <c r="B31" s="10">
        <v>3158</v>
      </c>
      <c r="C31" s="9">
        <v>36</v>
      </c>
      <c r="D31" s="9">
        <v>33.999999999999957</v>
      </c>
      <c r="E31" s="9">
        <v>2.000000000000004</v>
      </c>
      <c r="F31" s="9">
        <v>56.000000000000043</v>
      </c>
      <c r="G31" s="9">
        <v>15.999999999999959</v>
      </c>
      <c r="H31" s="9">
        <v>3.9999999999999956</v>
      </c>
      <c r="I31" s="9">
        <v>0</v>
      </c>
      <c r="J31" s="932">
        <f t="shared" si="2"/>
        <v>147.99999999999997</v>
      </c>
      <c r="K31" s="932">
        <f t="shared" si="0"/>
        <v>33619.021981509206</v>
      </c>
      <c r="L31" s="932"/>
      <c r="M31" s="933">
        <f t="shared" si="1"/>
        <v>35463.968944405453</v>
      </c>
      <c r="N31" s="933"/>
      <c r="O31" s="934">
        <f t="shared" si="3"/>
        <v>69082.990925914666</v>
      </c>
      <c r="P31" s="934"/>
      <c r="Q31" s="934"/>
      <c r="R31" s="937">
        <f t="shared" si="4"/>
        <v>36</v>
      </c>
      <c r="S31" s="9"/>
      <c r="T31" s="9">
        <f t="shared" si="5"/>
        <v>33.999999999999957</v>
      </c>
      <c r="U31" s="9"/>
      <c r="V31" s="9">
        <f t="shared" si="6"/>
        <v>2.000000000000004</v>
      </c>
      <c r="W31" s="9"/>
      <c r="X31" s="9">
        <f t="shared" si="7"/>
        <v>56.000000000000043</v>
      </c>
      <c r="Y31" s="9"/>
      <c r="Z31" s="11">
        <f t="shared" si="8"/>
        <v>15.999999999999959</v>
      </c>
      <c r="AA31" s="30"/>
      <c r="AB31" s="11">
        <f t="shared" si="9"/>
        <v>3.9999999999999956</v>
      </c>
      <c r="AC31" s="30"/>
      <c r="AD31" s="11">
        <f t="shared" si="10"/>
        <v>0</v>
      </c>
      <c r="AE31" s="30"/>
      <c r="AF31" s="30"/>
    </row>
    <row r="32" spans="1:32" ht="12.75" x14ac:dyDescent="0.2">
      <c r="A32" s="9" t="s">
        <v>32</v>
      </c>
      <c r="B32" s="10">
        <v>2619</v>
      </c>
      <c r="C32" s="9">
        <v>139.91264090177134</v>
      </c>
      <c r="D32" s="9">
        <v>47.684640522875824</v>
      </c>
      <c r="E32" s="9">
        <v>10.837418300653605</v>
      </c>
      <c r="F32" s="9">
        <v>2.1674836601307188</v>
      </c>
      <c r="G32" s="9">
        <v>95.369281045751649</v>
      </c>
      <c r="H32" s="9">
        <v>63.940767973856246</v>
      </c>
      <c r="I32" s="9">
        <v>0</v>
      </c>
      <c r="J32" s="932">
        <f t="shared" si="2"/>
        <v>359.91223240503939</v>
      </c>
      <c r="K32" s="932">
        <f t="shared" si="0"/>
        <v>130659.05972132375</v>
      </c>
      <c r="L32" s="932"/>
      <c r="M32" s="933">
        <f t="shared" si="1"/>
        <v>113760.31273350112</v>
      </c>
      <c r="N32" s="933"/>
      <c r="O32" s="934">
        <f t="shared" si="3"/>
        <v>244419.37245482486</v>
      </c>
      <c r="P32" s="934"/>
      <c r="Q32" s="934"/>
      <c r="R32" s="937">
        <f t="shared" si="4"/>
        <v>139.91264090177134</v>
      </c>
      <c r="S32" s="9"/>
      <c r="T32" s="9">
        <f t="shared" si="5"/>
        <v>47.684640522875824</v>
      </c>
      <c r="U32" s="9"/>
      <c r="V32" s="9">
        <f t="shared" si="6"/>
        <v>10.837418300653605</v>
      </c>
      <c r="W32" s="9"/>
      <c r="X32" s="9">
        <f t="shared" si="7"/>
        <v>2.1674836601307188</v>
      </c>
      <c r="Y32" s="9"/>
      <c r="Z32" s="11">
        <f t="shared" si="8"/>
        <v>95.369281045751649</v>
      </c>
      <c r="AA32" s="30"/>
      <c r="AB32" s="11">
        <f t="shared" si="9"/>
        <v>63.940767973856246</v>
      </c>
      <c r="AC32" s="30"/>
      <c r="AD32" s="11">
        <f t="shared" si="10"/>
        <v>0</v>
      </c>
      <c r="AE32" s="30"/>
      <c r="AF32" s="30"/>
    </row>
    <row r="33" spans="1:32" ht="12.75" x14ac:dyDescent="0.2">
      <c r="A33" s="9" t="s">
        <v>33</v>
      </c>
      <c r="B33" s="10">
        <v>2518</v>
      </c>
      <c r="C33" s="9">
        <v>162.07848837209303</v>
      </c>
      <c r="D33" s="9">
        <v>16.000000000000004</v>
      </c>
      <c r="E33" s="9">
        <v>32.000000000000128</v>
      </c>
      <c r="F33" s="9">
        <v>177.99999999999997</v>
      </c>
      <c r="G33" s="9">
        <v>53.999999999999872</v>
      </c>
      <c r="H33" s="9">
        <v>21.999999999999986</v>
      </c>
      <c r="I33" s="9">
        <v>0</v>
      </c>
      <c r="J33" s="932">
        <f t="shared" si="2"/>
        <v>464.07848837209303</v>
      </c>
      <c r="K33" s="932">
        <f t="shared" si="0"/>
        <v>151358.89620308834</v>
      </c>
      <c r="L33" s="932"/>
      <c r="M33" s="933">
        <f t="shared" si="1"/>
        <v>118139.60956843141</v>
      </c>
      <c r="N33" s="933"/>
      <c r="O33" s="934">
        <f t="shared" si="3"/>
        <v>269498.50577151973</v>
      </c>
      <c r="P33" s="934"/>
      <c r="Q33" s="934"/>
      <c r="R33" s="937">
        <f t="shared" si="4"/>
        <v>162.07848837209303</v>
      </c>
      <c r="S33" s="9"/>
      <c r="T33" s="9">
        <f t="shared" si="5"/>
        <v>16.000000000000004</v>
      </c>
      <c r="U33" s="9"/>
      <c r="V33" s="9">
        <f t="shared" si="6"/>
        <v>32.000000000000128</v>
      </c>
      <c r="W33" s="9"/>
      <c r="X33" s="9">
        <f t="shared" si="7"/>
        <v>177.99999999999997</v>
      </c>
      <c r="Y33" s="9"/>
      <c r="Z33" s="11">
        <f t="shared" si="8"/>
        <v>53.999999999999872</v>
      </c>
      <c r="AA33" s="30"/>
      <c r="AB33" s="11">
        <f t="shared" si="9"/>
        <v>21.999999999999986</v>
      </c>
      <c r="AC33" s="30"/>
      <c r="AD33" s="11">
        <f t="shared" si="10"/>
        <v>0</v>
      </c>
      <c r="AE33" s="30"/>
      <c r="AF33" s="30"/>
    </row>
    <row r="34" spans="1:32" ht="12.75" x14ac:dyDescent="0.2">
      <c r="A34" s="9" t="s">
        <v>34</v>
      </c>
      <c r="B34" s="10">
        <v>2457</v>
      </c>
      <c r="C34" s="9">
        <v>84.461538461538467</v>
      </c>
      <c r="D34" s="9">
        <v>31.084931506849326</v>
      </c>
      <c r="E34" s="9">
        <v>80.219178082191846</v>
      </c>
      <c r="F34" s="9">
        <v>30.082191780821915</v>
      </c>
      <c r="G34" s="9">
        <v>17.046575342465744</v>
      </c>
      <c r="H34" s="9">
        <v>4.0109589041095735</v>
      </c>
      <c r="I34" s="9">
        <v>0</v>
      </c>
      <c r="J34" s="932">
        <f t="shared" si="2"/>
        <v>246.90537407797686</v>
      </c>
      <c r="K34" s="932">
        <f t="shared" si="0"/>
        <v>78875.397725848539</v>
      </c>
      <c r="L34" s="932"/>
      <c r="M34" s="933">
        <f t="shared" si="1"/>
        <v>44843.039941687217</v>
      </c>
      <c r="N34" s="933"/>
      <c r="O34" s="934">
        <f t="shared" si="3"/>
        <v>123718.43766753576</v>
      </c>
      <c r="P34" s="934"/>
      <c r="Q34" s="934"/>
      <c r="R34" s="937">
        <f t="shared" si="4"/>
        <v>84.461538461538467</v>
      </c>
      <c r="S34" s="9"/>
      <c r="T34" s="9">
        <f t="shared" si="5"/>
        <v>31.084931506849326</v>
      </c>
      <c r="U34" s="9"/>
      <c r="V34" s="9">
        <f t="shared" si="6"/>
        <v>80.219178082191846</v>
      </c>
      <c r="W34" s="9"/>
      <c r="X34" s="9">
        <f t="shared" si="7"/>
        <v>30.082191780821915</v>
      </c>
      <c r="Y34" s="9"/>
      <c r="Z34" s="11">
        <f t="shared" si="8"/>
        <v>17.046575342465744</v>
      </c>
      <c r="AA34" s="30"/>
      <c r="AB34" s="11">
        <f t="shared" si="9"/>
        <v>4.0109589041095735</v>
      </c>
      <c r="AC34" s="30"/>
      <c r="AD34" s="11">
        <f t="shared" si="10"/>
        <v>0</v>
      </c>
      <c r="AE34" s="30"/>
      <c r="AF34" s="30"/>
    </row>
    <row r="35" spans="1:32" ht="12.75" x14ac:dyDescent="0.2">
      <c r="A35" s="9" t="s">
        <v>99</v>
      </c>
      <c r="B35" s="10">
        <v>2010</v>
      </c>
      <c r="C35" s="9">
        <v>114.9009900990099</v>
      </c>
      <c r="D35" s="9">
        <v>0</v>
      </c>
      <c r="E35" s="9">
        <v>25.000000000000025</v>
      </c>
      <c r="F35" s="9">
        <v>139.99999999999991</v>
      </c>
      <c r="G35" s="9">
        <v>8.0000000000000071</v>
      </c>
      <c r="H35" s="9">
        <v>20</v>
      </c>
      <c r="I35" s="9">
        <v>0</v>
      </c>
      <c r="J35" s="932">
        <f t="shared" si="2"/>
        <v>307.90099009900985</v>
      </c>
      <c r="K35" s="932">
        <f t="shared" si="0"/>
        <v>107301.63643988295</v>
      </c>
      <c r="L35" s="932"/>
      <c r="M35" s="933">
        <f t="shared" si="1"/>
        <v>77744.983610663403</v>
      </c>
      <c r="N35" s="933"/>
      <c r="O35" s="934">
        <f t="shared" si="3"/>
        <v>185046.62005054636</v>
      </c>
      <c r="P35" s="934"/>
      <c r="Q35" s="934"/>
      <c r="R35" s="937">
        <f t="shared" si="4"/>
        <v>114.9009900990099</v>
      </c>
      <c r="S35" s="9"/>
      <c r="T35" s="9">
        <f t="shared" si="5"/>
        <v>0</v>
      </c>
      <c r="U35" s="9"/>
      <c r="V35" s="9">
        <f t="shared" si="6"/>
        <v>25.000000000000025</v>
      </c>
      <c r="W35" s="9"/>
      <c r="X35" s="9">
        <f t="shared" si="7"/>
        <v>139.99999999999991</v>
      </c>
      <c r="Y35" s="9"/>
      <c r="Z35" s="11">
        <f t="shared" si="8"/>
        <v>8.0000000000000071</v>
      </c>
      <c r="AA35" s="30"/>
      <c r="AB35" s="11">
        <f t="shared" si="9"/>
        <v>20</v>
      </c>
      <c r="AC35" s="30"/>
      <c r="AD35" s="11">
        <f t="shared" si="10"/>
        <v>0</v>
      </c>
      <c r="AE35" s="30"/>
      <c r="AF35" s="30"/>
    </row>
    <row r="36" spans="1:32" ht="12.75" x14ac:dyDescent="0.2">
      <c r="A36" s="9" t="s">
        <v>35</v>
      </c>
      <c r="B36" s="10">
        <v>2002</v>
      </c>
      <c r="C36" s="9">
        <v>43.100233100233105</v>
      </c>
      <c r="D36" s="9">
        <v>3.0210772833723651</v>
      </c>
      <c r="E36" s="9">
        <v>3.0210772833723651</v>
      </c>
      <c r="F36" s="9">
        <v>0</v>
      </c>
      <c r="G36" s="9">
        <v>6.042154566744748</v>
      </c>
      <c r="H36" s="9">
        <v>0</v>
      </c>
      <c r="I36" s="9">
        <v>0</v>
      </c>
      <c r="J36" s="932">
        <f t="shared" si="2"/>
        <v>55.184542233722581</v>
      </c>
      <c r="K36" s="932">
        <f t="shared" si="0"/>
        <v>40249.657889025206</v>
      </c>
      <c r="L36" s="932"/>
      <c r="M36" s="933">
        <f t="shared" si="1"/>
        <v>3901.1794191581093</v>
      </c>
      <c r="N36" s="933"/>
      <c r="O36" s="934">
        <f t="shared" si="3"/>
        <v>44150.837308183312</v>
      </c>
      <c r="P36" s="934"/>
      <c r="Q36" s="934"/>
      <c r="R36" s="937">
        <f t="shared" si="4"/>
        <v>43.100233100233105</v>
      </c>
      <c r="S36" s="9"/>
      <c r="T36" s="9">
        <f t="shared" si="5"/>
        <v>3.0210772833723651</v>
      </c>
      <c r="U36" s="9"/>
      <c r="V36" s="9">
        <f t="shared" si="6"/>
        <v>3.0210772833723651</v>
      </c>
      <c r="W36" s="9"/>
      <c r="X36" s="9">
        <f t="shared" si="7"/>
        <v>0</v>
      </c>
      <c r="Y36" s="9"/>
      <c r="Z36" s="11">
        <f t="shared" si="8"/>
        <v>6.042154566744748</v>
      </c>
      <c r="AA36" s="30"/>
      <c r="AB36" s="11">
        <f t="shared" si="9"/>
        <v>0</v>
      </c>
      <c r="AC36" s="30"/>
      <c r="AD36" s="11">
        <f t="shared" si="10"/>
        <v>0</v>
      </c>
      <c r="AE36" s="30"/>
      <c r="AF36" s="30"/>
    </row>
    <row r="37" spans="1:32" ht="12.75" x14ac:dyDescent="0.2">
      <c r="A37" s="9" t="s">
        <v>36</v>
      </c>
      <c r="B37" s="10">
        <v>3544</v>
      </c>
      <c r="C37" s="9">
        <v>209.24675324675323</v>
      </c>
      <c r="D37" s="9">
        <v>34.999999999999986</v>
      </c>
      <c r="E37" s="9">
        <v>0</v>
      </c>
      <c r="F37" s="9">
        <v>253.9999999999998</v>
      </c>
      <c r="G37" s="9">
        <v>219.00000000000006</v>
      </c>
      <c r="H37" s="9">
        <v>2.9999999999999991</v>
      </c>
      <c r="I37" s="9">
        <v>0</v>
      </c>
      <c r="J37" s="932">
        <f t="shared" si="2"/>
        <v>720.24675324675309</v>
      </c>
      <c r="K37" s="932">
        <f t="shared" si="0"/>
        <v>195407.53324894528</v>
      </c>
      <c r="L37" s="932"/>
      <c r="M37" s="933">
        <f t="shared" si="1"/>
        <v>199292.59996972751</v>
      </c>
      <c r="N37" s="933"/>
      <c r="O37" s="934">
        <f t="shared" si="3"/>
        <v>394700.13321867283</v>
      </c>
      <c r="P37" s="934"/>
      <c r="Q37" s="934"/>
      <c r="R37" s="937">
        <f t="shared" si="4"/>
        <v>209.24675324675323</v>
      </c>
      <c r="S37" s="9"/>
      <c r="T37" s="9">
        <f t="shared" si="5"/>
        <v>34.999999999999986</v>
      </c>
      <c r="U37" s="9"/>
      <c r="V37" s="9">
        <f t="shared" si="6"/>
        <v>0</v>
      </c>
      <c r="W37" s="9"/>
      <c r="X37" s="9">
        <f t="shared" si="7"/>
        <v>253.9999999999998</v>
      </c>
      <c r="Y37" s="9"/>
      <c r="Z37" s="11">
        <f t="shared" si="8"/>
        <v>219.00000000000006</v>
      </c>
      <c r="AA37" s="30"/>
      <c r="AB37" s="11">
        <f t="shared" si="9"/>
        <v>2.9999999999999991</v>
      </c>
      <c r="AC37" s="30"/>
      <c r="AD37" s="11">
        <f t="shared" si="10"/>
        <v>0</v>
      </c>
      <c r="AE37" s="30"/>
      <c r="AF37" s="30"/>
    </row>
    <row r="38" spans="1:32" ht="12.75" x14ac:dyDescent="0.2">
      <c r="A38" s="9" t="s">
        <v>100</v>
      </c>
      <c r="B38" s="10">
        <v>2006</v>
      </c>
      <c r="C38" s="9">
        <v>15.157894736842104</v>
      </c>
      <c r="D38" s="9">
        <v>0</v>
      </c>
      <c r="E38" s="9">
        <v>3.0747330960854113</v>
      </c>
      <c r="F38" s="9">
        <v>0</v>
      </c>
      <c r="G38" s="9">
        <v>0</v>
      </c>
      <c r="H38" s="9">
        <v>0</v>
      </c>
      <c r="I38" s="9">
        <v>0</v>
      </c>
      <c r="J38" s="932">
        <f t="shared" si="2"/>
        <v>18.232627832927516</v>
      </c>
      <c r="K38" s="932">
        <f t="shared" si="0"/>
        <v>14155.377676424929</v>
      </c>
      <c r="L38" s="932"/>
      <c r="M38" s="933">
        <f t="shared" si="1"/>
        <v>721.41080358427337</v>
      </c>
      <c r="N38" s="933"/>
      <c r="O38" s="934">
        <f t="shared" si="3"/>
        <v>14876.788480009202</v>
      </c>
      <c r="P38" s="934"/>
      <c r="Q38" s="934"/>
      <c r="R38" s="937">
        <f t="shared" si="4"/>
        <v>15.157894736842104</v>
      </c>
      <c r="S38" s="9"/>
      <c r="T38" s="9">
        <f t="shared" si="5"/>
        <v>0</v>
      </c>
      <c r="U38" s="9"/>
      <c r="V38" s="9">
        <f t="shared" si="6"/>
        <v>3.0747330960854113</v>
      </c>
      <c r="W38" s="9"/>
      <c r="X38" s="9">
        <f t="shared" si="7"/>
        <v>0</v>
      </c>
      <c r="Y38" s="9"/>
      <c r="Z38" s="11">
        <f t="shared" si="8"/>
        <v>0</v>
      </c>
      <c r="AA38" s="30"/>
      <c r="AB38" s="11">
        <f t="shared" si="9"/>
        <v>0</v>
      </c>
      <c r="AC38" s="30"/>
      <c r="AD38" s="11">
        <f t="shared" si="10"/>
        <v>0</v>
      </c>
      <c r="AE38" s="30"/>
      <c r="AF38" s="30"/>
    </row>
    <row r="39" spans="1:32" ht="12.75" x14ac:dyDescent="0.2">
      <c r="A39" s="9" t="s">
        <v>37</v>
      </c>
      <c r="B39" s="10">
        <v>2434</v>
      </c>
      <c r="C39" s="9">
        <v>200.63034188034186</v>
      </c>
      <c r="D39" s="9">
        <v>4.0037950664136632</v>
      </c>
      <c r="E39" s="9">
        <v>6.0056925996204837</v>
      </c>
      <c r="F39" s="9">
        <v>407.38614800759035</v>
      </c>
      <c r="G39" s="9">
        <v>79.074952561669591</v>
      </c>
      <c r="H39" s="9">
        <v>7.0066413662238896</v>
      </c>
      <c r="I39" s="9">
        <v>0</v>
      </c>
      <c r="J39" s="932">
        <f t="shared" si="2"/>
        <v>704.10757148185985</v>
      </c>
      <c r="K39" s="932">
        <f t="shared" si="0"/>
        <v>187360.99649535891</v>
      </c>
      <c r="L39" s="932"/>
      <c r="M39" s="933">
        <f t="shared" si="1"/>
        <v>189158.49684576638</v>
      </c>
      <c r="N39" s="933"/>
      <c r="O39" s="934">
        <f t="shared" si="3"/>
        <v>376519.49334112532</v>
      </c>
      <c r="P39" s="934"/>
      <c r="Q39" s="934"/>
      <c r="R39" s="937">
        <f t="shared" si="4"/>
        <v>200.63034188034186</v>
      </c>
      <c r="S39" s="9"/>
      <c r="T39" s="9">
        <f t="shared" si="5"/>
        <v>4.0037950664136632</v>
      </c>
      <c r="U39" s="9"/>
      <c r="V39" s="9">
        <f t="shared" si="6"/>
        <v>6.0056925996204837</v>
      </c>
      <c r="W39" s="9"/>
      <c r="X39" s="9">
        <f t="shared" si="7"/>
        <v>407.38614800759035</v>
      </c>
      <c r="Y39" s="9"/>
      <c r="Z39" s="11">
        <f t="shared" si="8"/>
        <v>79.074952561669591</v>
      </c>
      <c r="AA39" s="30"/>
      <c r="AB39" s="11">
        <f t="shared" si="9"/>
        <v>7.0066413662238896</v>
      </c>
      <c r="AC39" s="30"/>
      <c r="AD39" s="11">
        <f t="shared" si="10"/>
        <v>0</v>
      </c>
      <c r="AE39" s="30"/>
      <c r="AF39" s="30"/>
    </row>
    <row r="40" spans="1:32" ht="12.75" x14ac:dyDescent="0.2">
      <c r="A40" s="9" t="s">
        <v>38</v>
      </c>
      <c r="B40" s="10">
        <v>2522</v>
      </c>
      <c r="C40" s="9">
        <v>48.865979381443303</v>
      </c>
      <c r="D40" s="9">
        <v>31.000000000000021</v>
      </c>
      <c r="E40" s="9">
        <v>20.000000000000014</v>
      </c>
      <c r="F40" s="9">
        <v>31.000000000000021</v>
      </c>
      <c r="G40" s="9">
        <v>9.0000000000000089</v>
      </c>
      <c r="H40" s="9">
        <v>5.999999999999992</v>
      </c>
      <c r="I40" s="9">
        <v>0</v>
      </c>
      <c r="J40" s="932">
        <f t="shared" si="2"/>
        <v>145.86597938144337</v>
      </c>
      <c r="K40" s="932">
        <f t="shared" si="0"/>
        <v>45634.067638131062</v>
      </c>
      <c r="L40" s="932"/>
      <c r="M40" s="933">
        <f t="shared" si="1"/>
        <v>29116.616577331857</v>
      </c>
      <c r="N40" s="933"/>
      <c r="O40" s="934">
        <f t="shared" si="3"/>
        <v>74750.684215462912</v>
      </c>
      <c r="P40" s="934"/>
      <c r="Q40" s="934"/>
      <c r="R40" s="937">
        <f t="shared" si="4"/>
        <v>48.865979381443303</v>
      </c>
      <c r="S40" s="9"/>
      <c r="T40" s="9">
        <f t="shared" si="5"/>
        <v>31.000000000000021</v>
      </c>
      <c r="U40" s="9"/>
      <c r="V40" s="9">
        <f t="shared" si="6"/>
        <v>20.000000000000014</v>
      </c>
      <c r="W40" s="9"/>
      <c r="X40" s="9">
        <f t="shared" si="7"/>
        <v>31.000000000000021</v>
      </c>
      <c r="Y40" s="9"/>
      <c r="Z40" s="11">
        <f t="shared" si="8"/>
        <v>9.0000000000000089</v>
      </c>
      <c r="AA40" s="30"/>
      <c r="AB40" s="11">
        <f t="shared" si="9"/>
        <v>5.999999999999992</v>
      </c>
      <c r="AC40" s="30"/>
      <c r="AD40" s="11">
        <f t="shared" si="10"/>
        <v>0</v>
      </c>
      <c r="AE40" s="30"/>
      <c r="AF40" s="30"/>
    </row>
    <row r="41" spans="1:32" ht="12.75" x14ac:dyDescent="0.2">
      <c r="A41" s="9" t="s">
        <v>39</v>
      </c>
      <c r="B41" s="10">
        <v>2436</v>
      </c>
      <c r="C41" s="9">
        <v>62.073313782991207</v>
      </c>
      <c r="D41" s="9">
        <v>34.502840909090914</v>
      </c>
      <c r="E41" s="9">
        <v>15.772727272727288</v>
      </c>
      <c r="F41" s="9">
        <v>71.963068181818315</v>
      </c>
      <c r="G41" s="9">
        <v>8.8721590909090846</v>
      </c>
      <c r="H41" s="9">
        <v>17.744318181818169</v>
      </c>
      <c r="I41" s="9">
        <v>0</v>
      </c>
      <c r="J41" s="932">
        <f t="shared" si="2"/>
        <v>210.92842741935499</v>
      </c>
      <c r="K41" s="932">
        <f t="shared" si="0"/>
        <v>57967.891681541667</v>
      </c>
      <c r="L41" s="932"/>
      <c r="M41" s="933">
        <f t="shared" si="1"/>
        <v>53942.983844081566</v>
      </c>
      <c r="N41" s="933"/>
      <c r="O41" s="934">
        <f t="shared" si="3"/>
        <v>111910.87552562324</v>
      </c>
      <c r="P41" s="934"/>
      <c r="Q41" s="934"/>
      <c r="R41" s="937">
        <f t="shared" si="4"/>
        <v>62.073313782991207</v>
      </c>
      <c r="S41" s="9"/>
      <c r="T41" s="9">
        <f t="shared" si="5"/>
        <v>34.502840909090914</v>
      </c>
      <c r="U41" s="9"/>
      <c r="V41" s="9">
        <f t="shared" si="6"/>
        <v>15.772727272727288</v>
      </c>
      <c r="W41" s="9"/>
      <c r="X41" s="9">
        <f t="shared" si="7"/>
        <v>71.963068181818315</v>
      </c>
      <c r="Y41" s="9"/>
      <c r="Z41" s="11">
        <f t="shared" si="8"/>
        <v>8.8721590909090846</v>
      </c>
      <c r="AA41" s="30"/>
      <c r="AB41" s="11">
        <f t="shared" si="9"/>
        <v>17.744318181818169</v>
      </c>
      <c r="AC41" s="30"/>
      <c r="AD41" s="11">
        <f t="shared" si="10"/>
        <v>0</v>
      </c>
      <c r="AE41" s="30"/>
      <c r="AF41" s="30"/>
    </row>
    <row r="42" spans="1:32" ht="12.75" x14ac:dyDescent="0.2">
      <c r="A42" s="9" t="s">
        <v>40</v>
      </c>
      <c r="B42" s="10">
        <v>2452</v>
      </c>
      <c r="C42" s="9">
        <v>64.673366834170849</v>
      </c>
      <c r="D42" s="9">
        <v>24.12371134020627</v>
      </c>
      <c r="E42" s="9">
        <v>7.0360824742267996</v>
      </c>
      <c r="F42" s="9">
        <v>91.469072164948528</v>
      </c>
      <c r="G42" s="9">
        <v>7.0360824742267996</v>
      </c>
      <c r="H42" s="9">
        <v>7.0360824742267996</v>
      </c>
      <c r="I42" s="9">
        <v>0</v>
      </c>
      <c r="J42" s="932">
        <f t="shared" si="2"/>
        <v>201.37439776200603</v>
      </c>
      <c r="K42" s="932">
        <f t="shared" si="0"/>
        <v>60395.981700449956</v>
      </c>
      <c r="L42" s="932"/>
      <c r="M42" s="933">
        <f t="shared" si="1"/>
        <v>46627.546767648484</v>
      </c>
      <c r="N42" s="933"/>
      <c r="O42" s="934">
        <f t="shared" si="3"/>
        <v>107023.52846809843</v>
      </c>
      <c r="P42" s="934"/>
      <c r="Q42" s="934"/>
      <c r="R42" s="937">
        <f t="shared" si="4"/>
        <v>64.673366834170849</v>
      </c>
      <c r="S42" s="9"/>
      <c r="T42" s="9">
        <f t="shared" si="5"/>
        <v>24.12371134020627</v>
      </c>
      <c r="U42" s="9"/>
      <c r="V42" s="9">
        <f t="shared" si="6"/>
        <v>7.0360824742267996</v>
      </c>
      <c r="W42" s="9"/>
      <c r="X42" s="9">
        <f t="shared" si="7"/>
        <v>91.469072164948528</v>
      </c>
      <c r="Y42" s="9"/>
      <c r="Z42" s="11">
        <f t="shared" si="8"/>
        <v>7.0360824742267996</v>
      </c>
      <c r="AA42" s="30"/>
      <c r="AB42" s="11">
        <f t="shared" si="9"/>
        <v>7.0360824742267996</v>
      </c>
      <c r="AC42" s="30"/>
      <c r="AD42" s="11">
        <f t="shared" si="10"/>
        <v>0</v>
      </c>
      <c r="AE42" s="30"/>
      <c r="AF42" s="30"/>
    </row>
    <row r="43" spans="1:32" ht="12.75" x14ac:dyDescent="0.2">
      <c r="A43" s="9" t="s">
        <v>41</v>
      </c>
      <c r="B43" s="10">
        <v>2627</v>
      </c>
      <c r="C43" s="9">
        <v>33.168367346938773</v>
      </c>
      <c r="D43" s="9">
        <v>36.091603053435115</v>
      </c>
      <c r="E43" s="9">
        <v>13.033078880407132</v>
      </c>
      <c r="F43" s="9">
        <v>5.0127226463104444</v>
      </c>
      <c r="G43" s="9">
        <v>2.0050890585241739</v>
      </c>
      <c r="H43" s="9">
        <v>0</v>
      </c>
      <c r="I43" s="9">
        <v>0</v>
      </c>
      <c r="J43" s="932">
        <f t="shared" si="2"/>
        <v>89.310860985615648</v>
      </c>
      <c r="K43" s="932">
        <f t="shared" si="0"/>
        <v>30974.668636875191</v>
      </c>
      <c r="L43" s="932"/>
      <c r="M43" s="933">
        <f t="shared" si="1"/>
        <v>9999.9264445271565</v>
      </c>
      <c r="N43" s="933"/>
      <c r="O43" s="934">
        <f t="shared" si="3"/>
        <v>40974.595081402345</v>
      </c>
      <c r="P43" s="934"/>
      <c r="Q43" s="934"/>
      <c r="R43" s="937">
        <f t="shared" si="4"/>
        <v>33.168367346938773</v>
      </c>
      <c r="S43" s="9"/>
      <c r="T43" s="9">
        <f t="shared" si="5"/>
        <v>36.091603053435115</v>
      </c>
      <c r="U43" s="9"/>
      <c r="V43" s="9">
        <f t="shared" si="6"/>
        <v>13.033078880407132</v>
      </c>
      <c r="W43" s="9"/>
      <c r="X43" s="9">
        <f t="shared" si="7"/>
        <v>5.0127226463104444</v>
      </c>
      <c r="Y43" s="9"/>
      <c r="Z43" s="11">
        <f t="shared" si="8"/>
        <v>2.0050890585241739</v>
      </c>
      <c r="AA43" s="30"/>
      <c r="AB43" s="11">
        <f t="shared" si="9"/>
        <v>0</v>
      </c>
      <c r="AC43" s="30"/>
      <c r="AD43" s="11">
        <f t="shared" si="10"/>
        <v>0</v>
      </c>
      <c r="AE43" s="30"/>
      <c r="AF43" s="30"/>
    </row>
    <row r="44" spans="1:32" ht="12.75" x14ac:dyDescent="0.2">
      <c r="A44" s="9" t="s">
        <v>42</v>
      </c>
      <c r="B44" s="10">
        <v>2009</v>
      </c>
      <c r="C44" s="9">
        <v>137.5</v>
      </c>
      <c r="D44" s="9">
        <v>8.0291970802919703</v>
      </c>
      <c r="E44" s="9">
        <v>0</v>
      </c>
      <c r="F44" s="9">
        <v>31.113138686131425</v>
      </c>
      <c r="G44" s="9">
        <v>174.63503649635035</v>
      </c>
      <c r="H44" s="9">
        <v>18.065693430656932</v>
      </c>
      <c r="I44" s="9">
        <v>0</v>
      </c>
      <c r="J44" s="932">
        <f t="shared" si="2"/>
        <v>369.34306569343067</v>
      </c>
      <c r="K44" s="932">
        <f t="shared" si="0"/>
        <v>128405.98673493101</v>
      </c>
      <c r="L44" s="932"/>
      <c r="M44" s="933">
        <f t="shared" si="1"/>
        <v>110901.43902791708</v>
      </c>
      <c r="N44" s="933"/>
      <c r="O44" s="934">
        <f t="shared" si="3"/>
        <v>239307.42576284808</v>
      </c>
      <c r="P44" s="934"/>
      <c r="Q44" s="934"/>
      <c r="R44" s="937">
        <f t="shared" si="4"/>
        <v>137.5</v>
      </c>
      <c r="S44" s="9"/>
      <c r="T44" s="9">
        <f t="shared" si="5"/>
        <v>8.0291970802919703</v>
      </c>
      <c r="U44" s="9"/>
      <c r="V44" s="9">
        <f t="shared" si="6"/>
        <v>0</v>
      </c>
      <c r="W44" s="9"/>
      <c r="X44" s="9">
        <f t="shared" si="7"/>
        <v>31.113138686131425</v>
      </c>
      <c r="Y44" s="9"/>
      <c r="Z44" s="11">
        <f t="shared" si="8"/>
        <v>174.63503649635035</v>
      </c>
      <c r="AA44" s="30"/>
      <c r="AB44" s="11">
        <f t="shared" si="9"/>
        <v>18.065693430656932</v>
      </c>
      <c r="AC44" s="30"/>
      <c r="AD44" s="11">
        <f t="shared" si="10"/>
        <v>0</v>
      </c>
      <c r="AE44" s="30"/>
      <c r="AF44" s="30"/>
    </row>
    <row r="45" spans="1:32" ht="12.75" x14ac:dyDescent="0.2">
      <c r="A45" s="9" t="s">
        <v>101</v>
      </c>
      <c r="B45" s="10">
        <v>2473</v>
      </c>
      <c r="C45" s="9">
        <v>80.083018867924523</v>
      </c>
      <c r="D45" s="9">
        <v>77.592307692307656</v>
      </c>
      <c r="E45" s="9">
        <v>10.076923076923087</v>
      </c>
      <c r="F45" s="9">
        <v>50.384615384615309</v>
      </c>
      <c r="G45" s="9">
        <v>88.676923076922947</v>
      </c>
      <c r="H45" s="9">
        <v>3.0230769230769128</v>
      </c>
      <c r="I45" s="9">
        <v>0</v>
      </c>
      <c r="J45" s="932">
        <f t="shared" si="2"/>
        <v>309.83686502177045</v>
      </c>
      <c r="K45" s="932">
        <f t="shared" si="0"/>
        <v>74786.465879621421</v>
      </c>
      <c r="L45" s="932"/>
      <c r="M45" s="933">
        <f t="shared" si="1"/>
        <v>73712.139457944679</v>
      </c>
      <c r="N45" s="933"/>
      <c r="O45" s="934">
        <f t="shared" si="3"/>
        <v>148498.60533756611</v>
      </c>
      <c r="P45" s="934"/>
      <c r="Q45" s="934"/>
      <c r="R45" s="937">
        <f t="shared" si="4"/>
        <v>80.083018867924523</v>
      </c>
      <c r="S45" s="9"/>
      <c r="T45" s="9">
        <f t="shared" si="5"/>
        <v>77.592307692307656</v>
      </c>
      <c r="U45" s="9"/>
      <c r="V45" s="9">
        <f t="shared" si="6"/>
        <v>10.076923076923087</v>
      </c>
      <c r="W45" s="9"/>
      <c r="X45" s="9">
        <f t="shared" si="7"/>
        <v>50.384615384615309</v>
      </c>
      <c r="Y45" s="9"/>
      <c r="Z45" s="11">
        <f t="shared" si="8"/>
        <v>88.676923076922947</v>
      </c>
      <c r="AA45" s="30"/>
      <c r="AB45" s="11">
        <f t="shared" si="9"/>
        <v>3.0230769230769128</v>
      </c>
      <c r="AC45" s="30"/>
      <c r="AD45" s="11">
        <f t="shared" si="10"/>
        <v>0</v>
      </c>
      <c r="AE45" s="30"/>
      <c r="AF45" s="30"/>
    </row>
    <row r="46" spans="1:32" ht="12.75" x14ac:dyDescent="0.2">
      <c r="A46" s="9" t="s">
        <v>44</v>
      </c>
      <c r="B46" s="10">
        <v>2471</v>
      </c>
      <c r="C46" s="9">
        <v>148.1605633802817</v>
      </c>
      <c r="D46" s="9">
        <v>110.62678062678049</v>
      </c>
      <c r="E46" s="9">
        <v>13.074074074074062</v>
      </c>
      <c r="F46" s="9">
        <v>72.410256410256366</v>
      </c>
      <c r="G46" s="9">
        <v>102.58119658119672</v>
      </c>
      <c r="H46" s="9">
        <v>4.0227920227920242</v>
      </c>
      <c r="I46" s="9">
        <v>0</v>
      </c>
      <c r="J46" s="932">
        <f t="shared" si="2"/>
        <v>450.87566309538136</v>
      </c>
      <c r="K46" s="932">
        <f t="shared" si="0"/>
        <v>138361.4788076244</v>
      </c>
      <c r="L46" s="932"/>
      <c r="M46" s="933">
        <f t="shared" si="1"/>
        <v>93521.94599139232</v>
      </c>
      <c r="N46" s="933"/>
      <c r="O46" s="934">
        <f t="shared" si="3"/>
        <v>231883.42479901674</v>
      </c>
      <c r="P46" s="934"/>
      <c r="Q46" s="934"/>
      <c r="R46" s="937">
        <f t="shared" si="4"/>
        <v>148.1605633802817</v>
      </c>
      <c r="S46" s="9"/>
      <c r="T46" s="9">
        <f t="shared" si="5"/>
        <v>110.62678062678049</v>
      </c>
      <c r="U46" s="9"/>
      <c r="V46" s="9">
        <f t="shared" si="6"/>
        <v>13.074074074074062</v>
      </c>
      <c r="W46" s="9"/>
      <c r="X46" s="9">
        <f t="shared" si="7"/>
        <v>72.410256410256366</v>
      </c>
      <c r="Y46" s="9"/>
      <c r="Z46" s="11">
        <f t="shared" si="8"/>
        <v>102.58119658119672</v>
      </c>
      <c r="AA46" s="30"/>
      <c r="AB46" s="11">
        <f t="shared" si="9"/>
        <v>4.0227920227920242</v>
      </c>
      <c r="AC46" s="30"/>
      <c r="AD46" s="11">
        <f t="shared" si="10"/>
        <v>0</v>
      </c>
      <c r="AE46" s="30"/>
      <c r="AF46" s="30"/>
    </row>
    <row r="47" spans="1:32" ht="12.75" x14ac:dyDescent="0.2">
      <c r="A47" s="9" t="s">
        <v>43</v>
      </c>
      <c r="B47" s="10">
        <v>2420</v>
      </c>
      <c r="C47" s="9">
        <v>308.60400262467192</v>
      </c>
      <c r="D47" s="9">
        <v>1.0458500669344062</v>
      </c>
      <c r="E47" s="9">
        <v>0</v>
      </c>
      <c r="F47" s="9">
        <v>57.521753681392191</v>
      </c>
      <c r="G47" s="9">
        <v>284.4712182061578</v>
      </c>
      <c r="H47" s="9">
        <v>176.74866131191459</v>
      </c>
      <c r="I47" s="9">
        <v>0</v>
      </c>
      <c r="J47" s="932">
        <f t="shared" si="2"/>
        <v>828.39148589107083</v>
      </c>
      <c r="K47" s="932">
        <f t="shared" si="0"/>
        <v>288193.46521723806</v>
      </c>
      <c r="L47" s="932"/>
      <c r="M47" s="933">
        <f t="shared" si="1"/>
        <v>320043.60390021536</v>
      </c>
      <c r="N47" s="933"/>
      <c r="O47" s="934">
        <f t="shared" si="3"/>
        <v>608237.06911745341</v>
      </c>
      <c r="P47" s="934"/>
      <c r="Q47" s="934"/>
      <c r="R47" s="937">
        <f t="shared" si="4"/>
        <v>308.60400262467192</v>
      </c>
      <c r="S47" s="9"/>
      <c r="T47" s="9">
        <f t="shared" si="5"/>
        <v>1.0458500669344062</v>
      </c>
      <c r="U47" s="9"/>
      <c r="V47" s="9">
        <f t="shared" si="6"/>
        <v>0</v>
      </c>
      <c r="W47" s="9"/>
      <c r="X47" s="9">
        <f t="shared" si="7"/>
        <v>57.521753681392191</v>
      </c>
      <c r="Y47" s="9"/>
      <c r="Z47" s="11">
        <f t="shared" si="8"/>
        <v>284.4712182061578</v>
      </c>
      <c r="AA47" s="30"/>
      <c r="AB47" s="11">
        <f t="shared" si="9"/>
        <v>176.74866131191459</v>
      </c>
      <c r="AC47" s="30"/>
      <c r="AD47" s="11">
        <f t="shared" si="10"/>
        <v>0</v>
      </c>
      <c r="AE47" s="30"/>
      <c r="AF47" s="30"/>
    </row>
    <row r="48" spans="1:32" ht="12.75" x14ac:dyDescent="0.2">
      <c r="A48" s="9" t="s">
        <v>45</v>
      </c>
      <c r="B48" s="10">
        <v>2003</v>
      </c>
      <c r="C48" s="9">
        <v>15.849056603773585</v>
      </c>
      <c r="D48" s="9">
        <v>1.9999999999999991</v>
      </c>
      <c r="E48" s="9">
        <v>3.9999999999999902</v>
      </c>
      <c r="F48" s="9">
        <v>0</v>
      </c>
      <c r="G48" s="9">
        <v>0</v>
      </c>
      <c r="H48" s="9">
        <v>0</v>
      </c>
      <c r="I48" s="9">
        <v>0</v>
      </c>
      <c r="J48" s="932">
        <f t="shared" si="2"/>
        <v>21.849056603773573</v>
      </c>
      <c r="K48" s="932">
        <f t="shared" si="0"/>
        <v>14800.827287456885</v>
      </c>
      <c r="L48" s="932"/>
      <c r="M48" s="933">
        <f t="shared" si="1"/>
        <v>1173.1188485819805</v>
      </c>
      <c r="N48" s="933"/>
      <c r="O48" s="934">
        <f t="shared" si="3"/>
        <v>15973.946136038865</v>
      </c>
      <c r="P48" s="934"/>
      <c r="Q48" s="934"/>
      <c r="R48" s="937">
        <f t="shared" si="4"/>
        <v>15.849056603773585</v>
      </c>
      <c r="S48" s="9"/>
      <c r="T48" s="9">
        <f t="shared" si="5"/>
        <v>1.9999999999999991</v>
      </c>
      <c r="U48" s="9"/>
      <c r="V48" s="9">
        <f t="shared" si="6"/>
        <v>3.9999999999999902</v>
      </c>
      <c r="W48" s="9"/>
      <c r="X48" s="9">
        <f t="shared" si="7"/>
        <v>0</v>
      </c>
      <c r="Y48" s="9"/>
      <c r="Z48" s="11">
        <f t="shared" si="8"/>
        <v>0</v>
      </c>
      <c r="AA48" s="30"/>
      <c r="AB48" s="11">
        <f t="shared" si="9"/>
        <v>0</v>
      </c>
      <c r="AC48" s="30"/>
      <c r="AD48" s="11">
        <f t="shared" si="10"/>
        <v>0</v>
      </c>
      <c r="AE48" s="30"/>
      <c r="AF48" s="30"/>
    </row>
    <row r="49" spans="1:32" ht="12.75" x14ac:dyDescent="0.2">
      <c r="A49" s="9" t="s">
        <v>46</v>
      </c>
      <c r="B49" s="10">
        <v>2423</v>
      </c>
      <c r="C49" s="9">
        <v>198.09537572254334</v>
      </c>
      <c r="D49" s="9">
        <v>2.0000000000000009</v>
      </c>
      <c r="E49" s="9">
        <v>0.99999999999999867</v>
      </c>
      <c r="F49" s="9">
        <v>172.99999999999991</v>
      </c>
      <c r="G49" s="9">
        <v>156.00000000000011</v>
      </c>
      <c r="H49" s="9">
        <v>6.0000000000000124</v>
      </c>
      <c r="I49" s="9">
        <v>0</v>
      </c>
      <c r="J49" s="932">
        <f t="shared" si="2"/>
        <v>536.09537572254339</v>
      </c>
      <c r="K49" s="932">
        <f t="shared" si="0"/>
        <v>184993.68863476417</v>
      </c>
      <c r="L49" s="932"/>
      <c r="M49" s="933">
        <f t="shared" si="1"/>
        <v>140340.3724779496</v>
      </c>
      <c r="N49" s="933"/>
      <c r="O49" s="934">
        <f t="shared" si="3"/>
        <v>325334.06111271377</v>
      </c>
      <c r="P49" s="934"/>
      <c r="Q49" s="934"/>
      <c r="R49" s="937">
        <f t="shared" si="4"/>
        <v>198.09537572254334</v>
      </c>
      <c r="S49" s="9"/>
      <c r="T49" s="9">
        <f t="shared" si="5"/>
        <v>2.0000000000000009</v>
      </c>
      <c r="U49" s="9"/>
      <c r="V49" s="9">
        <f t="shared" si="6"/>
        <v>0.99999999999999867</v>
      </c>
      <c r="W49" s="9"/>
      <c r="X49" s="9">
        <f t="shared" si="7"/>
        <v>172.99999999999991</v>
      </c>
      <c r="Y49" s="9"/>
      <c r="Z49" s="11">
        <f t="shared" si="8"/>
        <v>156.00000000000011</v>
      </c>
      <c r="AA49" s="30"/>
      <c r="AB49" s="11">
        <f t="shared" si="9"/>
        <v>6.0000000000000124</v>
      </c>
      <c r="AC49" s="30"/>
      <c r="AD49" s="11">
        <f t="shared" si="10"/>
        <v>0</v>
      </c>
      <c r="AE49" s="30"/>
      <c r="AF49" s="30"/>
    </row>
    <row r="50" spans="1:32" ht="12.75" x14ac:dyDescent="0.2">
      <c r="A50" s="9" t="s">
        <v>47</v>
      </c>
      <c r="B50" s="10">
        <v>2424</v>
      </c>
      <c r="C50" s="9">
        <v>118.38518518518518</v>
      </c>
      <c r="D50" s="9">
        <v>0</v>
      </c>
      <c r="E50" s="9">
        <v>1.0076923076923086</v>
      </c>
      <c r="F50" s="9">
        <v>141.07692307692295</v>
      </c>
      <c r="G50" s="9">
        <v>106.8153846153847</v>
      </c>
      <c r="H50" s="9">
        <v>5.0384615384615303</v>
      </c>
      <c r="I50" s="9">
        <v>0</v>
      </c>
      <c r="J50" s="932">
        <f t="shared" si="2"/>
        <v>372.32364672364668</v>
      </c>
      <c r="K50" s="932">
        <f t="shared" si="0"/>
        <v>110555.39286182719</v>
      </c>
      <c r="L50" s="932"/>
      <c r="M50" s="933">
        <f t="shared" si="1"/>
        <v>104853.39713987103</v>
      </c>
      <c r="N50" s="933"/>
      <c r="O50" s="934">
        <f t="shared" si="3"/>
        <v>215408.79000169822</v>
      </c>
      <c r="P50" s="934"/>
      <c r="Q50" s="934"/>
      <c r="R50" s="937">
        <f t="shared" si="4"/>
        <v>118.38518518518518</v>
      </c>
      <c r="S50" s="9"/>
      <c r="T50" s="9">
        <f t="shared" si="5"/>
        <v>0</v>
      </c>
      <c r="U50" s="9"/>
      <c r="V50" s="9">
        <f t="shared" si="6"/>
        <v>1.0076923076923086</v>
      </c>
      <c r="W50" s="9"/>
      <c r="X50" s="9">
        <f t="shared" si="7"/>
        <v>141.07692307692295</v>
      </c>
      <c r="Y50" s="9"/>
      <c r="Z50" s="11">
        <f t="shared" si="8"/>
        <v>106.8153846153847</v>
      </c>
      <c r="AA50" s="30"/>
      <c r="AB50" s="11">
        <f t="shared" si="9"/>
        <v>5.0384615384615303</v>
      </c>
      <c r="AC50" s="30"/>
      <c r="AD50" s="11">
        <f t="shared" si="10"/>
        <v>0</v>
      </c>
      <c r="AE50" s="30"/>
      <c r="AF50" s="30"/>
    </row>
    <row r="51" spans="1:32" ht="12.75" x14ac:dyDescent="0.2">
      <c r="A51" s="9" t="s">
        <v>48</v>
      </c>
      <c r="B51" s="10">
        <v>2439</v>
      </c>
      <c r="C51" s="9">
        <v>20.233463035019454</v>
      </c>
      <c r="D51" s="9">
        <v>9.0347490347490229</v>
      </c>
      <c r="E51" s="9">
        <v>5.0193050193050182</v>
      </c>
      <c r="F51" s="9">
        <v>9.0347490347490229</v>
      </c>
      <c r="G51" s="9">
        <v>6.0231660231660316</v>
      </c>
      <c r="H51" s="9">
        <v>2.0077220077220073</v>
      </c>
      <c r="I51" s="9">
        <v>0</v>
      </c>
      <c r="J51" s="932">
        <f t="shared" si="2"/>
        <v>51.353154154710559</v>
      </c>
      <c r="K51" s="932">
        <f t="shared" si="0"/>
        <v>18895.256626010363</v>
      </c>
      <c r="L51" s="932"/>
      <c r="M51" s="933">
        <f t="shared" si="1"/>
        <v>10136.304395869243</v>
      </c>
      <c r="N51" s="933"/>
      <c r="O51" s="934">
        <f t="shared" si="3"/>
        <v>29031.561021879606</v>
      </c>
      <c r="P51" s="934"/>
      <c r="Q51" s="934"/>
      <c r="R51" s="937">
        <f t="shared" si="4"/>
        <v>20.233463035019454</v>
      </c>
      <c r="S51" s="9"/>
      <c r="T51" s="9">
        <f t="shared" si="5"/>
        <v>9.0347490347490229</v>
      </c>
      <c r="U51" s="9"/>
      <c r="V51" s="9">
        <f t="shared" si="6"/>
        <v>5.0193050193050182</v>
      </c>
      <c r="W51" s="9"/>
      <c r="X51" s="9">
        <f t="shared" si="7"/>
        <v>9.0347490347490229</v>
      </c>
      <c r="Y51" s="9"/>
      <c r="Z51" s="11">
        <f t="shared" si="8"/>
        <v>6.0231660231660316</v>
      </c>
      <c r="AA51" s="30"/>
      <c r="AB51" s="11">
        <f t="shared" si="9"/>
        <v>2.0077220077220073</v>
      </c>
      <c r="AC51" s="30"/>
      <c r="AD51" s="11">
        <f t="shared" si="10"/>
        <v>0</v>
      </c>
      <c r="AE51" s="30"/>
      <c r="AF51" s="30"/>
    </row>
    <row r="52" spans="1:32" ht="12.75" x14ac:dyDescent="0.2">
      <c r="A52" s="9" t="s">
        <v>49</v>
      </c>
      <c r="B52" s="10">
        <v>2440</v>
      </c>
      <c r="C52" s="9">
        <v>35</v>
      </c>
      <c r="D52" s="9">
        <v>10.000000000000009</v>
      </c>
      <c r="E52" s="9">
        <v>6.9999999999999973</v>
      </c>
      <c r="F52" s="9">
        <v>4.9999999999999885</v>
      </c>
      <c r="G52" s="9">
        <v>2.9999999999999996</v>
      </c>
      <c r="H52" s="9">
        <v>0</v>
      </c>
      <c r="I52" s="9">
        <v>0</v>
      </c>
      <c r="J52" s="932">
        <f t="shared" si="2"/>
        <v>59.999999999999993</v>
      </c>
      <c r="K52" s="932">
        <f t="shared" si="0"/>
        <v>32685.160259800621</v>
      </c>
      <c r="L52" s="932"/>
      <c r="M52" s="933">
        <f t="shared" si="1"/>
        <v>5986.4674464664668</v>
      </c>
      <c r="N52" s="933"/>
      <c r="O52" s="934">
        <f t="shared" si="3"/>
        <v>38671.627706267085</v>
      </c>
      <c r="P52" s="934"/>
      <c r="Q52" s="934"/>
      <c r="R52" s="937">
        <f t="shared" si="4"/>
        <v>35</v>
      </c>
      <c r="S52" s="9"/>
      <c r="T52" s="9">
        <f t="shared" si="5"/>
        <v>10.000000000000009</v>
      </c>
      <c r="U52" s="9"/>
      <c r="V52" s="9">
        <f t="shared" si="6"/>
        <v>6.9999999999999973</v>
      </c>
      <c r="W52" s="9"/>
      <c r="X52" s="9">
        <f t="shared" si="7"/>
        <v>4.9999999999999885</v>
      </c>
      <c r="Y52" s="9"/>
      <c r="Z52" s="11">
        <f t="shared" si="8"/>
        <v>2.9999999999999996</v>
      </c>
      <c r="AA52" s="30"/>
      <c r="AB52" s="11">
        <f t="shared" si="9"/>
        <v>0</v>
      </c>
      <c r="AC52" s="30"/>
      <c r="AD52" s="11">
        <f t="shared" si="10"/>
        <v>0</v>
      </c>
      <c r="AE52" s="30"/>
      <c r="AF52" s="30"/>
    </row>
    <row r="53" spans="1:32" ht="12.75" x14ac:dyDescent="0.2">
      <c r="A53" s="9" t="s">
        <v>102</v>
      </c>
      <c r="B53" s="10">
        <v>2462</v>
      </c>
      <c r="C53" s="9">
        <v>25.016393442622952</v>
      </c>
      <c r="D53" s="9">
        <v>67.620370370370338</v>
      </c>
      <c r="E53" s="9">
        <v>17.157407407407408</v>
      </c>
      <c r="F53" s="9">
        <v>29.268518518518462</v>
      </c>
      <c r="G53" s="9">
        <v>13.120370370370374</v>
      </c>
      <c r="H53" s="9">
        <v>5.0462962962962852</v>
      </c>
      <c r="I53" s="9">
        <v>0</v>
      </c>
      <c r="J53" s="932">
        <f t="shared" si="2"/>
        <v>157.22935640558583</v>
      </c>
      <c r="K53" s="932">
        <f t="shared" si="0"/>
        <v>23361.85225126733</v>
      </c>
      <c r="L53" s="932"/>
      <c r="M53" s="933">
        <f t="shared" si="1"/>
        <v>33174.807208262515</v>
      </c>
      <c r="N53" s="933"/>
      <c r="O53" s="934">
        <f t="shared" si="3"/>
        <v>56536.659459529845</v>
      </c>
      <c r="P53" s="934"/>
      <c r="Q53" s="934"/>
      <c r="R53" s="937">
        <f t="shared" si="4"/>
        <v>25.016393442622952</v>
      </c>
      <c r="S53" s="9"/>
      <c r="T53" s="9">
        <f t="shared" si="5"/>
        <v>67.620370370370338</v>
      </c>
      <c r="U53" s="9"/>
      <c r="V53" s="9">
        <f t="shared" si="6"/>
        <v>17.157407407407408</v>
      </c>
      <c r="W53" s="9"/>
      <c r="X53" s="9">
        <f t="shared" si="7"/>
        <v>29.268518518518462</v>
      </c>
      <c r="Y53" s="9"/>
      <c r="Z53" s="11">
        <f t="shared" si="8"/>
        <v>13.120370370370374</v>
      </c>
      <c r="AA53" s="30"/>
      <c r="AB53" s="11">
        <f t="shared" si="9"/>
        <v>5.0462962962962852</v>
      </c>
      <c r="AC53" s="30"/>
      <c r="AD53" s="11">
        <f t="shared" si="10"/>
        <v>0</v>
      </c>
      <c r="AE53" s="30"/>
      <c r="AF53" s="30"/>
    </row>
    <row r="54" spans="1:32" ht="12.75" x14ac:dyDescent="0.2">
      <c r="A54" s="9" t="s">
        <v>50</v>
      </c>
      <c r="B54" s="10">
        <v>2463</v>
      </c>
      <c r="C54" s="9">
        <v>93.141176470588235</v>
      </c>
      <c r="D54" s="9">
        <v>79.686956521739205</v>
      </c>
      <c r="E54" s="9">
        <v>18.156521739130447</v>
      </c>
      <c r="F54" s="9">
        <v>29.252173913043457</v>
      </c>
      <c r="G54" s="9">
        <v>18.156521739130447</v>
      </c>
      <c r="H54" s="9">
        <v>4.034782608695644</v>
      </c>
      <c r="I54" s="9">
        <v>0</v>
      </c>
      <c r="J54" s="932">
        <f t="shared" si="2"/>
        <v>242.42813299232745</v>
      </c>
      <c r="K54" s="932">
        <f t="shared" si="0"/>
        <v>86980.979420787058</v>
      </c>
      <c r="L54" s="932"/>
      <c r="M54" s="933">
        <f t="shared" si="1"/>
        <v>36234.212964726896</v>
      </c>
      <c r="N54" s="933"/>
      <c r="O54" s="934">
        <f t="shared" si="3"/>
        <v>123215.19238551395</v>
      </c>
      <c r="P54" s="934"/>
      <c r="Q54" s="934"/>
      <c r="R54" s="937">
        <f t="shared" si="4"/>
        <v>93.141176470588235</v>
      </c>
      <c r="S54" s="9"/>
      <c r="T54" s="9">
        <f t="shared" si="5"/>
        <v>79.686956521739205</v>
      </c>
      <c r="U54" s="9"/>
      <c r="V54" s="9">
        <f t="shared" si="6"/>
        <v>18.156521739130447</v>
      </c>
      <c r="W54" s="9"/>
      <c r="X54" s="9">
        <f t="shared" si="7"/>
        <v>29.252173913043457</v>
      </c>
      <c r="Y54" s="9"/>
      <c r="Z54" s="11">
        <f t="shared" si="8"/>
        <v>18.156521739130447</v>
      </c>
      <c r="AA54" s="30"/>
      <c r="AB54" s="11">
        <f t="shared" si="9"/>
        <v>4.034782608695644</v>
      </c>
      <c r="AC54" s="30"/>
      <c r="AD54" s="11">
        <f t="shared" si="10"/>
        <v>0</v>
      </c>
      <c r="AE54" s="30"/>
      <c r="AF54" s="30"/>
    </row>
    <row r="55" spans="1:32" ht="12.75" x14ac:dyDescent="0.2">
      <c r="A55" s="9" t="s">
        <v>51</v>
      </c>
      <c r="B55" s="10">
        <v>2505</v>
      </c>
      <c r="C55" s="9">
        <v>204.28867924528299</v>
      </c>
      <c r="D55" s="9">
        <v>3.0379061371841178</v>
      </c>
      <c r="E55" s="9">
        <v>58.732851985559662</v>
      </c>
      <c r="F55" s="9">
        <v>197.46389891696751</v>
      </c>
      <c r="G55" s="9">
        <v>36.454873646209357</v>
      </c>
      <c r="H55" s="9">
        <v>93.162454873645942</v>
      </c>
      <c r="I55" s="9">
        <v>0</v>
      </c>
      <c r="J55" s="932">
        <f t="shared" si="2"/>
        <v>593.14066480484951</v>
      </c>
      <c r="K55" s="932">
        <f t="shared" si="0"/>
        <v>190777.37772557369</v>
      </c>
      <c r="L55" s="932"/>
      <c r="M55" s="933">
        <f t="shared" si="1"/>
        <v>188358.89289054362</v>
      </c>
      <c r="N55" s="933"/>
      <c r="O55" s="934">
        <f t="shared" si="3"/>
        <v>379136.27061611728</v>
      </c>
      <c r="P55" s="934"/>
      <c r="Q55" s="934"/>
      <c r="R55" s="937">
        <f t="shared" si="4"/>
        <v>204.28867924528299</v>
      </c>
      <c r="S55" s="9"/>
      <c r="T55" s="9">
        <f t="shared" si="5"/>
        <v>3.0379061371841178</v>
      </c>
      <c r="U55" s="9"/>
      <c r="V55" s="9">
        <f t="shared" si="6"/>
        <v>58.732851985559662</v>
      </c>
      <c r="W55" s="9"/>
      <c r="X55" s="9">
        <f t="shared" si="7"/>
        <v>197.46389891696751</v>
      </c>
      <c r="Y55" s="9"/>
      <c r="Z55" s="11">
        <f t="shared" si="8"/>
        <v>36.454873646209357</v>
      </c>
      <c r="AA55" s="30"/>
      <c r="AB55" s="11">
        <f t="shared" si="9"/>
        <v>93.162454873645942</v>
      </c>
      <c r="AC55" s="30"/>
      <c r="AD55" s="11">
        <f t="shared" si="10"/>
        <v>0</v>
      </c>
      <c r="AE55" s="30"/>
      <c r="AF55" s="30"/>
    </row>
    <row r="56" spans="1:32" ht="12.75" x14ac:dyDescent="0.2">
      <c r="A56" s="9" t="s">
        <v>1304</v>
      </c>
      <c r="B56" s="10">
        <v>2000</v>
      </c>
      <c r="C56" s="9">
        <v>115.3595166163142</v>
      </c>
      <c r="D56" s="9">
        <v>95.900311526479754</v>
      </c>
      <c r="E56" s="9">
        <v>90.367601246105849</v>
      </c>
      <c r="F56" s="9">
        <v>76.535825545171221</v>
      </c>
      <c r="G56" s="9">
        <v>7.3769470404984414</v>
      </c>
      <c r="H56" s="9">
        <v>10.143302180685367</v>
      </c>
      <c r="I56" s="9">
        <v>0</v>
      </c>
      <c r="J56" s="932">
        <f t="shared" si="2"/>
        <v>395.68350415525481</v>
      </c>
      <c r="K56" s="932">
        <f t="shared" si="0"/>
        <v>107729.83680278178</v>
      </c>
      <c r="L56" s="932"/>
      <c r="M56" s="933">
        <f t="shared" si="1"/>
        <v>72416.004092934047</v>
      </c>
      <c r="N56" s="933"/>
      <c r="O56" s="934">
        <f t="shared" si="3"/>
        <v>180145.84089571581</v>
      </c>
      <c r="P56" s="934"/>
      <c r="Q56" s="934"/>
      <c r="R56" s="937">
        <f t="shared" si="4"/>
        <v>115.3595166163142</v>
      </c>
      <c r="S56" s="9"/>
      <c r="T56" s="9">
        <f t="shared" si="5"/>
        <v>95.900311526479754</v>
      </c>
      <c r="U56" s="9"/>
      <c r="V56" s="9">
        <f t="shared" si="6"/>
        <v>90.367601246105849</v>
      </c>
      <c r="W56" s="9"/>
      <c r="X56" s="9">
        <f t="shared" si="7"/>
        <v>76.535825545171221</v>
      </c>
      <c r="Y56" s="9"/>
      <c r="Z56" s="11">
        <f t="shared" si="8"/>
        <v>7.3769470404984414</v>
      </c>
      <c r="AA56" s="30"/>
      <c r="AB56" s="11">
        <f t="shared" si="9"/>
        <v>10.143302180685367</v>
      </c>
      <c r="AC56" s="30"/>
      <c r="AD56" s="11">
        <f t="shared" si="10"/>
        <v>0</v>
      </c>
      <c r="AE56" s="30"/>
      <c r="AF56" s="30"/>
    </row>
    <row r="57" spans="1:32" ht="12.75" x14ac:dyDescent="0.2">
      <c r="A57" s="9" t="s">
        <v>53</v>
      </c>
      <c r="B57" s="10">
        <v>2458</v>
      </c>
      <c r="C57" s="9">
        <v>28</v>
      </c>
      <c r="D57" s="9">
        <v>15.055970149253719</v>
      </c>
      <c r="E57" s="9">
        <v>49.18283582089542</v>
      </c>
      <c r="F57" s="9">
        <v>26.097014925373127</v>
      </c>
      <c r="G57" s="9">
        <v>13.048507462686576</v>
      </c>
      <c r="H57" s="9">
        <v>2.0074626865671643</v>
      </c>
      <c r="I57" s="9">
        <v>0</v>
      </c>
      <c r="J57" s="932">
        <f t="shared" si="2"/>
        <v>133.391791044776</v>
      </c>
      <c r="K57" s="932">
        <f t="shared" si="0"/>
        <v>26148.128207840495</v>
      </c>
      <c r="L57" s="932"/>
      <c r="M57" s="933">
        <f t="shared" si="1"/>
        <v>30516.533109049516</v>
      </c>
      <c r="N57" s="933"/>
      <c r="O57" s="934">
        <f t="shared" si="3"/>
        <v>56664.661316890008</v>
      </c>
      <c r="P57" s="934"/>
      <c r="Q57" s="934"/>
      <c r="R57" s="937">
        <f t="shared" si="4"/>
        <v>28</v>
      </c>
      <c r="S57" s="9"/>
      <c r="T57" s="9">
        <f t="shared" si="5"/>
        <v>15.055970149253719</v>
      </c>
      <c r="U57" s="9"/>
      <c r="V57" s="9">
        <f t="shared" si="6"/>
        <v>49.18283582089542</v>
      </c>
      <c r="W57" s="9"/>
      <c r="X57" s="9">
        <f t="shared" si="7"/>
        <v>26.097014925373127</v>
      </c>
      <c r="Y57" s="9"/>
      <c r="Z57" s="11">
        <f t="shared" si="8"/>
        <v>13.048507462686576</v>
      </c>
      <c r="AA57" s="30"/>
      <c r="AB57" s="11">
        <f t="shared" si="9"/>
        <v>2.0074626865671643</v>
      </c>
      <c r="AC57" s="30"/>
      <c r="AD57" s="11">
        <f t="shared" si="10"/>
        <v>0</v>
      </c>
      <c r="AE57" s="30"/>
      <c r="AF57" s="30"/>
    </row>
    <row r="58" spans="1:32" ht="12.75" x14ac:dyDescent="0.2">
      <c r="A58" s="9" t="s">
        <v>54</v>
      </c>
      <c r="B58" s="10">
        <v>2001</v>
      </c>
      <c r="C58" s="9">
        <v>175.91304347826087</v>
      </c>
      <c r="D58" s="9">
        <v>31.710601719197719</v>
      </c>
      <c r="E58" s="9">
        <v>50.123209169054384</v>
      </c>
      <c r="F58" s="9">
        <v>21.481375358166176</v>
      </c>
      <c r="G58" s="9">
        <v>66.48997134670492</v>
      </c>
      <c r="H58" s="9">
        <v>146.27793696275089</v>
      </c>
      <c r="I58" s="9">
        <v>0</v>
      </c>
      <c r="J58" s="932">
        <f t="shared" si="2"/>
        <v>491.99613803413502</v>
      </c>
      <c r="K58" s="932">
        <f t="shared" si="0"/>
        <v>164278.4576536066</v>
      </c>
      <c r="L58" s="932"/>
      <c r="M58" s="933">
        <f t="shared" si="1"/>
        <v>191692.53314671287</v>
      </c>
      <c r="N58" s="933"/>
      <c r="O58" s="934">
        <f t="shared" si="3"/>
        <v>355970.99080031947</v>
      </c>
      <c r="P58" s="934"/>
      <c r="Q58" s="934"/>
      <c r="R58" s="937">
        <f t="shared" si="4"/>
        <v>175.91304347826087</v>
      </c>
      <c r="S58" s="9"/>
      <c r="T58" s="9">
        <f t="shared" si="5"/>
        <v>31.710601719197719</v>
      </c>
      <c r="U58" s="9"/>
      <c r="V58" s="9">
        <f t="shared" si="6"/>
        <v>50.123209169054384</v>
      </c>
      <c r="W58" s="9"/>
      <c r="X58" s="9">
        <f t="shared" si="7"/>
        <v>21.481375358166176</v>
      </c>
      <c r="Y58" s="9"/>
      <c r="Z58" s="11">
        <f t="shared" si="8"/>
        <v>66.48997134670492</v>
      </c>
      <c r="AA58" s="30"/>
      <c r="AB58" s="11">
        <f t="shared" si="9"/>
        <v>146.27793696275089</v>
      </c>
      <c r="AC58" s="30"/>
      <c r="AD58" s="11">
        <f t="shared" si="10"/>
        <v>0</v>
      </c>
      <c r="AE58" s="30"/>
      <c r="AF58" s="30"/>
    </row>
    <row r="59" spans="1:32" ht="12.75" x14ac:dyDescent="0.2">
      <c r="A59" s="9" t="s">
        <v>55</v>
      </c>
      <c r="B59" s="10">
        <v>2429</v>
      </c>
      <c r="C59" s="9">
        <v>42.274509803921568</v>
      </c>
      <c r="D59" s="9">
        <v>2.0416666666666683</v>
      </c>
      <c r="E59" s="9">
        <v>0</v>
      </c>
      <c r="F59" s="9">
        <v>50.020833333333371</v>
      </c>
      <c r="G59" s="9">
        <v>83.708333333333258</v>
      </c>
      <c r="H59" s="9">
        <v>7.1458333333333313</v>
      </c>
      <c r="I59" s="9">
        <v>0</v>
      </c>
      <c r="J59" s="932">
        <f t="shared" si="2"/>
        <v>185.1911764705882</v>
      </c>
      <c r="K59" s="932">
        <f t="shared" si="0"/>
        <v>39478.546509876825</v>
      </c>
      <c r="L59" s="932"/>
      <c r="M59" s="933">
        <f t="shared" si="1"/>
        <v>63896.103746901324</v>
      </c>
      <c r="N59" s="933"/>
      <c r="O59" s="934">
        <f t="shared" si="3"/>
        <v>103374.65025677814</v>
      </c>
      <c r="P59" s="934"/>
      <c r="Q59" s="934"/>
      <c r="R59" s="937">
        <f t="shared" si="4"/>
        <v>42.274509803921568</v>
      </c>
      <c r="S59" s="9"/>
      <c r="T59" s="9">
        <f t="shared" si="5"/>
        <v>2.0416666666666683</v>
      </c>
      <c r="U59" s="9"/>
      <c r="V59" s="9">
        <f t="shared" si="6"/>
        <v>0</v>
      </c>
      <c r="W59" s="9"/>
      <c r="X59" s="9">
        <f t="shared" si="7"/>
        <v>50.020833333333371</v>
      </c>
      <c r="Y59" s="9"/>
      <c r="Z59" s="11">
        <f t="shared" si="8"/>
        <v>83.708333333333258</v>
      </c>
      <c r="AA59" s="30"/>
      <c r="AB59" s="11">
        <f t="shared" si="9"/>
        <v>7.1458333333333313</v>
      </c>
      <c r="AC59" s="30"/>
      <c r="AD59" s="11">
        <f t="shared" si="10"/>
        <v>0</v>
      </c>
      <c r="AE59" s="30"/>
      <c r="AF59" s="30"/>
    </row>
    <row r="60" spans="1:32" ht="12.75" x14ac:dyDescent="0.2">
      <c r="A60" s="9" t="s">
        <v>56</v>
      </c>
      <c r="B60" s="10">
        <v>2444</v>
      </c>
      <c r="C60" s="9">
        <v>62.894230769230766</v>
      </c>
      <c r="D60" s="9">
        <v>9.0428571428571516</v>
      </c>
      <c r="E60" s="9">
        <v>10.047619047619044</v>
      </c>
      <c r="F60" s="9">
        <v>79.376190476190445</v>
      </c>
      <c r="G60" s="9">
        <v>36.171428571428486</v>
      </c>
      <c r="H60" s="9">
        <v>7.0333333333333261</v>
      </c>
      <c r="I60" s="9">
        <v>0</v>
      </c>
      <c r="J60" s="932">
        <f t="shared" si="2"/>
        <v>204.56565934065924</v>
      </c>
      <c r="K60" s="932">
        <f t="shared" si="0"/>
        <v>58734.514631691163</v>
      </c>
      <c r="L60" s="932"/>
      <c r="M60" s="933">
        <f t="shared" si="1"/>
        <v>54985.765486182929</v>
      </c>
      <c r="N60" s="933"/>
      <c r="O60" s="934">
        <f t="shared" si="3"/>
        <v>113720.28011787409</v>
      </c>
      <c r="P60" s="934"/>
      <c r="Q60" s="934"/>
      <c r="R60" s="937">
        <f t="shared" si="4"/>
        <v>62.894230769230766</v>
      </c>
      <c r="S60" s="9"/>
      <c r="T60" s="9">
        <f t="shared" si="5"/>
        <v>9.0428571428571516</v>
      </c>
      <c r="U60" s="9"/>
      <c r="V60" s="9">
        <f t="shared" si="6"/>
        <v>10.047619047619044</v>
      </c>
      <c r="W60" s="9"/>
      <c r="X60" s="9">
        <f t="shared" si="7"/>
        <v>79.376190476190445</v>
      </c>
      <c r="Y60" s="9"/>
      <c r="Z60" s="11">
        <f t="shared" si="8"/>
        <v>36.171428571428486</v>
      </c>
      <c r="AA60" s="30"/>
      <c r="AB60" s="11">
        <f t="shared" si="9"/>
        <v>7.0333333333333261</v>
      </c>
      <c r="AC60" s="30"/>
      <c r="AD60" s="11">
        <f t="shared" si="10"/>
        <v>0</v>
      </c>
      <c r="AE60" s="30"/>
      <c r="AF60" s="30"/>
    </row>
    <row r="61" spans="1:32" ht="12.75" x14ac:dyDescent="0.2">
      <c r="A61" s="9" t="s">
        <v>57</v>
      </c>
      <c r="B61" s="10">
        <v>5209</v>
      </c>
      <c r="C61" s="9">
        <v>92.518656716417922</v>
      </c>
      <c r="D61" s="9">
        <v>9.9999999999999929</v>
      </c>
      <c r="E61" s="9">
        <v>5.9999999999999902</v>
      </c>
      <c r="F61" s="9">
        <v>88.999999999999886</v>
      </c>
      <c r="G61" s="9">
        <v>66.000000000000057</v>
      </c>
      <c r="H61" s="9">
        <v>12.000000000000007</v>
      </c>
      <c r="I61" s="9">
        <v>0</v>
      </c>
      <c r="J61" s="932">
        <f t="shared" si="2"/>
        <v>275.51865671641787</v>
      </c>
      <c r="K61" s="932">
        <f t="shared" si="0"/>
        <v>86399.632051359964</v>
      </c>
      <c r="L61" s="932"/>
      <c r="M61" s="933">
        <f t="shared" si="1"/>
        <v>76215.602790490899</v>
      </c>
      <c r="N61" s="933"/>
      <c r="O61" s="934">
        <f t="shared" si="3"/>
        <v>162615.23484185088</v>
      </c>
      <c r="P61" s="934"/>
      <c r="Q61" s="934"/>
      <c r="R61" s="937">
        <f t="shared" si="4"/>
        <v>92.518656716417922</v>
      </c>
      <c r="S61" s="9"/>
      <c r="T61" s="9">
        <f t="shared" si="5"/>
        <v>9.9999999999999929</v>
      </c>
      <c r="U61" s="9"/>
      <c r="V61" s="9">
        <f t="shared" si="6"/>
        <v>5.9999999999999902</v>
      </c>
      <c r="W61" s="9"/>
      <c r="X61" s="9">
        <f t="shared" si="7"/>
        <v>88.999999999999886</v>
      </c>
      <c r="Y61" s="9"/>
      <c r="Z61" s="11">
        <f t="shared" si="8"/>
        <v>66.000000000000057</v>
      </c>
      <c r="AA61" s="30"/>
      <c r="AB61" s="11">
        <f t="shared" si="9"/>
        <v>12.000000000000007</v>
      </c>
      <c r="AC61" s="30"/>
      <c r="AD61" s="11">
        <f t="shared" si="10"/>
        <v>0</v>
      </c>
      <c r="AE61" s="30"/>
      <c r="AF61" s="30"/>
    </row>
    <row r="62" spans="1:32" ht="12.75" x14ac:dyDescent="0.2">
      <c r="A62" s="9" t="s">
        <v>58</v>
      </c>
      <c r="B62" s="10">
        <v>2469</v>
      </c>
      <c r="C62" s="9">
        <v>67.978102189781026</v>
      </c>
      <c r="D62" s="9">
        <v>33.239130434782595</v>
      </c>
      <c r="E62" s="9">
        <v>15.108695652173909</v>
      </c>
      <c r="F62" s="9">
        <v>25.181159420289859</v>
      </c>
      <c r="G62" s="9">
        <v>5.0362318840579547</v>
      </c>
      <c r="H62" s="9">
        <v>0</v>
      </c>
      <c r="I62" s="9">
        <v>0</v>
      </c>
      <c r="J62" s="932">
        <f t="shared" si="2"/>
        <v>146.54331958108531</v>
      </c>
      <c r="K62" s="932">
        <f t="shared" si="0"/>
        <v>63482.14754943132</v>
      </c>
      <c r="L62" s="932"/>
      <c r="M62" s="933">
        <f t="shared" si="1"/>
        <v>18683.061044398084</v>
      </c>
      <c r="N62" s="933"/>
      <c r="O62" s="934">
        <f t="shared" si="3"/>
        <v>82165.208593829404</v>
      </c>
      <c r="P62" s="934"/>
      <c r="Q62" s="934"/>
      <c r="R62" s="937">
        <f t="shared" si="4"/>
        <v>67.978102189781026</v>
      </c>
      <c r="S62" s="9"/>
      <c r="T62" s="9">
        <f t="shared" si="5"/>
        <v>33.239130434782595</v>
      </c>
      <c r="U62" s="9"/>
      <c r="V62" s="9">
        <f t="shared" si="6"/>
        <v>15.108695652173909</v>
      </c>
      <c r="W62" s="9"/>
      <c r="X62" s="9">
        <f t="shared" si="7"/>
        <v>25.181159420289859</v>
      </c>
      <c r="Y62" s="9"/>
      <c r="Z62" s="11">
        <f t="shared" si="8"/>
        <v>5.0362318840579547</v>
      </c>
      <c r="AA62" s="30"/>
      <c r="AB62" s="11">
        <f t="shared" si="9"/>
        <v>0</v>
      </c>
      <c r="AC62" s="30"/>
      <c r="AD62" s="11">
        <f t="shared" si="10"/>
        <v>0</v>
      </c>
      <c r="AE62" s="30"/>
      <c r="AF62" s="30"/>
    </row>
    <row r="63" spans="1:32" ht="12.75" x14ac:dyDescent="0.2">
      <c r="A63" s="22" t="s">
        <v>437</v>
      </c>
      <c r="B63" s="10">
        <v>2430</v>
      </c>
      <c r="C63" s="9">
        <v>80.084745762711862</v>
      </c>
      <c r="D63" s="9">
        <v>2.016</v>
      </c>
      <c r="E63" s="9">
        <v>2.016</v>
      </c>
      <c r="F63" s="9">
        <v>35.28</v>
      </c>
      <c r="G63" s="9">
        <v>9.0719999999999992</v>
      </c>
      <c r="H63" s="9">
        <v>74.591999999999999</v>
      </c>
      <c r="I63" s="9">
        <v>0</v>
      </c>
      <c r="J63" s="932">
        <f t="shared" si="2"/>
        <v>203.06074576271186</v>
      </c>
      <c r="K63" s="932">
        <f t="shared" si="0"/>
        <v>74788.078560560738</v>
      </c>
      <c r="L63" s="932"/>
      <c r="M63" s="933">
        <f t="shared" si="1"/>
        <v>87474.07796490824</v>
      </c>
      <c r="N63" s="933"/>
      <c r="O63" s="934">
        <f t="shared" si="3"/>
        <v>162262.15652546898</v>
      </c>
      <c r="P63" s="934"/>
      <c r="Q63" s="934"/>
      <c r="R63" s="937">
        <f t="shared" si="4"/>
        <v>80.084745762711862</v>
      </c>
      <c r="S63" s="9"/>
      <c r="T63" s="9">
        <f t="shared" si="5"/>
        <v>2.016</v>
      </c>
      <c r="U63" s="9"/>
      <c r="V63" s="9">
        <f t="shared" si="6"/>
        <v>2.016</v>
      </c>
      <c r="W63" s="9"/>
      <c r="X63" s="9">
        <f t="shared" si="7"/>
        <v>35.28</v>
      </c>
      <c r="Y63" s="9"/>
      <c r="Z63" s="11">
        <f t="shared" si="8"/>
        <v>9.0719999999999992</v>
      </c>
      <c r="AA63" s="30"/>
      <c r="AB63" s="11">
        <f t="shared" si="9"/>
        <v>74.591999999999999</v>
      </c>
      <c r="AC63" s="30"/>
      <c r="AD63" s="11">
        <f t="shared" si="10"/>
        <v>0</v>
      </c>
      <c r="AE63" s="30"/>
      <c r="AF63" s="30"/>
    </row>
    <row r="64" spans="1:32" ht="12.75" x14ac:dyDescent="0.2">
      <c r="A64" s="9" t="s">
        <v>59</v>
      </c>
      <c r="B64" s="10">
        <v>2466</v>
      </c>
      <c r="C64" s="9">
        <v>75.463414634146346</v>
      </c>
      <c r="D64" s="9">
        <v>65.446351931330469</v>
      </c>
      <c r="E64" s="9">
        <v>32.248927038626633</v>
      </c>
      <c r="F64" s="9">
        <v>19.918454935622325</v>
      </c>
      <c r="G64" s="9">
        <v>13.278969957081536</v>
      </c>
      <c r="H64" s="9">
        <v>4.7424892703862751</v>
      </c>
      <c r="I64" s="9">
        <v>0</v>
      </c>
      <c r="J64" s="932">
        <f t="shared" si="2"/>
        <v>211.09860776719358</v>
      </c>
      <c r="K64" s="932">
        <f t="shared" si="0"/>
        <v>70472.394316253049</v>
      </c>
      <c r="L64" s="932"/>
      <c r="M64" s="933">
        <f t="shared" si="1"/>
        <v>32954.908622059695</v>
      </c>
      <c r="N64" s="933"/>
      <c r="O64" s="934">
        <f t="shared" si="3"/>
        <v>103427.30293831274</v>
      </c>
      <c r="P64" s="934"/>
      <c r="Q64" s="934"/>
      <c r="R64" s="937">
        <f t="shared" si="4"/>
        <v>75.463414634146346</v>
      </c>
      <c r="S64" s="9"/>
      <c r="T64" s="9">
        <f t="shared" si="5"/>
        <v>65.446351931330469</v>
      </c>
      <c r="U64" s="9"/>
      <c r="V64" s="9">
        <f t="shared" si="6"/>
        <v>32.248927038626633</v>
      </c>
      <c r="W64" s="9"/>
      <c r="X64" s="9">
        <f t="shared" si="7"/>
        <v>19.918454935622325</v>
      </c>
      <c r="Y64" s="9"/>
      <c r="Z64" s="11">
        <f t="shared" si="8"/>
        <v>13.278969957081536</v>
      </c>
      <c r="AA64" s="30"/>
      <c r="AB64" s="11">
        <f t="shared" si="9"/>
        <v>4.7424892703862751</v>
      </c>
      <c r="AC64" s="30"/>
      <c r="AD64" s="11">
        <f t="shared" si="10"/>
        <v>0</v>
      </c>
      <c r="AE64" s="30"/>
      <c r="AF64" s="30"/>
    </row>
    <row r="65" spans="1:32" ht="12.75" x14ac:dyDescent="0.2">
      <c r="A65" s="9" t="s">
        <v>60</v>
      </c>
      <c r="B65" s="10">
        <v>3543</v>
      </c>
      <c r="C65" s="9">
        <v>58.385382059800669</v>
      </c>
      <c r="D65" s="9">
        <v>56.185430463576175</v>
      </c>
      <c r="E65" s="9">
        <v>24.079470198675502</v>
      </c>
      <c r="F65" s="9">
        <v>22.072847682119203</v>
      </c>
      <c r="G65" s="9">
        <v>18.059602649006617</v>
      </c>
      <c r="H65" s="9">
        <v>25.082781456953647</v>
      </c>
      <c r="I65" s="9">
        <v>0</v>
      </c>
      <c r="J65" s="932">
        <f t="shared" si="2"/>
        <v>203.86551451013182</v>
      </c>
      <c r="K65" s="932">
        <f t="shared" si="0"/>
        <v>54523.873412979228</v>
      </c>
      <c r="L65" s="932"/>
      <c r="M65" s="933">
        <f t="shared" si="1"/>
        <v>52063.945200346199</v>
      </c>
      <c r="N65" s="933"/>
      <c r="O65" s="934">
        <f t="shared" si="3"/>
        <v>106587.81861332542</v>
      </c>
      <c r="P65" s="934"/>
      <c r="Q65" s="934"/>
      <c r="R65" s="937">
        <f t="shared" si="4"/>
        <v>58.385382059800669</v>
      </c>
      <c r="S65" s="9"/>
      <c r="T65" s="9">
        <f t="shared" si="5"/>
        <v>56.185430463576175</v>
      </c>
      <c r="U65" s="9"/>
      <c r="V65" s="9">
        <f t="shared" si="6"/>
        <v>24.079470198675502</v>
      </c>
      <c r="W65" s="9"/>
      <c r="X65" s="9">
        <f t="shared" si="7"/>
        <v>22.072847682119203</v>
      </c>
      <c r="Y65" s="9"/>
      <c r="Z65" s="11">
        <f t="shared" si="8"/>
        <v>18.059602649006617</v>
      </c>
      <c r="AA65" s="30"/>
      <c r="AB65" s="11">
        <f t="shared" si="9"/>
        <v>25.082781456953647</v>
      </c>
      <c r="AC65" s="30"/>
      <c r="AD65" s="11">
        <f t="shared" si="10"/>
        <v>0</v>
      </c>
      <c r="AE65" s="30"/>
      <c r="AF65" s="30"/>
    </row>
    <row r="66" spans="1:32" ht="12.75" x14ac:dyDescent="0.2">
      <c r="A66" s="9" t="s">
        <v>62</v>
      </c>
      <c r="B66" s="10">
        <v>3531</v>
      </c>
      <c r="C66" s="9">
        <v>91.671428571428578</v>
      </c>
      <c r="D66" s="9">
        <v>16.187683284457478</v>
      </c>
      <c r="E66" s="9">
        <v>29.340175953079171</v>
      </c>
      <c r="F66" s="9">
        <v>49.574780058651164</v>
      </c>
      <c r="G66" s="9">
        <v>59.692082111437109</v>
      </c>
      <c r="H66" s="9">
        <v>31.36363636363636</v>
      </c>
      <c r="I66" s="9">
        <v>0</v>
      </c>
      <c r="J66" s="932">
        <f t="shared" si="2"/>
        <v>277.82978634268989</v>
      </c>
      <c r="K66" s="932">
        <f t="shared" si="0"/>
        <v>85608.438117200247</v>
      </c>
      <c r="L66" s="932"/>
      <c r="M66" s="933">
        <f t="shared" si="1"/>
        <v>83752.140415542861</v>
      </c>
      <c r="N66" s="933"/>
      <c r="O66" s="934">
        <f t="shared" si="3"/>
        <v>169360.57853274309</v>
      </c>
      <c r="P66" s="934"/>
      <c r="Q66" s="934"/>
      <c r="R66" s="937">
        <f t="shared" si="4"/>
        <v>91.671428571428578</v>
      </c>
      <c r="S66" s="9"/>
      <c r="T66" s="9">
        <f t="shared" si="5"/>
        <v>16.187683284457478</v>
      </c>
      <c r="U66" s="9"/>
      <c r="V66" s="9">
        <f t="shared" si="6"/>
        <v>29.340175953079171</v>
      </c>
      <c r="W66" s="9"/>
      <c r="X66" s="9">
        <f t="shared" si="7"/>
        <v>49.574780058651164</v>
      </c>
      <c r="Y66" s="9"/>
      <c r="Z66" s="11">
        <f t="shared" si="8"/>
        <v>59.692082111437109</v>
      </c>
      <c r="AA66" s="30"/>
      <c r="AB66" s="11">
        <f t="shared" si="9"/>
        <v>31.36363636363636</v>
      </c>
      <c r="AC66" s="30"/>
      <c r="AD66" s="11">
        <f t="shared" si="10"/>
        <v>0</v>
      </c>
      <c r="AE66" s="30"/>
      <c r="AF66" s="30"/>
    </row>
    <row r="67" spans="1:32" ht="12.75" x14ac:dyDescent="0.2">
      <c r="A67" s="9" t="s">
        <v>103</v>
      </c>
      <c r="B67" s="10">
        <v>3526</v>
      </c>
      <c r="C67" s="9">
        <v>28.636363636363637</v>
      </c>
      <c r="D67" s="9">
        <v>5.056179775280901</v>
      </c>
      <c r="E67" s="9">
        <v>0</v>
      </c>
      <c r="F67" s="9">
        <v>23.258426966292152</v>
      </c>
      <c r="G67" s="9">
        <v>47.528089887640405</v>
      </c>
      <c r="H67" s="9">
        <v>13.146067415730329</v>
      </c>
      <c r="I67" s="9">
        <v>0</v>
      </c>
      <c r="J67" s="932">
        <f t="shared" si="2"/>
        <v>117.62512768130742</v>
      </c>
      <c r="K67" s="932">
        <f t="shared" si="0"/>
        <v>26742.403848927781</v>
      </c>
      <c r="L67" s="932"/>
      <c r="M67" s="933">
        <f t="shared" si="1"/>
        <v>43462.034833165708</v>
      </c>
      <c r="N67" s="933"/>
      <c r="O67" s="934">
        <f t="shared" si="3"/>
        <v>70204.438682093489</v>
      </c>
      <c r="P67" s="934"/>
      <c r="Q67" s="934"/>
      <c r="R67" s="937">
        <f t="shared" si="4"/>
        <v>28.636363636363637</v>
      </c>
      <c r="S67" s="9"/>
      <c r="T67" s="9">
        <f t="shared" si="5"/>
        <v>5.056179775280901</v>
      </c>
      <c r="U67" s="9"/>
      <c r="V67" s="9">
        <f t="shared" si="6"/>
        <v>0</v>
      </c>
      <c r="W67" s="9"/>
      <c r="X67" s="9">
        <f t="shared" si="7"/>
        <v>23.258426966292152</v>
      </c>
      <c r="Y67" s="9"/>
      <c r="Z67" s="11">
        <f t="shared" si="8"/>
        <v>47.528089887640405</v>
      </c>
      <c r="AA67" s="30"/>
      <c r="AB67" s="11">
        <f t="shared" si="9"/>
        <v>13.146067415730329</v>
      </c>
      <c r="AC67" s="30"/>
      <c r="AD67" s="11">
        <f t="shared" si="10"/>
        <v>0</v>
      </c>
      <c r="AE67" s="30"/>
      <c r="AF67" s="30"/>
    </row>
    <row r="68" spans="1:32" ht="12.75" x14ac:dyDescent="0.2">
      <c r="A68" s="9" t="s">
        <v>104</v>
      </c>
      <c r="B68" s="10">
        <v>3535</v>
      </c>
      <c r="C68" s="9">
        <v>128.29333333333332</v>
      </c>
      <c r="D68" s="9">
        <v>12.085409252669047</v>
      </c>
      <c r="E68" s="9">
        <v>1.0071174377224186</v>
      </c>
      <c r="F68" s="9">
        <v>82.58362989323841</v>
      </c>
      <c r="G68" s="9">
        <v>168.18861209964413</v>
      </c>
      <c r="H68" s="9">
        <v>14.099644128113878</v>
      </c>
      <c r="I68" s="9">
        <v>0</v>
      </c>
      <c r="J68" s="932">
        <f t="shared" si="2"/>
        <v>406.25774614472124</v>
      </c>
      <c r="K68" s="932">
        <f t="shared" si="0"/>
        <v>119808.23315040059</v>
      </c>
      <c r="L68" s="932"/>
      <c r="M68" s="933">
        <f t="shared" si="1"/>
        <v>122997.45710251338</v>
      </c>
      <c r="N68" s="933"/>
      <c r="O68" s="934">
        <f t="shared" si="3"/>
        <v>242805.69025291398</v>
      </c>
      <c r="P68" s="934"/>
      <c r="Q68" s="934"/>
      <c r="R68" s="937">
        <f t="shared" si="4"/>
        <v>128.29333333333332</v>
      </c>
      <c r="S68" s="9"/>
      <c r="T68" s="9">
        <f t="shared" si="5"/>
        <v>12.085409252669047</v>
      </c>
      <c r="U68" s="9"/>
      <c r="V68" s="9">
        <f t="shared" si="6"/>
        <v>1.0071174377224186</v>
      </c>
      <c r="W68" s="9"/>
      <c r="X68" s="9">
        <f t="shared" si="7"/>
        <v>82.58362989323841</v>
      </c>
      <c r="Y68" s="9"/>
      <c r="Z68" s="11">
        <f t="shared" si="8"/>
        <v>168.18861209964413</v>
      </c>
      <c r="AA68" s="30"/>
      <c r="AB68" s="11">
        <f t="shared" si="9"/>
        <v>14.099644128113878</v>
      </c>
      <c r="AC68" s="30"/>
      <c r="AD68" s="11">
        <f t="shared" si="10"/>
        <v>0</v>
      </c>
      <c r="AE68" s="30"/>
      <c r="AF68" s="30"/>
    </row>
    <row r="69" spans="1:32" ht="12.75" x14ac:dyDescent="0.2">
      <c r="A69" s="12" t="s">
        <v>64</v>
      </c>
      <c r="B69" s="10">
        <v>2008</v>
      </c>
      <c r="C69" s="9">
        <v>73.324444444444438</v>
      </c>
      <c r="D69" s="9">
        <v>26.232142857142954</v>
      </c>
      <c r="E69" s="9">
        <v>35.3125</v>
      </c>
      <c r="F69" s="9">
        <v>80.71428571428568</v>
      </c>
      <c r="G69" s="9">
        <v>39.348214285714313</v>
      </c>
      <c r="H69" s="9">
        <v>6.0535714285714324</v>
      </c>
      <c r="I69" s="9">
        <v>0</v>
      </c>
      <c r="J69" s="932">
        <f t="shared" si="2"/>
        <v>260.98515873015879</v>
      </c>
      <c r="K69" s="932">
        <f t="shared" si="0"/>
        <v>68474.891932214683</v>
      </c>
      <c r="L69" s="932"/>
      <c r="M69" s="933">
        <f t="shared" si="1"/>
        <v>63973.254732778048</v>
      </c>
      <c r="N69" s="933"/>
      <c r="O69" s="934">
        <f t="shared" si="3"/>
        <v>132448.14666499273</v>
      </c>
      <c r="P69" s="934"/>
      <c r="Q69" s="934"/>
      <c r="R69" s="937">
        <f t="shared" si="4"/>
        <v>73.324444444444438</v>
      </c>
      <c r="S69" s="9"/>
      <c r="T69" s="9">
        <f t="shared" si="5"/>
        <v>26.232142857142954</v>
      </c>
      <c r="U69" s="9"/>
      <c r="V69" s="9">
        <f t="shared" si="6"/>
        <v>35.3125</v>
      </c>
      <c r="W69" s="9"/>
      <c r="X69" s="9">
        <f t="shared" si="7"/>
        <v>80.71428571428568</v>
      </c>
      <c r="Y69" s="9"/>
      <c r="Z69" s="11">
        <f t="shared" si="8"/>
        <v>39.348214285714313</v>
      </c>
      <c r="AA69" s="30"/>
      <c r="AB69" s="11">
        <f t="shared" si="9"/>
        <v>6.0535714285714324</v>
      </c>
      <c r="AC69" s="30"/>
      <c r="AD69" s="11">
        <f t="shared" si="10"/>
        <v>0</v>
      </c>
      <c r="AE69" s="30"/>
      <c r="AF69" s="30"/>
    </row>
    <row r="70" spans="1:32" ht="12.75" x14ac:dyDescent="0.2">
      <c r="A70" s="9" t="s">
        <v>105</v>
      </c>
      <c r="B70" s="10">
        <v>3542</v>
      </c>
      <c r="C70" s="9">
        <v>70.798866855524082</v>
      </c>
      <c r="D70" s="9">
        <v>29.333333333333321</v>
      </c>
      <c r="E70" s="9">
        <v>36.413793103448292</v>
      </c>
      <c r="F70" s="9">
        <v>127.44827586206883</v>
      </c>
      <c r="G70" s="9">
        <v>55.632183908045889</v>
      </c>
      <c r="H70" s="9">
        <v>22.252873563218387</v>
      </c>
      <c r="I70" s="9">
        <v>0</v>
      </c>
      <c r="J70" s="932">
        <f t="shared" si="2"/>
        <v>341.87932662563878</v>
      </c>
      <c r="K70" s="932">
        <f>C$2*C70</f>
        <v>66116.351696716883</v>
      </c>
      <c r="L70" s="932"/>
      <c r="M70" s="933">
        <f t="shared" si="1"/>
        <v>103929.8181593113</v>
      </c>
      <c r="N70" s="933"/>
      <c r="O70" s="934">
        <f t="shared" si="3"/>
        <v>170046.16985602817</v>
      </c>
      <c r="P70" s="934"/>
      <c r="Q70" s="934"/>
      <c r="R70" s="937">
        <f t="shared" si="4"/>
        <v>70.798866855524082</v>
      </c>
      <c r="S70" s="9"/>
      <c r="T70" s="9">
        <f t="shared" si="5"/>
        <v>29.333333333333321</v>
      </c>
      <c r="U70" s="9"/>
      <c r="V70" s="9">
        <f t="shared" si="6"/>
        <v>36.413793103448292</v>
      </c>
      <c r="W70" s="9"/>
      <c r="X70" s="9">
        <f t="shared" si="7"/>
        <v>127.44827586206883</v>
      </c>
      <c r="Y70" s="9"/>
      <c r="Z70" s="11">
        <f t="shared" si="8"/>
        <v>55.632183908045889</v>
      </c>
      <c r="AA70" s="30"/>
      <c r="AB70" s="11">
        <f t="shared" si="9"/>
        <v>22.252873563218387</v>
      </c>
      <c r="AC70" s="30"/>
      <c r="AD70" s="11">
        <f t="shared" si="10"/>
        <v>0</v>
      </c>
      <c r="AE70" s="30"/>
      <c r="AF70" s="30"/>
    </row>
    <row r="71" spans="1:32" ht="12.75" x14ac:dyDescent="0.2">
      <c r="A71" s="9" t="s">
        <v>106</v>
      </c>
      <c r="B71" s="10">
        <v>3528</v>
      </c>
      <c r="C71" s="9">
        <v>81.173020527859236</v>
      </c>
      <c r="D71" s="9">
        <v>54.631578947368332</v>
      </c>
      <c r="E71" s="9">
        <v>36.421052631579002</v>
      </c>
      <c r="F71" s="9">
        <v>74.865497076023402</v>
      </c>
      <c r="G71" s="9">
        <v>38.444444444444407</v>
      </c>
      <c r="H71" s="9">
        <v>22.257309941520482</v>
      </c>
      <c r="I71" s="9">
        <v>0</v>
      </c>
      <c r="J71" s="932">
        <f t="shared" ref="J71:J77" si="11">SUM(C71:I71)</f>
        <v>307.79290356879488</v>
      </c>
      <c r="K71" s="932">
        <f>C$2*C71</f>
        <v>75804.376706433279</v>
      </c>
      <c r="L71" s="932"/>
      <c r="M71" s="933">
        <f t="shared" ref="M71:M77" si="12">D$2*D71+E$2*E71+F$2*F71+G$2*G71+H$2*H71+I$2*I71</f>
        <v>80301.039729901138</v>
      </c>
      <c r="N71" s="933"/>
      <c r="O71" s="934">
        <f t="shared" si="3"/>
        <v>156105.41643633443</v>
      </c>
      <c r="P71" s="934"/>
      <c r="Q71" s="934"/>
      <c r="R71" s="937">
        <f t="shared" si="4"/>
        <v>81.173020527859236</v>
      </c>
      <c r="S71" s="9"/>
      <c r="T71" s="9">
        <f t="shared" si="5"/>
        <v>54.631578947368332</v>
      </c>
      <c r="U71" s="9"/>
      <c r="V71" s="9">
        <f t="shared" si="6"/>
        <v>36.421052631579002</v>
      </c>
      <c r="W71" s="9"/>
      <c r="X71" s="9">
        <f t="shared" si="7"/>
        <v>74.865497076023402</v>
      </c>
      <c r="Y71" s="9"/>
      <c r="Z71" s="11">
        <f t="shared" si="8"/>
        <v>38.444444444444407</v>
      </c>
      <c r="AA71" s="30"/>
      <c r="AB71" s="11">
        <f t="shared" si="9"/>
        <v>22.257309941520482</v>
      </c>
      <c r="AC71" s="30"/>
      <c r="AD71" s="11">
        <f t="shared" si="10"/>
        <v>0</v>
      </c>
      <c r="AE71" s="30"/>
      <c r="AF71" s="30"/>
    </row>
    <row r="72" spans="1:32" ht="12.75" x14ac:dyDescent="0.2">
      <c r="A72" s="9" t="s">
        <v>107</v>
      </c>
      <c r="B72" s="10">
        <v>3534</v>
      </c>
      <c r="C72" s="9">
        <v>33.525896414342625</v>
      </c>
      <c r="D72" s="9">
        <v>11.000000000000004</v>
      </c>
      <c r="E72" s="9">
        <v>7.0000000000000098</v>
      </c>
      <c r="F72" s="9">
        <v>17.999999999999989</v>
      </c>
      <c r="G72" s="9">
        <v>12.999999999999989</v>
      </c>
      <c r="H72" s="9">
        <v>1</v>
      </c>
      <c r="I72" s="9">
        <v>0</v>
      </c>
      <c r="J72" s="932">
        <f t="shared" si="11"/>
        <v>83.525896414342611</v>
      </c>
      <c r="K72" s="932">
        <f t="shared" ref="K72:K77" si="13">C$2*C72</f>
        <v>31308.55134732182</v>
      </c>
      <c r="L72" s="932"/>
      <c r="M72" s="933">
        <f t="shared" si="12"/>
        <v>16321.109003651432</v>
      </c>
      <c r="N72" s="933"/>
      <c r="O72" s="934">
        <f t="shared" ref="O72:O77" si="14">K72+L72+M72+N72</f>
        <v>47629.660350973252</v>
      </c>
      <c r="P72" s="934"/>
      <c r="Q72" s="934"/>
      <c r="R72" s="937">
        <f t="shared" ref="R72:R76" si="15">C72</f>
        <v>33.525896414342625</v>
      </c>
      <c r="S72" s="9"/>
      <c r="T72" s="9">
        <f t="shared" ref="T72:T76" si="16">D72</f>
        <v>11.000000000000004</v>
      </c>
      <c r="U72" s="9"/>
      <c r="V72" s="9">
        <f t="shared" ref="V72:V76" si="17">E72</f>
        <v>7.0000000000000098</v>
      </c>
      <c r="W72" s="9"/>
      <c r="X72" s="9">
        <f t="shared" ref="X72:X76" si="18">F72</f>
        <v>17.999999999999989</v>
      </c>
      <c r="Y72" s="9"/>
      <c r="Z72" s="11">
        <f t="shared" ref="Z72:Z76" si="19">G72</f>
        <v>12.999999999999989</v>
      </c>
      <c r="AA72" s="30"/>
      <c r="AB72" s="11">
        <f t="shared" ref="AB72:AB76" si="20">H72</f>
        <v>1</v>
      </c>
      <c r="AC72" s="30"/>
      <c r="AD72" s="11">
        <f t="shared" ref="AD72:AD76" si="21">I72</f>
        <v>0</v>
      </c>
      <c r="AE72" s="30"/>
      <c r="AF72" s="30"/>
    </row>
    <row r="73" spans="1:32" ht="12.75" x14ac:dyDescent="0.2">
      <c r="A73" s="9" t="s">
        <v>108</v>
      </c>
      <c r="B73" s="10">
        <v>3532</v>
      </c>
      <c r="C73" s="9">
        <v>22.496774193548386</v>
      </c>
      <c r="D73" s="9">
        <v>62.196202531645689</v>
      </c>
      <c r="E73" s="9">
        <v>18.056962025316459</v>
      </c>
      <c r="F73" s="9">
        <v>8.025316455696192</v>
      </c>
      <c r="G73" s="9">
        <v>0</v>
      </c>
      <c r="H73" s="9">
        <v>0</v>
      </c>
      <c r="I73" s="9">
        <v>0</v>
      </c>
      <c r="J73" s="932">
        <f t="shared" si="11"/>
        <v>110.77525520620671</v>
      </c>
      <c r="K73" s="932">
        <f t="shared" si="13"/>
        <v>21008.876281276454</v>
      </c>
      <c r="L73" s="932"/>
      <c r="M73" s="933">
        <f t="shared" si="12"/>
        <v>14360.762443088954</v>
      </c>
      <c r="N73" s="933"/>
      <c r="O73" s="934">
        <f t="shared" si="14"/>
        <v>35369.63872436541</v>
      </c>
      <c r="P73" s="934"/>
      <c r="Q73" s="934"/>
      <c r="R73" s="937">
        <f t="shared" si="15"/>
        <v>22.496774193548386</v>
      </c>
      <c r="S73" s="9"/>
      <c r="T73" s="9">
        <f t="shared" si="16"/>
        <v>62.196202531645689</v>
      </c>
      <c r="U73" s="9"/>
      <c r="V73" s="9">
        <f t="shared" si="17"/>
        <v>18.056962025316459</v>
      </c>
      <c r="W73" s="9"/>
      <c r="X73" s="9">
        <f t="shared" si="18"/>
        <v>8.025316455696192</v>
      </c>
      <c r="Y73" s="9"/>
      <c r="Z73" s="11">
        <f t="shared" si="19"/>
        <v>0</v>
      </c>
      <c r="AA73" s="30"/>
      <c r="AB73" s="11">
        <f t="shared" si="20"/>
        <v>0</v>
      </c>
      <c r="AC73" s="30"/>
      <c r="AD73" s="11">
        <f t="shared" si="21"/>
        <v>0</v>
      </c>
      <c r="AE73" s="30"/>
      <c r="AF73" s="30"/>
    </row>
    <row r="74" spans="1:32" ht="12.75" x14ac:dyDescent="0.2">
      <c r="A74" s="9" t="s">
        <v>65</v>
      </c>
      <c r="B74" s="10">
        <v>3546</v>
      </c>
      <c r="C74" s="9">
        <v>230.29876977152898</v>
      </c>
      <c r="D74" s="9">
        <v>17.087628865979354</v>
      </c>
      <c r="E74" s="9">
        <v>1.0051546391752555</v>
      </c>
      <c r="F74" s="9">
        <v>232.19072164948432</v>
      </c>
      <c r="G74" s="9">
        <v>226.15979381443307</v>
      </c>
      <c r="H74" s="9">
        <v>23.118556701030922</v>
      </c>
      <c r="I74" s="9">
        <v>0</v>
      </c>
      <c r="J74" s="932">
        <f t="shared" si="11"/>
        <v>729.8606254416319</v>
      </c>
      <c r="K74" s="932">
        <f t="shared" si="13"/>
        <v>215067.20564621003</v>
      </c>
      <c r="L74" s="932"/>
      <c r="M74" s="933">
        <f t="shared" si="12"/>
        <v>212004.08863498273</v>
      </c>
      <c r="N74" s="933"/>
      <c r="O74" s="934">
        <f t="shared" si="14"/>
        <v>427071.29428119276</v>
      </c>
      <c r="P74" s="934"/>
      <c r="Q74" s="934"/>
      <c r="R74" s="937">
        <f t="shared" si="15"/>
        <v>230.29876977152898</v>
      </c>
      <c r="S74" s="9"/>
      <c r="T74" s="9">
        <f t="shared" si="16"/>
        <v>17.087628865979354</v>
      </c>
      <c r="U74" s="9"/>
      <c r="V74" s="9">
        <f t="shared" si="17"/>
        <v>1.0051546391752555</v>
      </c>
      <c r="W74" s="9"/>
      <c r="X74" s="9">
        <f t="shared" si="18"/>
        <v>232.19072164948432</v>
      </c>
      <c r="Y74" s="9"/>
      <c r="Z74" s="11">
        <f t="shared" si="19"/>
        <v>226.15979381443307</v>
      </c>
      <c r="AA74" s="30"/>
      <c r="AB74" s="11">
        <f t="shared" si="20"/>
        <v>23.118556701030922</v>
      </c>
      <c r="AC74" s="30"/>
      <c r="AD74" s="11">
        <f t="shared" si="21"/>
        <v>0</v>
      </c>
      <c r="AE74" s="30"/>
      <c r="AF74" s="30"/>
    </row>
    <row r="75" spans="1:32" ht="12.75" x14ac:dyDescent="0.2">
      <c r="A75" s="9" t="s">
        <v>109</v>
      </c>
      <c r="B75" s="10">
        <v>3530</v>
      </c>
      <c r="C75" s="9">
        <v>12.523364485981308</v>
      </c>
      <c r="D75" s="9">
        <v>25.302114803625376</v>
      </c>
      <c r="E75" s="9">
        <v>2.0241691842900291</v>
      </c>
      <c r="F75" s="9">
        <v>10.120845921450163</v>
      </c>
      <c r="G75" s="9">
        <v>0</v>
      </c>
      <c r="H75" s="9">
        <v>0</v>
      </c>
      <c r="I75" s="9">
        <v>0</v>
      </c>
      <c r="J75" s="932">
        <f t="shared" si="11"/>
        <v>49.970494395346876</v>
      </c>
      <c r="K75" s="932">
        <f t="shared" si="13"/>
        <v>11695.090720462704</v>
      </c>
      <c r="L75" s="932"/>
      <c r="M75" s="933">
        <f t="shared" si="12"/>
        <v>7009.506387428497</v>
      </c>
      <c r="N75" s="933"/>
      <c r="O75" s="934">
        <f t="shared" si="14"/>
        <v>18704.597107891201</v>
      </c>
      <c r="P75" s="934"/>
      <c r="Q75" s="934"/>
      <c r="R75" s="937">
        <f t="shared" si="15"/>
        <v>12.523364485981308</v>
      </c>
      <c r="S75" s="9"/>
      <c r="T75" s="9">
        <f t="shared" si="16"/>
        <v>25.302114803625376</v>
      </c>
      <c r="U75" s="9"/>
      <c r="V75" s="9">
        <f t="shared" si="17"/>
        <v>2.0241691842900291</v>
      </c>
      <c r="W75" s="9"/>
      <c r="X75" s="9">
        <f t="shared" si="18"/>
        <v>10.120845921450163</v>
      </c>
      <c r="Y75" s="9"/>
      <c r="Z75" s="11">
        <f t="shared" si="19"/>
        <v>0</v>
      </c>
      <c r="AA75" s="30"/>
      <c r="AB75" s="11">
        <f t="shared" si="20"/>
        <v>0</v>
      </c>
      <c r="AC75" s="30"/>
      <c r="AD75" s="11">
        <f t="shared" si="21"/>
        <v>0</v>
      </c>
      <c r="AE75" s="30"/>
      <c r="AF75" s="30"/>
    </row>
    <row r="76" spans="1:32" ht="12.75" x14ac:dyDescent="0.2">
      <c r="A76" s="9" t="s">
        <v>67</v>
      </c>
      <c r="B76" s="10">
        <v>2459</v>
      </c>
      <c r="C76" s="9">
        <v>36.148337595907932</v>
      </c>
      <c r="D76" s="9">
        <v>17.089473684210542</v>
      </c>
      <c r="E76" s="9">
        <v>8.0421052631579073</v>
      </c>
      <c r="F76" s="9">
        <v>0</v>
      </c>
      <c r="G76" s="9">
        <v>0</v>
      </c>
      <c r="H76" s="9">
        <v>1.0052631578947364</v>
      </c>
      <c r="I76" s="9">
        <v>0</v>
      </c>
      <c r="J76" s="932">
        <f t="shared" si="11"/>
        <v>62.285179701171124</v>
      </c>
      <c r="K76" s="932">
        <f t="shared" si="13"/>
        <v>33757.548784217906</v>
      </c>
      <c r="L76" s="932"/>
      <c r="M76" s="933">
        <f t="shared" si="12"/>
        <v>4835.9616523416262</v>
      </c>
      <c r="N76" s="933"/>
      <c r="O76" s="934">
        <f t="shared" si="14"/>
        <v>38593.510436559533</v>
      </c>
      <c r="P76" s="934"/>
      <c r="Q76" s="934"/>
      <c r="R76" s="937">
        <f t="shared" si="15"/>
        <v>36.148337595907932</v>
      </c>
      <c r="S76" s="9"/>
      <c r="T76" s="9">
        <f t="shared" si="16"/>
        <v>17.089473684210542</v>
      </c>
      <c r="U76" s="9"/>
      <c r="V76" s="9">
        <f t="shared" si="17"/>
        <v>8.0421052631579073</v>
      </c>
      <c r="W76" s="9"/>
      <c r="X76" s="9">
        <f t="shared" si="18"/>
        <v>0</v>
      </c>
      <c r="Y76" s="9"/>
      <c r="Z76" s="11">
        <f t="shared" si="19"/>
        <v>0</v>
      </c>
      <c r="AA76" s="30"/>
      <c r="AB76" s="11">
        <f t="shared" si="20"/>
        <v>1.0052631578947364</v>
      </c>
      <c r="AC76" s="30"/>
      <c r="AD76" s="11">
        <f t="shared" si="21"/>
        <v>0</v>
      </c>
      <c r="AE76" s="30"/>
      <c r="AF76" s="30"/>
    </row>
    <row r="77" spans="1:32" ht="12.75" x14ac:dyDescent="0.2">
      <c r="A77" s="9" t="s">
        <v>846</v>
      </c>
      <c r="B77" s="10">
        <v>4000</v>
      </c>
      <c r="C77" s="9">
        <v>65.4609375</v>
      </c>
      <c r="D77" s="9">
        <v>25.082908163265262</v>
      </c>
      <c r="E77" s="9">
        <v>11.996173469387747</v>
      </c>
      <c r="F77" s="9">
        <v>67.614795918367378</v>
      </c>
      <c r="G77" s="9">
        <v>70.886479591836633</v>
      </c>
      <c r="H77" s="9">
        <v>7.6339285714285676</v>
      </c>
      <c r="I77" s="9">
        <v>0</v>
      </c>
      <c r="J77" s="932">
        <f t="shared" si="11"/>
        <v>248.67522321428555</v>
      </c>
      <c r="K77" s="932">
        <f t="shared" si="13"/>
        <v>61131.463798408346</v>
      </c>
      <c r="L77" s="932"/>
      <c r="M77" s="933">
        <f t="shared" si="12"/>
        <v>70049.665881112393</v>
      </c>
      <c r="N77" s="933"/>
      <c r="O77" s="934">
        <f t="shared" si="14"/>
        <v>131181.12967952073</v>
      </c>
      <c r="P77" s="934"/>
      <c r="Q77" s="934"/>
      <c r="R77" s="937">
        <f t="shared" ref="R77" si="22">C77</f>
        <v>65.4609375</v>
      </c>
      <c r="S77" s="9"/>
      <c r="T77" s="9">
        <f t="shared" ref="T77" si="23">D77</f>
        <v>25.082908163265262</v>
      </c>
      <c r="U77" s="9"/>
      <c r="V77" s="9">
        <f t="shared" ref="V77" si="24">E77</f>
        <v>11.996173469387747</v>
      </c>
      <c r="W77" s="9"/>
      <c r="X77" s="9">
        <f t="shared" ref="X77" si="25">F77</f>
        <v>67.614795918367378</v>
      </c>
      <c r="Y77" s="9"/>
      <c r="Z77" s="11">
        <f t="shared" ref="Z77" si="26">G77</f>
        <v>70.886479591836633</v>
      </c>
      <c r="AA77" s="30"/>
      <c r="AB77" s="11">
        <f t="shared" ref="AB77" si="27">H77</f>
        <v>7.6339285714285676</v>
      </c>
      <c r="AC77" s="30"/>
      <c r="AD77" s="11">
        <f t="shared" ref="AD77" si="28">I77</f>
        <v>0</v>
      </c>
      <c r="AE77" s="30"/>
      <c r="AF77" s="30"/>
    </row>
    <row r="78" spans="1:32" ht="12.75" x14ac:dyDescent="0.2">
      <c r="A78" s="9"/>
      <c r="B78" s="10"/>
      <c r="C78" s="9"/>
      <c r="D78" s="9"/>
      <c r="E78" s="9"/>
      <c r="F78" s="9"/>
      <c r="G78" s="9"/>
      <c r="H78" s="9"/>
      <c r="I78" s="9"/>
      <c r="J78" s="932"/>
      <c r="K78" s="932"/>
      <c r="L78" s="932"/>
      <c r="M78" s="933"/>
      <c r="N78" s="933"/>
      <c r="O78" s="934"/>
      <c r="P78" s="935"/>
      <c r="Q78" s="935"/>
      <c r="S78" s="9"/>
      <c r="T78" s="9"/>
      <c r="U78" s="9"/>
      <c r="V78" s="9"/>
      <c r="W78" s="9"/>
      <c r="X78" s="9"/>
      <c r="Y78" s="9"/>
      <c r="Z78" s="30"/>
      <c r="AA78" s="30"/>
      <c r="AB78" s="30"/>
      <c r="AC78" s="30"/>
      <c r="AD78" s="30"/>
      <c r="AE78" s="30"/>
      <c r="AF78" s="30"/>
    </row>
    <row r="79" spans="1:32" ht="12.75" x14ac:dyDescent="0.2">
      <c r="A79" s="1" t="s">
        <v>110</v>
      </c>
      <c r="B79" s="1" t="s">
        <v>110</v>
      </c>
      <c r="C79" s="29">
        <f t="shared" ref="C79:O79" si="29">SUM(C6:C77)</f>
        <v>6795.3454906604293</v>
      </c>
      <c r="D79" s="29">
        <f t="shared" si="29"/>
        <v>2090.3533084754331</v>
      </c>
      <c r="E79" s="29">
        <f t="shared" si="29"/>
        <v>1876.1392109168203</v>
      </c>
      <c r="F79" s="29">
        <f t="shared" si="29"/>
        <v>4864.5186565536023</v>
      </c>
      <c r="G79" s="29">
        <f t="shared" si="29"/>
        <v>3783.5304275303679</v>
      </c>
      <c r="H79" s="29">
        <f t="shared" si="29"/>
        <v>1232.8637915815193</v>
      </c>
      <c r="I79" s="29">
        <f t="shared" si="29"/>
        <v>0</v>
      </c>
      <c r="J79" s="935">
        <f t="shared" si="29"/>
        <v>20642.750885718186</v>
      </c>
      <c r="K79" s="935">
        <f t="shared" si="29"/>
        <v>6345913.0395128485</v>
      </c>
      <c r="L79" s="935">
        <f t="shared" si="29"/>
        <v>0</v>
      </c>
      <c r="M79" s="935">
        <f t="shared" si="29"/>
        <v>5334834.907725987</v>
      </c>
      <c r="N79" s="935">
        <f t="shared" si="29"/>
        <v>0</v>
      </c>
      <c r="O79" s="935">
        <f t="shared" si="29"/>
        <v>11680747.947238836</v>
      </c>
      <c r="R79" s="935">
        <f>SUM(R6:R77)</f>
        <v>6795.3454906604293</v>
      </c>
      <c r="S79" s="935">
        <f t="shared" ref="S79:AE79" si="30">SUM(S6:S77)</f>
        <v>0</v>
      </c>
      <c r="T79" s="935">
        <f t="shared" si="30"/>
        <v>2090.3533084754331</v>
      </c>
      <c r="U79" s="935">
        <f t="shared" si="30"/>
        <v>0</v>
      </c>
      <c r="V79" s="935">
        <f t="shared" si="30"/>
        <v>1876.1392109168203</v>
      </c>
      <c r="W79" s="935">
        <f t="shared" si="30"/>
        <v>0</v>
      </c>
      <c r="X79" s="935">
        <f t="shared" si="30"/>
        <v>4864.5186565536023</v>
      </c>
      <c r="Y79" s="935">
        <f t="shared" si="30"/>
        <v>0</v>
      </c>
      <c r="Z79" s="935">
        <f t="shared" si="30"/>
        <v>3783.5304275303679</v>
      </c>
      <c r="AA79" s="935">
        <f t="shared" si="30"/>
        <v>0</v>
      </c>
      <c r="AB79" s="935">
        <f t="shared" si="30"/>
        <v>1232.8637915815193</v>
      </c>
      <c r="AC79" s="935">
        <f t="shared" si="30"/>
        <v>0</v>
      </c>
      <c r="AD79" s="935">
        <f t="shared" si="30"/>
        <v>0</v>
      </c>
      <c r="AE79" s="935">
        <f t="shared" si="30"/>
        <v>0</v>
      </c>
      <c r="AF79" s="30"/>
    </row>
    <row r="80" spans="1:32" ht="12.75" x14ac:dyDescent="0.2">
      <c r="A80" s="9"/>
      <c r="B80" s="10"/>
      <c r="C80" s="9"/>
      <c r="D80" s="9"/>
      <c r="E80" s="9"/>
      <c r="F80" s="9"/>
      <c r="G80" s="9"/>
      <c r="H80" s="9"/>
      <c r="I80" s="9"/>
      <c r="J80" s="932"/>
      <c r="K80" s="932"/>
      <c r="L80" s="932"/>
      <c r="M80" s="933"/>
      <c r="N80" s="933"/>
      <c r="P80" s="934"/>
      <c r="Q80" s="934"/>
      <c r="S80" s="9"/>
      <c r="T80" s="9"/>
      <c r="U80" s="9"/>
      <c r="V80" s="9"/>
      <c r="W80" s="9"/>
      <c r="X80" s="9"/>
      <c r="Y80" s="9"/>
      <c r="Z80" s="30"/>
      <c r="AA80" s="30"/>
      <c r="AB80" s="30"/>
      <c r="AC80" s="30"/>
      <c r="AD80" s="30"/>
      <c r="AE80" s="30"/>
      <c r="AF80" s="30"/>
    </row>
    <row r="81" spans="1:32" ht="12.75" x14ac:dyDescent="0.2">
      <c r="A81" s="9" t="s">
        <v>75</v>
      </c>
      <c r="B81" s="10">
        <v>5402</v>
      </c>
      <c r="C81" s="9">
        <v>199.09365558912384</v>
      </c>
      <c r="D81" s="9">
        <v>6.0091185410334411</v>
      </c>
      <c r="E81" s="9">
        <v>142.21580547112458</v>
      </c>
      <c r="F81" s="9">
        <v>26.039513677811581</v>
      </c>
      <c r="G81" s="9">
        <v>18.027355623100338</v>
      </c>
      <c r="H81" s="9">
        <v>2.0030395136778183</v>
      </c>
      <c r="I81" s="9">
        <v>0</v>
      </c>
      <c r="J81" s="932">
        <f>SUM(C81:I81)</f>
        <v>393.38848841587156</v>
      </c>
      <c r="K81" s="932"/>
      <c r="L81" s="932">
        <f t="shared" ref="L81:L95" si="31">C$3*C81</f>
        <v>142394.31198944472</v>
      </c>
      <c r="M81" s="933"/>
      <c r="N81" s="933">
        <f t="shared" ref="N81:N95" si="32">D$3*D81+E$3*E81+F$3*F81+G$3*G81+H$3*H81+I$3*I81</f>
        <v>42614.183134284947</v>
      </c>
      <c r="O81" s="934">
        <f>K81+L81+M81+N81</f>
        <v>185008.49512372966</v>
      </c>
      <c r="P81" s="934"/>
      <c r="Q81" s="934"/>
      <c r="S81" s="9">
        <f>C81</f>
        <v>199.09365558912384</v>
      </c>
      <c r="T81" s="9"/>
      <c r="U81" s="9">
        <f>D81</f>
        <v>6.0091185410334411</v>
      </c>
      <c r="V81" s="9"/>
      <c r="W81" s="9">
        <f>E81</f>
        <v>142.21580547112458</v>
      </c>
      <c r="X81" s="9"/>
      <c r="Y81" s="9">
        <f>F81</f>
        <v>26.039513677811581</v>
      </c>
      <c r="Z81" s="30"/>
      <c r="AA81" s="11">
        <f>G81</f>
        <v>18.027355623100338</v>
      </c>
      <c r="AB81" s="30"/>
      <c r="AC81" s="11">
        <f>H81</f>
        <v>2.0030395136778183</v>
      </c>
      <c r="AD81" s="30"/>
      <c r="AE81" s="11">
        <f>I81</f>
        <v>0</v>
      </c>
      <c r="AF81" s="30"/>
    </row>
    <row r="82" spans="1:32" ht="12.75" x14ac:dyDescent="0.2">
      <c r="A82" s="9" t="s">
        <v>68</v>
      </c>
      <c r="B82" s="10">
        <v>4608</v>
      </c>
      <c r="C82" s="9">
        <v>329.56284153005464</v>
      </c>
      <c r="D82" s="9">
        <v>48.000000000000007</v>
      </c>
      <c r="E82" s="9">
        <v>116</v>
      </c>
      <c r="F82" s="9">
        <v>68.999999999999815</v>
      </c>
      <c r="G82" s="9">
        <v>111</v>
      </c>
      <c r="H82" s="9">
        <v>113.99999999999977</v>
      </c>
      <c r="I82" s="9">
        <v>0</v>
      </c>
      <c r="J82" s="932">
        <f t="shared" ref="J82:J95" si="33">SUM(C82:I82)</f>
        <v>787.56284153005424</v>
      </c>
      <c r="K82" s="932"/>
      <c r="L82" s="932">
        <f t="shared" si="31"/>
        <v>235707.53140323632</v>
      </c>
      <c r="M82" s="933"/>
      <c r="N82" s="933">
        <f t="shared" si="32"/>
        <v>171912.97875599144</v>
      </c>
      <c r="O82" s="934">
        <f t="shared" ref="O82:O95" si="34">K82+L82+M82+N82</f>
        <v>407620.51015922776</v>
      </c>
      <c r="P82" s="934"/>
      <c r="Q82" s="934"/>
      <c r="S82" s="9">
        <f t="shared" ref="S82:S94" si="35">C82</f>
        <v>329.56284153005464</v>
      </c>
      <c r="T82" s="9"/>
      <c r="U82" s="9">
        <f t="shared" ref="U82:U94" si="36">D82</f>
        <v>48.000000000000007</v>
      </c>
      <c r="V82" s="9"/>
      <c r="W82" s="9">
        <f t="shared" ref="W82:W94" si="37">E82</f>
        <v>116</v>
      </c>
      <c r="X82" s="9"/>
      <c r="Y82" s="9">
        <f t="shared" ref="Y82:Y94" si="38">F82</f>
        <v>68.999999999999815</v>
      </c>
      <c r="Z82" s="30"/>
      <c r="AA82" s="11">
        <f t="shared" ref="AA82:AA94" si="39">G82</f>
        <v>111</v>
      </c>
      <c r="AB82" s="30"/>
      <c r="AC82" s="11">
        <f t="shared" ref="AC82:AC94" si="40">H82</f>
        <v>113.99999999999977</v>
      </c>
      <c r="AD82" s="30"/>
      <c r="AE82" s="11">
        <f t="shared" ref="AE82:AE94" si="41">I82</f>
        <v>0</v>
      </c>
      <c r="AF82" s="30"/>
    </row>
    <row r="83" spans="1:32" ht="12.75" x14ac:dyDescent="0.2">
      <c r="A83" s="9" t="s">
        <v>111</v>
      </c>
      <c r="B83" s="10">
        <v>4178</v>
      </c>
      <c r="C83" s="9">
        <v>509.72146118721457</v>
      </c>
      <c r="D83" s="9">
        <v>66.153488372092994</v>
      </c>
      <c r="E83" s="9">
        <v>93.216279069767509</v>
      </c>
      <c r="F83" s="9">
        <v>408.94883720930255</v>
      </c>
      <c r="G83" s="9">
        <v>319.74186046511585</v>
      </c>
      <c r="H83" s="9">
        <v>29.06744186046517</v>
      </c>
      <c r="I83" s="9">
        <v>0</v>
      </c>
      <c r="J83" s="932">
        <f t="shared" si="33"/>
        <v>1426.8493681639586</v>
      </c>
      <c r="K83" s="932"/>
      <c r="L83" s="932">
        <f t="shared" si="31"/>
        <v>364559.26512192114</v>
      </c>
      <c r="M83" s="933"/>
      <c r="N83" s="933">
        <f t="shared" si="32"/>
        <v>278937.81280105922</v>
      </c>
      <c r="O83" s="934">
        <f t="shared" si="34"/>
        <v>643497.0779229803</v>
      </c>
      <c r="P83" s="934"/>
      <c r="Q83" s="934"/>
      <c r="S83" s="9">
        <f t="shared" si="35"/>
        <v>509.72146118721457</v>
      </c>
      <c r="T83" s="9"/>
      <c r="U83" s="9">
        <f t="shared" si="36"/>
        <v>66.153488372092994</v>
      </c>
      <c r="V83" s="9"/>
      <c r="W83" s="9">
        <f t="shared" si="37"/>
        <v>93.216279069767509</v>
      </c>
      <c r="X83" s="9"/>
      <c r="Y83" s="9">
        <f t="shared" si="38"/>
        <v>408.94883720930255</v>
      </c>
      <c r="Z83" s="30"/>
      <c r="AA83" s="11">
        <f t="shared" si="39"/>
        <v>319.74186046511585</v>
      </c>
      <c r="AB83" s="30"/>
      <c r="AC83" s="11">
        <f t="shared" si="40"/>
        <v>29.06744186046517</v>
      </c>
      <c r="AD83" s="30"/>
      <c r="AE83" s="11">
        <f t="shared" si="41"/>
        <v>0</v>
      </c>
      <c r="AF83" s="30"/>
    </row>
    <row r="84" spans="1:32" ht="12.75" x14ac:dyDescent="0.2">
      <c r="A84" s="9" t="s">
        <v>69</v>
      </c>
      <c r="B84" s="10">
        <v>4181</v>
      </c>
      <c r="C84" s="9">
        <v>300.33395176252316</v>
      </c>
      <c r="D84" s="9">
        <v>87.763888888888886</v>
      </c>
      <c r="E84" s="9">
        <v>128.19444444444406</v>
      </c>
      <c r="F84" s="9">
        <v>126.22222222222273</v>
      </c>
      <c r="G84" s="9">
        <v>52.263888888888921</v>
      </c>
      <c r="H84" s="9">
        <v>58.180555555555522</v>
      </c>
      <c r="I84" s="9">
        <v>0</v>
      </c>
      <c r="J84" s="932">
        <f t="shared" si="33"/>
        <v>752.95895176252338</v>
      </c>
      <c r="K84" s="932"/>
      <c r="L84" s="932">
        <f t="shared" si="31"/>
        <v>214802.65808445876</v>
      </c>
      <c r="M84" s="933"/>
      <c r="N84" s="933">
        <f t="shared" si="32"/>
        <v>130339.18755337101</v>
      </c>
      <c r="O84" s="934">
        <f t="shared" si="34"/>
        <v>345141.84563782974</v>
      </c>
      <c r="P84" s="934"/>
      <c r="Q84" s="934"/>
      <c r="S84" s="9">
        <f t="shared" si="35"/>
        <v>300.33395176252316</v>
      </c>
      <c r="T84" s="9"/>
      <c r="U84" s="9">
        <f t="shared" si="36"/>
        <v>87.763888888888886</v>
      </c>
      <c r="V84" s="9"/>
      <c r="W84" s="9">
        <f t="shared" si="37"/>
        <v>128.19444444444406</v>
      </c>
      <c r="X84" s="9"/>
      <c r="Y84" s="9">
        <f t="shared" si="38"/>
        <v>126.22222222222273</v>
      </c>
      <c r="Z84" s="30"/>
      <c r="AA84" s="11">
        <f t="shared" si="39"/>
        <v>52.263888888888921</v>
      </c>
      <c r="AB84" s="30"/>
      <c r="AC84" s="11">
        <f t="shared" si="40"/>
        <v>58.180555555555522</v>
      </c>
      <c r="AD84" s="30"/>
      <c r="AE84" s="11">
        <f t="shared" si="41"/>
        <v>0</v>
      </c>
      <c r="AF84" s="30"/>
    </row>
    <row r="85" spans="1:32" ht="12.75" x14ac:dyDescent="0.2">
      <c r="A85" s="9" t="s">
        <v>70</v>
      </c>
      <c r="B85" s="10">
        <v>4182</v>
      </c>
      <c r="C85" s="9">
        <v>192.86206896551724</v>
      </c>
      <c r="D85" s="9">
        <v>72.050455501051204</v>
      </c>
      <c r="E85" s="9">
        <v>13.009110021023128</v>
      </c>
      <c r="F85" s="9">
        <v>45.031534688157009</v>
      </c>
      <c r="G85" s="9">
        <v>11.007708479327265</v>
      </c>
      <c r="H85" s="9">
        <v>5.0035038542396633</v>
      </c>
      <c r="I85" s="9">
        <v>0</v>
      </c>
      <c r="J85" s="932">
        <f t="shared" si="33"/>
        <v>338.96438150931556</v>
      </c>
      <c r="K85" s="932"/>
      <c r="L85" s="932">
        <f t="shared" si="31"/>
        <v>137937.40206308156</v>
      </c>
      <c r="M85" s="933"/>
      <c r="N85" s="933">
        <f t="shared" si="32"/>
        <v>29578.921167528842</v>
      </c>
      <c r="O85" s="934">
        <f t="shared" si="34"/>
        <v>167516.3232306104</v>
      </c>
      <c r="P85" s="934"/>
      <c r="Q85" s="934"/>
      <c r="S85" s="9">
        <f t="shared" si="35"/>
        <v>192.86206896551724</v>
      </c>
      <c r="T85" s="9"/>
      <c r="U85" s="9">
        <f t="shared" si="36"/>
        <v>72.050455501051204</v>
      </c>
      <c r="V85" s="9"/>
      <c r="W85" s="9">
        <f t="shared" si="37"/>
        <v>13.009110021023128</v>
      </c>
      <c r="X85" s="9"/>
      <c r="Y85" s="9">
        <f t="shared" si="38"/>
        <v>45.031534688157009</v>
      </c>
      <c r="Z85" s="30"/>
      <c r="AA85" s="11">
        <f t="shared" si="39"/>
        <v>11.007708479327265</v>
      </c>
      <c r="AB85" s="30"/>
      <c r="AC85" s="11">
        <f t="shared" si="40"/>
        <v>5.0035038542396633</v>
      </c>
      <c r="AD85" s="30"/>
      <c r="AE85" s="11">
        <f t="shared" si="41"/>
        <v>0</v>
      </c>
      <c r="AF85" s="30"/>
    </row>
    <row r="86" spans="1:32" ht="12.75" x14ac:dyDescent="0.2">
      <c r="A86" s="9" t="s">
        <v>71</v>
      </c>
      <c r="B86" s="936">
        <v>4001</v>
      </c>
      <c r="C86" s="9">
        <v>427.88722826086951</v>
      </c>
      <c r="D86" s="9">
        <v>22.1671732522796</v>
      </c>
      <c r="E86" s="9">
        <v>10.075987841945322</v>
      </c>
      <c r="F86" s="9">
        <v>145.09422492401242</v>
      </c>
      <c r="G86" s="9">
        <v>307.31762917933105</v>
      </c>
      <c r="H86" s="9">
        <v>113.85866261398205</v>
      </c>
      <c r="I86" s="9">
        <v>0</v>
      </c>
      <c r="J86" s="932">
        <f t="shared" si="33"/>
        <v>1026.40090607242</v>
      </c>
      <c r="K86" s="932"/>
      <c r="L86" s="932">
        <f t="shared" si="31"/>
        <v>306030.38201788598</v>
      </c>
      <c r="M86" s="933"/>
      <c r="N86" s="933">
        <f t="shared" si="32"/>
        <v>244136.59338233559</v>
      </c>
      <c r="O86" s="934">
        <f t="shared" si="34"/>
        <v>550166.97540022153</v>
      </c>
      <c r="P86" s="934"/>
      <c r="Q86" s="934"/>
      <c r="S86" s="9">
        <f t="shared" si="35"/>
        <v>427.88722826086951</v>
      </c>
      <c r="T86" s="9"/>
      <c r="U86" s="9">
        <f t="shared" si="36"/>
        <v>22.1671732522796</v>
      </c>
      <c r="V86" s="9"/>
      <c r="W86" s="9">
        <f t="shared" si="37"/>
        <v>10.075987841945322</v>
      </c>
      <c r="X86" s="9"/>
      <c r="Y86" s="9">
        <f t="shared" si="38"/>
        <v>145.09422492401242</v>
      </c>
      <c r="Z86" s="30"/>
      <c r="AA86" s="11">
        <f t="shared" si="39"/>
        <v>307.31762917933105</v>
      </c>
      <c r="AB86" s="30"/>
      <c r="AC86" s="11">
        <f t="shared" si="40"/>
        <v>113.85866261398205</v>
      </c>
      <c r="AD86" s="30"/>
      <c r="AE86" s="11">
        <f t="shared" si="41"/>
        <v>0</v>
      </c>
      <c r="AF86" s="30"/>
    </row>
    <row r="87" spans="1:32" ht="12.75" x14ac:dyDescent="0.2">
      <c r="A87" s="9" t="s">
        <v>112</v>
      </c>
      <c r="B87" s="10">
        <v>5406</v>
      </c>
      <c r="C87" s="9">
        <v>298.47205707491082</v>
      </c>
      <c r="D87" s="9">
        <v>194.47259439707688</v>
      </c>
      <c r="E87" s="9">
        <v>153.37271619975613</v>
      </c>
      <c r="F87" s="9">
        <v>192.46772228989056</v>
      </c>
      <c r="G87" s="9">
        <v>45.109622411693039</v>
      </c>
      <c r="H87" s="9">
        <v>16.038976857490862</v>
      </c>
      <c r="I87" s="9">
        <v>0</v>
      </c>
      <c r="J87" s="932">
        <f t="shared" si="33"/>
        <v>899.93368923081835</v>
      </c>
      <c r="K87" s="932"/>
      <c r="L87" s="932">
        <f t="shared" si="31"/>
        <v>213471.00734825194</v>
      </c>
      <c r="M87" s="933"/>
      <c r="N87" s="933">
        <f t="shared" si="32"/>
        <v>129394.26673657524</v>
      </c>
      <c r="O87" s="934">
        <f t="shared" si="34"/>
        <v>342865.27408482716</v>
      </c>
      <c r="P87" s="934"/>
      <c r="Q87" s="934"/>
      <c r="S87" s="9">
        <f t="shared" si="35"/>
        <v>298.47205707491082</v>
      </c>
      <c r="T87" s="9"/>
      <c r="U87" s="9">
        <f t="shared" si="36"/>
        <v>194.47259439707688</v>
      </c>
      <c r="V87" s="9"/>
      <c r="W87" s="9">
        <f t="shared" si="37"/>
        <v>153.37271619975613</v>
      </c>
      <c r="X87" s="9"/>
      <c r="Y87" s="9">
        <f t="shared" si="38"/>
        <v>192.46772228989056</v>
      </c>
      <c r="Z87" s="30"/>
      <c r="AA87" s="11">
        <f t="shared" si="39"/>
        <v>45.109622411693039</v>
      </c>
      <c r="AB87" s="30"/>
      <c r="AC87" s="11">
        <f t="shared" si="40"/>
        <v>16.038976857490862</v>
      </c>
      <c r="AD87" s="30"/>
      <c r="AE87" s="11">
        <f t="shared" si="41"/>
        <v>0</v>
      </c>
      <c r="AF87" s="30"/>
    </row>
    <row r="88" spans="1:32" ht="12.75" x14ac:dyDescent="0.2">
      <c r="A88" s="9" t="s">
        <v>113</v>
      </c>
      <c r="B88" s="10">
        <v>5407</v>
      </c>
      <c r="C88" s="9">
        <v>482.25719769673702</v>
      </c>
      <c r="D88" s="9">
        <v>161.14623069936385</v>
      </c>
      <c r="E88" s="9">
        <v>94.085376930063617</v>
      </c>
      <c r="F88" s="9">
        <v>293.26612170753828</v>
      </c>
      <c r="G88" s="9">
        <v>341.309718437784</v>
      </c>
      <c r="H88" s="9">
        <v>39.035422343324271</v>
      </c>
      <c r="I88" s="9">
        <v>0</v>
      </c>
      <c r="J88" s="932">
        <f t="shared" si="33"/>
        <v>1411.1000678148112</v>
      </c>
      <c r="K88" s="932"/>
      <c r="L88" s="932">
        <f t="shared" si="31"/>
        <v>344916.47493631061</v>
      </c>
      <c r="M88" s="933"/>
      <c r="N88" s="933">
        <f t="shared" si="32"/>
        <v>271058.92763066443</v>
      </c>
      <c r="O88" s="934">
        <f t="shared" si="34"/>
        <v>615975.40256697498</v>
      </c>
      <c r="P88" s="934"/>
      <c r="Q88" s="934"/>
      <c r="S88" s="9">
        <f t="shared" si="35"/>
        <v>482.25719769673702</v>
      </c>
      <c r="T88" s="9"/>
      <c r="U88" s="9">
        <f t="shared" si="36"/>
        <v>161.14623069936385</v>
      </c>
      <c r="V88" s="9"/>
      <c r="W88" s="9">
        <f t="shared" si="37"/>
        <v>94.085376930063617</v>
      </c>
      <c r="X88" s="9"/>
      <c r="Y88" s="9">
        <f t="shared" si="38"/>
        <v>293.26612170753828</v>
      </c>
      <c r="Z88" s="30"/>
      <c r="AA88" s="11">
        <f t="shared" si="39"/>
        <v>341.309718437784</v>
      </c>
      <c r="AB88" s="30"/>
      <c r="AC88" s="11">
        <f t="shared" si="40"/>
        <v>39.035422343324271</v>
      </c>
      <c r="AD88" s="30"/>
      <c r="AE88" s="11">
        <f t="shared" si="41"/>
        <v>0</v>
      </c>
      <c r="AF88" s="30"/>
    </row>
    <row r="89" spans="1:32" ht="12.75" x14ac:dyDescent="0.2">
      <c r="A89" s="9" t="s">
        <v>72</v>
      </c>
      <c r="B89" s="10">
        <v>4607</v>
      </c>
      <c r="C89" s="9">
        <v>393.2405498281787</v>
      </c>
      <c r="D89" s="9">
        <v>96.383680555555515</v>
      </c>
      <c r="E89" s="9">
        <v>107.20225694444449</v>
      </c>
      <c r="F89" s="9">
        <v>300.953125</v>
      </c>
      <c r="G89" s="9">
        <v>206.53645833333371</v>
      </c>
      <c r="H89" s="9">
        <v>108.18576388888889</v>
      </c>
      <c r="I89" s="9">
        <v>0</v>
      </c>
      <c r="J89" s="932">
        <f t="shared" si="33"/>
        <v>1212.5018345504013</v>
      </c>
      <c r="K89" s="932"/>
      <c r="L89" s="932">
        <f t="shared" si="31"/>
        <v>281250.63741204108</v>
      </c>
      <c r="M89" s="933"/>
      <c r="N89" s="933">
        <f t="shared" si="32"/>
        <v>270973.09085518104</v>
      </c>
      <c r="O89" s="934">
        <f t="shared" si="34"/>
        <v>552223.72826722218</v>
      </c>
      <c r="P89" s="934"/>
      <c r="Q89" s="934"/>
      <c r="S89" s="9">
        <f t="shared" si="35"/>
        <v>393.2405498281787</v>
      </c>
      <c r="T89" s="9"/>
      <c r="U89" s="9">
        <f t="shared" si="36"/>
        <v>96.383680555555515</v>
      </c>
      <c r="V89" s="9"/>
      <c r="W89" s="9">
        <f t="shared" si="37"/>
        <v>107.20225694444449</v>
      </c>
      <c r="X89" s="9"/>
      <c r="Y89" s="9">
        <f t="shared" si="38"/>
        <v>300.953125</v>
      </c>
      <c r="Z89" s="30"/>
      <c r="AA89" s="11">
        <f t="shared" si="39"/>
        <v>206.53645833333371</v>
      </c>
      <c r="AB89" s="30"/>
      <c r="AC89" s="11">
        <f t="shared" si="40"/>
        <v>108.18576388888889</v>
      </c>
      <c r="AD89" s="30"/>
      <c r="AE89" s="11">
        <f t="shared" si="41"/>
        <v>0</v>
      </c>
      <c r="AF89" s="30"/>
    </row>
    <row r="90" spans="1:32" ht="12.75" x14ac:dyDescent="0.2">
      <c r="A90" s="9" t="s">
        <v>966</v>
      </c>
      <c r="B90" s="936">
        <v>4002</v>
      </c>
      <c r="C90" s="9">
        <v>382.01935483870966</v>
      </c>
      <c r="D90" s="9">
        <v>8.0523560209424279</v>
      </c>
      <c r="E90" s="9">
        <v>53.346858638743456</v>
      </c>
      <c r="F90" s="9">
        <v>274.78664921465952</v>
      </c>
      <c r="G90" s="9">
        <v>136.89005235602056</v>
      </c>
      <c r="H90" s="9">
        <v>78.510471204188221</v>
      </c>
      <c r="I90" s="9">
        <v>0</v>
      </c>
      <c r="J90" s="932">
        <f t="shared" si="33"/>
        <v>933.60574227326379</v>
      </c>
      <c r="K90" s="932"/>
      <c r="L90" s="932">
        <f t="shared" si="31"/>
        <v>273225.09618875693</v>
      </c>
      <c r="M90" s="933"/>
      <c r="N90" s="933">
        <f t="shared" si="32"/>
        <v>197248.71834596808</v>
      </c>
      <c r="O90" s="934">
        <f t="shared" si="34"/>
        <v>470473.81453472504</v>
      </c>
      <c r="P90" s="934"/>
      <c r="Q90" s="934"/>
      <c r="S90" s="9">
        <f t="shared" si="35"/>
        <v>382.01935483870966</v>
      </c>
      <c r="T90" s="9"/>
      <c r="U90" s="9">
        <f t="shared" si="36"/>
        <v>8.0523560209424279</v>
      </c>
      <c r="V90" s="9"/>
      <c r="W90" s="9">
        <f t="shared" si="37"/>
        <v>53.346858638743456</v>
      </c>
      <c r="X90" s="9"/>
      <c r="Y90" s="9">
        <f t="shared" si="38"/>
        <v>274.78664921465952</v>
      </c>
      <c r="Z90" s="30"/>
      <c r="AA90" s="11">
        <f t="shared" si="39"/>
        <v>136.89005235602056</v>
      </c>
      <c r="AB90" s="30"/>
      <c r="AC90" s="11">
        <f t="shared" si="40"/>
        <v>78.510471204188221</v>
      </c>
      <c r="AD90" s="30"/>
      <c r="AE90" s="11">
        <f t="shared" si="41"/>
        <v>0</v>
      </c>
      <c r="AF90" s="30"/>
    </row>
    <row r="91" spans="1:32" ht="12.75" x14ac:dyDescent="0.2">
      <c r="A91" s="9" t="s">
        <v>74</v>
      </c>
      <c r="B91" s="10">
        <v>5412</v>
      </c>
      <c r="C91" s="9">
        <v>291.39423076923077</v>
      </c>
      <c r="D91" s="9">
        <v>319.00000000000034</v>
      </c>
      <c r="E91" s="9">
        <v>71.999999999999957</v>
      </c>
      <c r="F91" s="9">
        <v>123.00000000000003</v>
      </c>
      <c r="G91" s="9">
        <v>15.000000000000028</v>
      </c>
      <c r="H91" s="9">
        <v>11.999999999999998</v>
      </c>
      <c r="I91" s="9">
        <v>0</v>
      </c>
      <c r="J91" s="932">
        <f t="shared" si="33"/>
        <v>832.39423076923117</v>
      </c>
      <c r="K91" s="932"/>
      <c r="L91" s="932">
        <f t="shared" si="31"/>
        <v>208408.85604967907</v>
      </c>
      <c r="M91" s="933"/>
      <c r="N91" s="933">
        <f t="shared" si="32"/>
        <v>92117.401528051865</v>
      </c>
      <c r="O91" s="934">
        <f t="shared" si="34"/>
        <v>300526.25757773092</v>
      </c>
      <c r="P91" s="934"/>
      <c r="Q91" s="934"/>
      <c r="S91" s="9">
        <f t="shared" si="35"/>
        <v>291.39423076923077</v>
      </c>
      <c r="T91" s="9"/>
      <c r="U91" s="9">
        <f t="shared" si="36"/>
        <v>319.00000000000034</v>
      </c>
      <c r="V91" s="9"/>
      <c r="W91" s="9">
        <f t="shared" si="37"/>
        <v>71.999999999999957</v>
      </c>
      <c r="X91" s="9"/>
      <c r="Y91" s="9">
        <f t="shared" si="38"/>
        <v>123.00000000000003</v>
      </c>
      <c r="Z91" s="30"/>
      <c r="AA91" s="11">
        <f t="shared" si="39"/>
        <v>15.000000000000028</v>
      </c>
      <c r="AB91" s="30"/>
      <c r="AC91" s="11">
        <f t="shared" si="40"/>
        <v>11.999999999999998</v>
      </c>
      <c r="AD91" s="30"/>
      <c r="AE91" s="11">
        <f t="shared" si="41"/>
        <v>0</v>
      </c>
      <c r="AF91" s="30"/>
    </row>
    <row r="92" spans="1:32" ht="12.75" x14ac:dyDescent="0.2">
      <c r="A92" s="9" t="s">
        <v>73</v>
      </c>
      <c r="B92" s="10">
        <v>5414</v>
      </c>
      <c r="C92" s="9">
        <v>212.30432715168808</v>
      </c>
      <c r="D92" s="9">
        <v>86.850746268656749</v>
      </c>
      <c r="E92" s="9">
        <v>78.955223880597018</v>
      </c>
      <c r="F92" s="9">
        <v>115.47201492537302</v>
      </c>
      <c r="G92" s="9">
        <v>39.477611940298509</v>
      </c>
      <c r="H92" s="9">
        <v>17.764925373134325</v>
      </c>
      <c r="I92" s="9">
        <v>0</v>
      </c>
      <c r="J92" s="932">
        <f t="shared" si="33"/>
        <v>550.82484953974767</v>
      </c>
      <c r="K92" s="932"/>
      <c r="L92" s="932">
        <f t="shared" si="31"/>
        <v>151842.75213437827</v>
      </c>
      <c r="M92" s="933"/>
      <c r="N92" s="933">
        <f t="shared" si="32"/>
        <v>83121.498287461814</v>
      </c>
      <c r="O92" s="934">
        <f t="shared" si="34"/>
        <v>234964.25042184009</v>
      </c>
      <c r="P92" s="934"/>
      <c r="Q92" s="934"/>
      <c r="S92" s="9">
        <f t="shared" si="35"/>
        <v>212.30432715168808</v>
      </c>
      <c r="T92" s="9"/>
      <c r="U92" s="9">
        <f t="shared" si="36"/>
        <v>86.850746268656749</v>
      </c>
      <c r="V92" s="9"/>
      <c r="W92" s="9">
        <f t="shared" si="37"/>
        <v>78.955223880597018</v>
      </c>
      <c r="X92" s="9"/>
      <c r="Y92" s="9">
        <f t="shared" si="38"/>
        <v>115.47201492537302</v>
      </c>
      <c r="Z92" s="30"/>
      <c r="AA92" s="11">
        <f t="shared" si="39"/>
        <v>39.477611940298509</v>
      </c>
      <c r="AB92" s="30"/>
      <c r="AC92" s="11">
        <f t="shared" si="40"/>
        <v>17.764925373134325</v>
      </c>
      <c r="AD92" s="30"/>
      <c r="AE92" s="11">
        <f t="shared" si="41"/>
        <v>0</v>
      </c>
      <c r="AF92" s="30"/>
    </row>
    <row r="93" spans="1:32" ht="12.75" x14ac:dyDescent="0.2">
      <c r="A93" s="9" t="s">
        <v>1306</v>
      </c>
      <c r="B93" s="10">
        <v>4003</v>
      </c>
      <c r="C93" s="9">
        <v>0</v>
      </c>
      <c r="D93" s="9">
        <v>29.230769230769198</v>
      </c>
      <c r="E93" s="9">
        <v>26.153846153846199</v>
      </c>
      <c r="F93" s="9">
        <v>35.384615384615401</v>
      </c>
      <c r="G93" s="9">
        <v>23.076923076923002</v>
      </c>
      <c r="H93" s="9">
        <v>4.6153846153846194</v>
      </c>
      <c r="I93" s="9">
        <v>0</v>
      </c>
      <c r="J93" s="932">
        <f t="shared" ref="J93" si="42">SUM(C93:I93)</f>
        <v>118.46153846153842</v>
      </c>
      <c r="K93" s="932"/>
      <c r="L93" s="932">
        <f t="shared" si="31"/>
        <v>0</v>
      </c>
      <c r="M93" s="933"/>
      <c r="N93" s="933">
        <f t="shared" si="32"/>
        <v>29557.33028445028</v>
      </c>
      <c r="O93" s="934">
        <f t="shared" si="34"/>
        <v>29557.33028445028</v>
      </c>
      <c r="P93" s="934"/>
      <c r="Q93" s="934"/>
      <c r="S93" s="9">
        <f t="shared" si="35"/>
        <v>0</v>
      </c>
      <c r="T93" s="9"/>
      <c r="U93" s="9">
        <f t="shared" si="36"/>
        <v>29.230769230769198</v>
      </c>
      <c r="V93" s="9"/>
      <c r="W93" s="9">
        <f t="shared" si="37"/>
        <v>26.153846153846199</v>
      </c>
      <c r="X93" s="9"/>
      <c r="Y93" s="9">
        <f t="shared" si="38"/>
        <v>35.384615384615401</v>
      </c>
      <c r="Z93" s="30"/>
      <c r="AA93" s="11">
        <f t="shared" si="39"/>
        <v>23.076923076923002</v>
      </c>
      <c r="AB93" s="30"/>
      <c r="AC93" s="11">
        <f t="shared" si="40"/>
        <v>4.6153846153846194</v>
      </c>
      <c r="AD93" s="30"/>
      <c r="AE93" s="11">
        <f t="shared" si="41"/>
        <v>0</v>
      </c>
      <c r="AF93" s="30"/>
    </row>
    <row r="94" spans="1:32" ht="12.75" x14ac:dyDescent="0.2">
      <c r="A94" s="9" t="s">
        <v>846</v>
      </c>
      <c r="B94" s="10">
        <v>4000</v>
      </c>
      <c r="C94" s="9">
        <v>0</v>
      </c>
      <c r="D94" s="9">
        <v>0</v>
      </c>
      <c r="E94" s="9">
        <v>0</v>
      </c>
      <c r="F94" s="9">
        <v>0</v>
      </c>
      <c r="G94" s="9">
        <v>0</v>
      </c>
      <c r="H94" s="9">
        <v>0</v>
      </c>
      <c r="I94" s="9">
        <v>0</v>
      </c>
      <c r="J94" s="932">
        <f t="shared" si="33"/>
        <v>0</v>
      </c>
      <c r="K94" s="932"/>
      <c r="L94" s="932">
        <f t="shared" si="31"/>
        <v>0</v>
      </c>
      <c r="M94" s="933"/>
      <c r="N94" s="933">
        <f t="shared" si="32"/>
        <v>0</v>
      </c>
      <c r="O94" s="934">
        <f t="shared" si="34"/>
        <v>0</v>
      </c>
      <c r="S94" s="9">
        <f t="shared" si="35"/>
        <v>0</v>
      </c>
      <c r="T94" s="9"/>
      <c r="U94" s="9">
        <f t="shared" si="36"/>
        <v>0</v>
      </c>
      <c r="V94" s="9"/>
      <c r="W94" s="9">
        <f t="shared" si="37"/>
        <v>0</v>
      </c>
      <c r="X94" s="9"/>
      <c r="Y94" s="9">
        <f t="shared" si="38"/>
        <v>0</v>
      </c>
      <c r="Z94" s="30"/>
      <c r="AA94" s="11">
        <f t="shared" si="39"/>
        <v>0</v>
      </c>
      <c r="AB94" s="30"/>
      <c r="AC94" s="11">
        <f t="shared" si="40"/>
        <v>0</v>
      </c>
      <c r="AD94" s="30"/>
      <c r="AE94" s="11">
        <f t="shared" si="41"/>
        <v>0</v>
      </c>
      <c r="AF94" s="30"/>
    </row>
    <row r="95" spans="1:32" ht="12.75" x14ac:dyDescent="0.2">
      <c r="A95" s="9" t="s">
        <v>569</v>
      </c>
      <c r="B95" s="10">
        <v>6905</v>
      </c>
      <c r="C95" s="9">
        <v>254.10165484633569</v>
      </c>
      <c r="D95" s="9">
        <v>96.000000000000298</v>
      </c>
      <c r="E95" s="9">
        <v>62</v>
      </c>
      <c r="F95" s="9">
        <v>191.00000000000014</v>
      </c>
      <c r="G95" s="9">
        <v>140.00000000000023</v>
      </c>
      <c r="H95" s="9">
        <v>45.999999999999957</v>
      </c>
      <c r="I95" s="9">
        <v>0</v>
      </c>
      <c r="J95" s="932">
        <f t="shared" si="33"/>
        <v>789.10165484633637</v>
      </c>
      <c r="K95" s="932"/>
      <c r="L95" s="932">
        <f t="shared" si="31"/>
        <v>181736.73194235083</v>
      </c>
      <c r="M95" s="933"/>
      <c r="N95" s="933">
        <f t="shared" si="32"/>
        <v>160505.23202765931</v>
      </c>
      <c r="O95" s="934">
        <f t="shared" si="34"/>
        <v>342241.96397001017</v>
      </c>
      <c r="P95" s="935"/>
      <c r="Q95" s="935"/>
      <c r="S95" s="9">
        <f t="shared" ref="S95" si="43">C95</f>
        <v>254.10165484633569</v>
      </c>
      <c r="T95" s="9"/>
      <c r="U95" s="9">
        <f t="shared" ref="U95" si="44">D95</f>
        <v>96.000000000000298</v>
      </c>
      <c r="V95" s="9"/>
      <c r="W95" s="9">
        <f t="shared" ref="W95" si="45">E95</f>
        <v>62</v>
      </c>
      <c r="X95" s="9"/>
      <c r="Y95" s="9">
        <f t="shared" ref="Y95" si="46">F95</f>
        <v>191.00000000000014</v>
      </c>
      <c r="Z95" s="30"/>
      <c r="AA95" s="11">
        <f t="shared" ref="AA95" si="47">G95</f>
        <v>140.00000000000023</v>
      </c>
      <c r="AB95" s="30"/>
      <c r="AC95" s="11">
        <f t="shared" ref="AC95" si="48">H95</f>
        <v>45.999999999999957</v>
      </c>
      <c r="AD95" s="30"/>
      <c r="AE95" s="11">
        <f t="shared" ref="AE95" si="49">I95</f>
        <v>0</v>
      </c>
      <c r="AF95" s="30"/>
    </row>
    <row r="96" spans="1:32" ht="12.75" x14ac:dyDescent="0.2">
      <c r="A96" s="9"/>
      <c r="B96" s="10"/>
      <c r="C96" s="30"/>
      <c r="D96" s="30"/>
      <c r="E96" s="30"/>
      <c r="F96" s="30"/>
      <c r="G96" s="30"/>
      <c r="H96" s="30"/>
      <c r="I96" s="30"/>
      <c r="J96" s="932"/>
      <c r="K96" s="932"/>
      <c r="L96" s="932"/>
      <c r="M96" s="933"/>
      <c r="N96" s="933"/>
      <c r="P96" s="935"/>
      <c r="Q96" s="935"/>
      <c r="S96" s="11"/>
      <c r="T96" s="9"/>
      <c r="U96" s="9"/>
      <c r="V96" s="9"/>
      <c r="W96" s="9"/>
      <c r="X96" s="9"/>
      <c r="Y96" s="9"/>
      <c r="Z96" s="30"/>
      <c r="AA96" s="11"/>
      <c r="AB96" s="30"/>
      <c r="AC96" s="11"/>
      <c r="AD96" s="30"/>
      <c r="AE96" s="11"/>
      <c r="AF96" s="30"/>
    </row>
    <row r="97" spans="1:32" ht="12.75" x14ac:dyDescent="0.2">
      <c r="A97" s="1" t="s">
        <v>115</v>
      </c>
      <c r="B97" s="1" t="s">
        <v>115</v>
      </c>
      <c r="C97" s="29">
        <f t="shared" ref="C97:O97" si="50">SUM(C81:C95)</f>
        <v>4273.2505795010939</v>
      </c>
      <c r="D97" s="29">
        <f t="shared" si="50"/>
        <v>1293.2805017277115</v>
      </c>
      <c r="E97" s="29">
        <f t="shared" si="50"/>
        <v>1149.8279055957553</v>
      </c>
      <c r="F97" s="29">
        <f t="shared" si="50"/>
        <v>2346.6665812435826</v>
      </c>
      <c r="G97" s="29">
        <f t="shared" si="50"/>
        <v>1766.7588291918164</v>
      </c>
      <c r="H97" s="29">
        <f t="shared" si="50"/>
        <v>644.26414768033123</v>
      </c>
      <c r="I97" s="29">
        <f t="shared" si="50"/>
        <v>0</v>
      </c>
      <c r="J97" s="935">
        <f t="shared" si="50"/>
        <v>11474.048544940291</v>
      </c>
      <c r="K97" s="935">
        <f t="shared" si="50"/>
        <v>0</v>
      </c>
      <c r="L97" s="935">
        <f t="shared" si="50"/>
        <v>3056283.1066917977</v>
      </c>
      <c r="M97" s="935">
        <f t="shared" si="50"/>
        <v>0</v>
      </c>
      <c r="N97" s="935">
        <f t="shared" si="50"/>
        <v>2131496.142490583</v>
      </c>
      <c r="O97" s="935">
        <f t="shared" si="50"/>
        <v>5187779.2491823807</v>
      </c>
      <c r="P97" s="935"/>
      <c r="Q97" s="935"/>
      <c r="R97" s="935">
        <f t="shared" ref="R97:AE97" si="51">SUM(R81:R95)</f>
        <v>0</v>
      </c>
      <c r="S97" s="935">
        <f t="shared" si="51"/>
        <v>4273.2505795010939</v>
      </c>
      <c r="T97" s="935">
        <f t="shared" si="51"/>
        <v>0</v>
      </c>
      <c r="U97" s="935">
        <f t="shared" si="51"/>
        <v>1293.2805017277115</v>
      </c>
      <c r="V97" s="935">
        <f t="shared" si="51"/>
        <v>0</v>
      </c>
      <c r="W97" s="935">
        <f t="shared" si="51"/>
        <v>1149.8279055957553</v>
      </c>
      <c r="X97" s="935">
        <f t="shared" si="51"/>
        <v>0</v>
      </c>
      <c r="Y97" s="935">
        <f t="shared" si="51"/>
        <v>2346.6665812435826</v>
      </c>
      <c r="Z97" s="935">
        <f t="shared" si="51"/>
        <v>0</v>
      </c>
      <c r="AA97" s="935">
        <f t="shared" si="51"/>
        <v>1766.7588291918164</v>
      </c>
      <c r="AB97" s="935">
        <f t="shared" si="51"/>
        <v>0</v>
      </c>
      <c r="AC97" s="935">
        <f t="shared" si="51"/>
        <v>644.26414768033123</v>
      </c>
      <c r="AD97" s="935">
        <f t="shared" si="51"/>
        <v>0</v>
      </c>
      <c r="AE97" s="935">
        <f t="shared" si="51"/>
        <v>0</v>
      </c>
      <c r="AF97" s="30"/>
    </row>
    <row r="98" spans="1:32" ht="12.75" x14ac:dyDescent="0.2">
      <c r="A98" s="1"/>
      <c r="B98" s="1"/>
      <c r="C98" s="29"/>
      <c r="D98" s="29"/>
      <c r="E98" s="29"/>
      <c r="F98" s="29"/>
      <c r="G98" s="29"/>
      <c r="H98" s="29"/>
      <c r="I98" s="29"/>
      <c r="J98" s="935"/>
      <c r="K98" s="935"/>
      <c r="L98" s="935"/>
      <c r="M98" s="935"/>
      <c r="N98" s="935"/>
      <c r="O98" s="935"/>
      <c r="P98" s="935"/>
      <c r="Q98" s="935"/>
      <c r="S98" s="29"/>
      <c r="T98" s="11"/>
      <c r="U98" s="11"/>
      <c r="V98" s="11"/>
      <c r="W98" s="11"/>
      <c r="X98" s="11"/>
      <c r="Y98" s="11"/>
      <c r="Z98" s="11"/>
      <c r="AA98" s="30"/>
      <c r="AB98" s="30"/>
      <c r="AC98" s="30"/>
      <c r="AD98" s="30"/>
      <c r="AE98" s="30"/>
      <c r="AF98" s="30"/>
    </row>
    <row r="99" spans="1:32" ht="12.75" x14ac:dyDescent="0.2">
      <c r="A99" s="9" t="s">
        <v>967</v>
      </c>
      <c r="B99" s="10">
        <v>4177</v>
      </c>
      <c r="C99" s="9">
        <v>42.916666666666671</v>
      </c>
      <c r="D99" s="9">
        <v>15.862</v>
      </c>
      <c r="E99" s="9">
        <v>19.261000000000003</v>
      </c>
      <c r="F99" s="9">
        <v>49.851999999999997</v>
      </c>
      <c r="G99" s="9">
        <v>19.261000000000003</v>
      </c>
      <c r="H99" s="9">
        <v>9.0640000000000001</v>
      </c>
      <c r="I99" s="9">
        <v>0</v>
      </c>
      <c r="J99" s="932">
        <f>SUM(C99:I99)</f>
        <v>156.21666666666667</v>
      </c>
      <c r="K99" s="932">
        <f>C$2*C99</f>
        <v>40078.232223326951</v>
      </c>
      <c r="L99" s="932"/>
      <c r="M99" s="933">
        <f>D$2*D99+E$2*E99+F$2*F99+G$2*G99+H$2*H99+I$2*I99</f>
        <v>41508.405378689378</v>
      </c>
      <c r="N99" s="933"/>
      <c r="O99" s="934">
        <f t="shared" ref="O99:O100" si="52">K99+L99+M99+N99</f>
        <v>81586.63760201633</v>
      </c>
      <c r="R99" s="9">
        <f>C99</f>
        <v>42.916666666666671</v>
      </c>
      <c r="S99" s="9"/>
      <c r="T99" s="9">
        <f>D99</f>
        <v>15.862</v>
      </c>
      <c r="U99" s="9"/>
      <c r="V99" s="9">
        <f>E99</f>
        <v>19.261000000000003</v>
      </c>
      <c r="W99" s="9"/>
      <c r="X99" s="9">
        <f>F99</f>
        <v>49.851999999999997</v>
      </c>
      <c r="Y99" s="9"/>
      <c r="Z99" s="9">
        <f>G99</f>
        <v>19.261000000000003</v>
      </c>
      <c r="AA99" s="11"/>
      <c r="AB99" s="11">
        <f>H99</f>
        <v>9.0640000000000001</v>
      </c>
      <c r="AC99" s="11"/>
      <c r="AD99" s="11">
        <f>I99</f>
        <v>0</v>
      </c>
      <c r="AE99" s="11"/>
      <c r="AF99" s="30"/>
    </row>
    <row r="100" spans="1:32" ht="12.75" x14ac:dyDescent="0.2">
      <c r="A100" s="9" t="s">
        <v>968</v>
      </c>
      <c r="B100" s="10">
        <v>4177</v>
      </c>
      <c r="C100" s="9">
        <v>378.67889908256882</v>
      </c>
      <c r="D100" s="9">
        <v>48.485407066052197</v>
      </c>
      <c r="E100" s="9">
        <v>27.039938556067586</v>
      </c>
      <c r="F100" s="9">
        <v>268.53456221198138</v>
      </c>
      <c r="G100" s="9">
        <v>197.6712749615975</v>
      </c>
      <c r="H100" s="9">
        <v>32.634408602150565</v>
      </c>
      <c r="I100" s="9">
        <v>0</v>
      </c>
      <c r="J100" s="932">
        <f>SUM(C100:I100)</f>
        <v>953.04449048041806</v>
      </c>
      <c r="K100" s="935"/>
      <c r="L100" s="932">
        <f>C$3*C100</f>
        <v>270835.9597910181</v>
      </c>
      <c r="M100" s="933"/>
      <c r="N100" s="933">
        <f>D$3*D100+E$3*E100+F$3*F100+G$3*G100+H$3*H100+I$3*I100</f>
        <v>182782.99102266494</v>
      </c>
      <c r="O100" s="934">
        <f t="shared" si="52"/>
        <v>453618.95081368304</v>
      </c>
      <c r="S100" s="9">
        <f>C100</f>
        <v>378.67889908256882</v>
      </c>
      <c r="T100" s="9"/>
      <c r="U100" s="9">
        <f>D100</f>
        <v>48.485407066052197</v>
      </c>
      <c r="V100" s="9"/>
      <c r="W100" s="9">
        <f>E100</f>
        <v>27.039938556067586</v>
      </c>
      <c r="X100" s="9"/>
      <c r="Y100" s="9">
        <f>F100</f>
        <v>268.53456221198138</v>
      </c>
      <c r="Z100" s="30"/>
      <c r="AA100" s="11">
        <f>G100</f>
        <v>197.6712749615975</v>
      </c>
      <c r="AB100" s="30"/>
      <c r="AC100" s="11">
        <f>H100</f>
        <v>32.634408602150565</v>
      </c>
      <c r="AD100" s="30"/>
      <c r="AE100" s="11">
        <f>I100</f>
        <v>0</v>
      </c>
      <c r="AF100" s="30"/>
    </row>
    <row r="101" spans="1:32" ht="12.75" x14ac:dyDescent="0.2">
      <c r="A101" s="1" t="s">
        <v>848</v>
      </c>
      <c r="B101" s="1" t="s">
        <v>849</v>
      </c>
      <c r="C101" s="29">
        <f>C100+C99</f>
        <v>421.5955657492355</v>
      </c>
      <c r="D101" s="29">
        <f t="shared" ref="D101:O101" si="53">D100+D99</f>
        <v>64.347407066052199</v>
      </c>
      <c r="E101" s="29">
        <f t="shared" si="53"/>
        <v>46.300938556067592</v>
      </c>
      <c r="F101" s="29">
        <f t="shared" si="53"/>
        <v>318.38656221198136</v>
      </c>
      <c r="G101" s="29">
        <f t="shared" si="53"/>
        <v>216.9322749615975</v>
      </c>
      <c r="H101" s="29">
        <f t="shared" si="53"/>
        <v>41.698408602150565</v>
      </c>
      <c r="I101" s="29">
        <f t="shared" si="53"/>
        <v>0</v>
      </c>
      <c r="J101" s="935">
        <f t="shared" si="53"/>
        <v>1109.2611571470848</v>
      </c>
      <c r="K101" s="935">
        <f t="shared" si="53"/>
        <v>40078.232223326951</v>
      </c>
      <c r="L101" s="935">
        <f t="shared" si="53"/>
        <v>270835.9597910181</v>
      </c>
      <c r="M101" s="935">
        <f t="shared" si="53"/>
        <v>41508.405378689378</v>
      </c>
      <c r="N101" s="935">
        <f t="shared" si="53"/>
        <v>182782.99102266494</v>
      </c>
      <c r="O101" s="935">
        <f t="shared" si="53"/>
        <v>535205.58841569931</v>
      </c>
      <c r="P101" s="935">
        <f>O101</f>
        <v>535205.58841569931</v>
      </c>
      <c r="Q101" s="935"/>
      <c r="R101" s="29">
        <f>SUM(R99:R100)</f>
        <v>42.916666666666671</v>
      </c>
      <c r="S101" s="29">
        <f>SUM(S99:S100)</f>
        <v>378.67889908256882</v>
      </c>
      <c r="T101" s="29">
        <f t="shared" ref="T101:AE101" si="54">SUM(T99:T100)</f>
        <v>15.862</v>
      </c>
      <c r="U101" s="29">
        <f t="shared" si="54"/>
        <v>48.485407066052197</v>
      </c>
      <c r="V101" s="29">
        <f t="shared" si="54"/>
        <v>19.261000000000003</v>
      </c>
      <c r="W101" s="29">
        <f t="shared" si="54"/>
        <v>27.039938556067586</v>
      </c>
      <c r="X101" s="29">
        <f t="shared" si="54"/>
        <v>49.851999999999997</v>
      </c>
      <c r="Y101" s="29">
        <f t="shared" si="54"/>
        <v>268.53456221198138</v>
      </c>
      <c r="Z101" s="29">
        <f t="shared" si="54"/>
        <v>19.261000000000003</v>
      </c>
      <c r="AA101" s="29">
        <f t="shared" si="54"/>
        <v>197.6712749615975</v>
      </c>
      <c r="AB101" s="29">
        <f t="shared" si="54"/>
        <v>9.0640000000000001</v>
      </c>
      <c r="AC101" s="29">
        <f t="shared" si="54"/>
        <v>32.634408602150565</v>
      </c>
      <c r="AD101" s="29">
        <f t="shared" si="54"/>
        <v>0</v>
      </c>
      <c r="AE101" s="29">
        <f t="shared" si="54"/>
        <v>0</v>
      </c>
      <c r="AF101" s="30"/>
    </row>
    <row r="102" spans="1:32" ht="12.75" x14ac:dyDescent="0.2">
      <c r="A102" s="1"/>
      <c r="B102" s="10"/>
      <c r="C102" s="11"/>
      <c r="D102" s="11"/>
      <c r="E102" s="11"/>
      <c r="F102" s="11"/>
      <c r="G102" s="11"/>
      <c r="H102" s="11"/>
      <c r="I102" s="11"/>
      <c r="J102" s="937"/>
      <c r="K102" s="932"/>
      <c r="L102" s="932"/>
      <c r="M102" s="933"/>
      <c r="N102" s="933"/>
      <c r="S102" s="30"/>
      <c r="T102" s="30"/>
      <c r="U102" s="30"/>
      <c r="V102" s="30"/>
      <c r="W102" s="30"/>
      <c r="X102" s="30"/>
      <c r="Y102" s="30"/>
      <c r="Z102" s="30"/>
      <c r="AA102" s="30"/>
      <c r="AB102" s="30"/>
      <c r="AC102" s="30"/>
      <c r="AD102" s="30"/>
      <c r="AE102" s="30"/>
      <c r="AF102" s="30"/>
    </row>
    <row r="103" spans="1:32" ht="12.75" x14ac:dyDescent="0.2">
      <c r="A103" s="1" t="s">
        <v>116</v>
      </c>
      <c r="B103" s="1" t="s">
        <v>117</v>
      </c>
      <c r="C103" s="29">
        <f>C97+C79+C101</f>
        <v>11490.191635910758</v>
      </c>
      <c r="D103" s="29">
        <f t="shared" ref="D103:O103" si="55">D97+D79+D101</f>
        <v>3447.9812172691968</v>
      </c>
      <c r="E103" s="29">
        <f t="shared" si="55"/>
        <v>3072.2680550686432</v>
      </c>
      <c r="F103" s="29">
        <f t="shared" si="55"/>
        <v>7529.5718000091656</v>
      </c>
      <c r="G103" s="29">
        <f t="shared" si="55"/>
        <v>5767.2215316837819</v>
      </c>
      <c r="H103" s="29">
        <f t="shared" si="55"/>
        <v>1918.826347864001</v>
      </c>
      <c r="I103" s="29">
        <f t="shared" si="55"/>
        <v>0</v>
      </c>
      <c r="J103" s="935">
        <f t="shared" si="55"/>
        <v>33226.060587805565</v>
      </c>
      <c r="K103" s="935">
        <f t="shared" si="55"/>
        <v>6385991.2717361758</v>
      </c>
      <c r="L103" s="935">
        <f t="shared" si="55"/>
        <v>3327119.0664828159</v>
      </c>
      <c r="M103" s="935">
        <f t="shared" si="55"/>
        <v>5376343.3131046761</v>
      </c>
      <c r="N103" s="935">
        <f>N97+N79+N101</f>
        <v>2314279.1335132481</v>
      </c>
      <c r="O103" s="935">
        <f t="shared" si="55"/>
        <v>17403732.784836918</v>
      </c>
      <c r="R103" s="1039">
        <f>R101+R97+R79</f>
        <v>6838.2621573270962</v>
      </c>
      <c r="S103" s="1039">
        <f t="shared" ref="S103:AE103" si="56">S101+S97+S79</f>
        <v>4651.9294785836628</v>
      </c>
      <c r="T103" s="1039">
        <f t="shared" si="56"/>
        <v>2106.2153084754332</v>
      </c>
      <c r="U103" s="1039">
        <f t="shared" si="56"/>
        <v>1341.7659087937636</v>
      </c>
      <c r="V103" s="1039">
        <f t="shared" si="56"/>
        <v>1895.4002109168202</v>
      </c>
      <c r="W103" s="1039">
        <f t="shared" si="56"/>
        <v>1176.867844151823</v>
      </c>
      <c r="X103" s="1039">
        <f t="shared" si="56"/>
        <v>4914.3706565536022</v>
      </c>
      <c r="Y103" s="1039">
        <f t="shared" si="56"/>
        <v>2615.2011434555639</v>
      </c>
      <c r="Z103" s="1039">
        <f t="shared" si="56"/>
        <v>3802.7914275303679</v>
      </c>
      <c r="AA103" s="1039">
        <f t="shared" si="56"/>
        <v>1964.4301041534138</v>
      </c>
      <c r="AB103" s="1039">
        <f t="shared" si="56"/>
        <v>1241.9277915815194</v>
      </c>
      <c r="AC103" s="1039">
        <f t="shared" si="56"/>
        <v>676.89855628248176</v>
      </c>
      <c r="AD103" s="1039">
        <f t="shared" si="56"/>
        <v>0</v>
      </c>
      <c r="AE103" s="1039">
        <f t="shared" si="56"/>
        <v>0</v>
      </c>
      <c r="AF103" s="30"/>
    </row>
    <row r="104" spans="1:32" ht="12.75" x14ac:dyDescent="0.2">
      <c r="A104" s="1"/>
      <c r="C104" s="927">
        <f>C103-C95-C94-C92-C91-C90-C89-C86-C84-C81-C69-C66-C44-C35-C18-C16</f>
        <v>8348.3720540251434</v>
      </c>
      <c r="D104" s="927">
        <f t="shared" ref="D104:I104" si="57">D103-D95-D94-D92-D91-D90-D89-D86-D84-D81-D69-D66-D44-D35-D18-D16</f>
        <v>2632.1058170302113</v>
      </c>
      <c r="E104" s="927">
        <f t="shared" si="57"/>
        <v>2227.572015970512</v>
      </c>
      <c r="F104" s="927">
        <f t="shared" si="57"/>
        <v>5774.2030186065467</v>
      </c>
      <c r="G104" s="927">
        <f t="shared" si="57"/>
        <v>4365.8719121467266</v>
      </c>
      <c r="H104" s="927">
        <f t="shared" si="57"/>
        <v>1391.7637821573992</v>
      </c>
      <c r="I104" s="927">
        <f t="shared" si="57"/>
        <v>0</v>
      </c>
      <c r="S104" s="30"/>
      <c r="T104" s="30"/>
      <c r="U104" s="30"/>
      <c r="V104" s="30"/>
      <c r="W104" s="30"/>
      <c r="X104" s="30"/>
      <c r="Y104" s="30"/>
      <c r="Z104" s="30"/>
      <c r="AA104" s="30"/>
      <c r="AB104" s="30"/>
      <c r="AC104" s="30"/>
      <c r="AD104" s="30"/>
      <c r="AE104" s="30"/>
      <c r="AF104" s="30"/>
    </row>
    <row r="105" spans="1:32" ht="12.75" x14ac:dyDescent="0.2">
      <c r="B105" s="1" t="s">
        <v>969</v>
      </c>
      <c r="C105" s="23">
        <v>11490.19163591076</v>
      </c>
      <c r="D105" s="23">
        <v>3447.9812172691968</v>
      </c>
      <c r="E105" s="23">
        <v>3072.2680550686432</v>
      </c>
      <c r="F105" s="23">
        <v>7529.5718000091665</v>
      </c>
      <c r="G105" s="23">
        <v>5767.2215316837819</v>
      </c>
      <c r="H105" s="23">
        <v>1918.826347864001</v>
      </c>
      <c r="I105" s="23">
        <v>0</v>
      </c>
      <c r="K105" s="925">
        <f>K103+L103</f>
        <v>9713110.3382189907</v>
      </c>
      <c r="M105" s="925">
        <f>M103+N103</f>
        <v>7690622.4466179237</v>
      </c>
      <c r="O105" s="925">
        <v>17403732.784836918</v>
      </c>
      <c r="S105" s="30"/>
      <c r="T105" s="30"/>
      <c r="U105" s="30" t="s">
        <v>692</v>
      </c>
      <c r="V105" s="30"/>
      <c r="W105" s="30"/>
      <c r="X105" s="30"/>
      <c r="Y105" s="30"/>
      <c r="Z105" s="30"/>
      <c r="AA105" s="30"/>
      <c r="AB105" s="30"/>
      <c r="AC105" s="30"/>
      <c r="AD105" s="30"/>
      <c r="AE105" s="30"/>
      <c r="AF105" s="30"/>
    </row>
    <row r="106" spans="1:32" ht="12.75" x14ac:dyDescent="0.2">
      <c r="B106" s="1" t="s">
        <v>855</v>
      </c>
      <c r="C106" s="23">
        <f t="shared" ref="C106:I106" si="58">C105-C103</f>
        <v>0</v>
      </c>
      <c r="D106" s="23">
        <f t="shared" si="58"/>
        <v>0</v>
      </c>
      <c r="E106" s="23">
        <f t="shared" si="58"/>
        <v>0</v>
      </c>
      <c r="F106" s="23">
        <f t="shared" si="58"/>
        <v>0</v>
      </c>
      <c r="G106" s="23">
        <f t="shared" si="58"/>
        <v>0</v>
      </c>
      <c r="H106" s="23">
        <f t="shared" si="58"/>
        <v>0</v>
      </c>
      <c r="I106" s="23">
        <f t="shared" si="58"/>
        <v>0</v>
      </c>
      <c r="O106" s="925">
        <f>O105-O103</f>
        <v>0</v>
      </c>
      <c r="Q106" t="s">
        <v>593</v>
      </c>
      <c r="R106" t="s">
        <v>981</v>
      </c>
      <c r="S106" t="s">
        <v>981</v>
      </c>
      <c r="T106" s="30"/>
      <c r="U106" t="s">
        <v>981</v>
      </c>
      <c r="V106" t="s">
        <v>981</v>
      </c>
      <c r="W106" s="30"/>
      <c r="X106" s="30"/>
      <c r="Y106" s="30"/>
      <c r="Z106" s="30"/>
      <c r="AA106" s="30"/>
      <c r="AB106" s="30"/>
      <c r="AC106" s="30"/>
      <c r="AD106" s="30"/>
      <c r="AE106" s="30"/>
      <c r="AF106" s="30"/>
    </row>
    <row r="107" spans="1:32" ht="12.75" x14ac:dyDescent="0.2">
      <c r="C107" s="23" t="s">
        <v>970</v>
      </c>
      <c r="D107" s="23" t="s">
        <v>971</v>
      </c>
      <c r="Q107" t="s">
        <v>1243</v>
      </c>
      <c r="R107" t="s">
        <v>0</v>
      </c>
      <c r="S107" s="30" t="s">
        <v>1</v>
      </c>
      <c r="T107" s="30"/>
      <c r="U107" t="s">
        <v>0</v>
      </c>
      <c r="V107" s="30" t="s">
        <v>1</v>
      </c>
      <c r="W107" s="30"/>
      <c r="X107" s="30"/>
      <c r="Y107" s="30"/>
      <c r="Z107" s="30"/>
      <c r="AA107" s="30"/>
      <c r="AB107" s="30"/>
      <c r="AC107" s="30"/>
      <c r="AD107" s="30"/>
      <c r="AE107" s="30"/>
      <c r="AF107" s="30"/>
    </row>
    <row r="108" spans="1:32" ht="12.75" x14ac:dyDescent="0.2">
      <c r="B108" s="30" t="s">
        <v>972</v>
      </c>
      <c r="C108" s="23">
        <f>D2</f>
        <v>117.30841547807324</v>
      </c>
      <c r="D108" s="23">
        <f>D3</f>
        <v>93.126835011549474</v>
      </c>
      <c r="Q108" t="s">
        <v>1244</v>
      </c>
      <c r="R108" s="937">
        <f>R103</f>
        <v>6838.2621573270962</v>
      </c>
      <c r="S108" s="11">
        <f>S103</f>
        <v>4651.9294785836628</v>
      </c>
      <c r="T108" s="30"/>
      <c r="U108" s="11">
        <f>R101</f>
        <v>42.916666666666671</v>
      </c>
      <c r="V108" s="11">
        <f>S101</f>
        <v>378.67889908256882</v>
      </c>
      <c r="W108" s="30"/>
      <c r="X108" s="30"/>
      <c r="Y108" s="30"/>
      <c r="Z108" s="30"/>
      <c r="AA108" s="30"/>
      <c r="AB108" s="30"/>
      <c r="AC108" s="30"/>
      <c r="AD108" s="30"/>
      <c r="AE108" s="30"/>
      <c r="AF108" s="30"/>
    </row>
    <row r="109" spans="1:32" ht="12.75" x14ac:dyDescent="0.2">
      <c r="B109" s="30" t="s">
        <v>973</v>
      </c>
      <c r="C109" s="23">
        <f>E2</f>
        <v>234.6255044064591</v>
      </c>
      <c r="D109" s="23">
        <f>E3</f>
        <v>186.68734253409619</v>
      </c>
      <c r="Q109" t="s">
        <v>1245</v>
      </c>
      <c r="R109" s="937">
        <f>T103</f>
        <v>2106.2153084754332</v>
      </c>
      <c r="S109" s="11">
        <f>U103</f>
        <v>1341.7659087937636</v>
      </c>
      <c r="T109" s="30"/>
      <c r="U109" s="11">
        <f>T101</f>
        <v>15.862</v>
      </c>
      <c r="V109" s="11">
        <f>U101</f>
        <v>48.485407066052197</v>
      </c>
      <c r="W109" s="30"/>
      <c r="X109" s="30"/>
      <c r="Y109" s="30"/>
      <c r="Z109" s="30"/>
      <c r="AA109" s="30"/>
      <c r="AB109" s="30"/>
      <c r="AC109" s="30"/>
      <c r="AD109" s="30"/>
      <c r="AE109" s="30"/>
      <c r="AF109" s="30"/>
    </row>
    <row r="110" spans="1:32" ht="12.75" x14ac:dyDescent="0.2">
      <c r="B110" s="30" t="s">
        <v>974</v>
      </c>
      <c r="C110" s="23">
        <f>F2</f>
        <v>352.38493930078818</v>
      </c>
      <c r="D110" s="23">
        <f>F3</f>
        <v>279.82285099586556</v>
      </c>
      <c r="Q110" t="s">
        <v>1246</v>
      </c>
      <c r="R110" s="937">
        <f>V103</f>
        <v>1895.4002109168202</v>
      </c>
      <c r="S110" s="11">
        <f>W103</f>
        <v>1176.867844151823</v>
      </c>
      <c r="T110" s="30"/>
      <c r="U110" s="11">
        <f>V101</f>
        <v>19.261000000000003</v>
      </c>
      <c r="V110" s="11">
        <f>W101</f>
        <v>27.039938556067586</v>
      </c>
      <c r="W110" s="30"/>
      <c r="X110" s="30"/>
      <c r="Y110" s="30"/>
      <c r="Z110" s="30"/>
      <c r="AA110" s="30"/>
      <c r="AB110" s="30"/>
      <c r="AC110" s="30"/>
      <c r="AD110" s="30"/>
      <c r="AE110" s="30"/>
      <c r="AF110" s="30"/>
    </row>
    <row r="111" spans="1:32" ht="12.75" x14ac:dyDescent="0.2">
      <c r="B111" s="30" t="s">
        <v>975</v>
      </c>
      <c r="C111" s="23">
        <f>G2</f>
        <v>469.69335477886142</v>
      </c>
      <c r="D111" s="23">
        <f>G3</f>
        <v>372.9496860074151</v>
      </c>
      <c r="Q111" t="s">
        <v>1247</v>
      </c>
      <c r="R111" s="937">
        <f>X103</f>
        <v>4914.3706565536022</v>
      </c>
      <c r="S111" s="11">
        <f>Y103</f>
        <v>2615.2011434555639</v>
      </c>
      <c r="T111" s="30"/>
      <c r="U111" s="11">
        <f>X101</f>
        <v>49.851999999999997</v>
      </c>
      <c r="V111" s="11">
        <f>Y101</f>
        <v>268.53456221198138</v>
      </c>
      <c r="W111" s="30"/>
      <c r="X111" s="30"/>
      <c r="Y111" s="30"/>
      <c r="Z111" s="30"/>
      <c r="AA111" s="30"/>
      <c r="AB111" s="30"/>
      <c r="AC111" s="30"/>
      <c r="AD111" s="30"/>
      <c r="AE111" s="30"/>
      <c r="AF111" s="30"/>
    </row>
    <row r="112" spans="1:32" ht="12.75" x14ac:dyDescent="0.2">
      <c r="B112" s="30" t="s">
        <v>976</v>
      </c>
      <c r="C112" s="23">
        <f>H2</f>
        <v>939.39538300803542</v>
      </c>
      <c r="D112" s="23">
        <f>H3</f>
        <v>746.33304452582729</v>
      </c>
      <c r="Q112" t="s">
        <v>1248</v>
      </c>
      <c r="R112" s="937">
        <f>Z103</f>
        <v>3802.7914275303679</v>
      </c>
      <c r="S112" s="11">
        <f>AA103</f>
        <v>1964.4301041534138</v>
      </c>
      <c r="T112" s="30"/>
      <c r="U112" s="11">
        <f>Z101</f>
        <v>19.261000000000003</v>
      </c>
      <c r="V112" s="11">
        <f>AA101</f>
        <v>197.6712749615975</v>
      </c>
      <c r="W112" s="30"/>
      <c r="X112" s="30"/>
      <c r="Y112" s="30"/>
      <c r="Z112" s="30"/>
      <c r="AA112" s="30"/>
      <c r="AB112" s="30"/>
      <c r="AC112" s="30"/>
      <c r="AD112" s="30"/>
      <c r="AE112" s="30"/>
      <c r="AF112" s="30"/>
    </row>
    <row r="113" spans="1:32" ht="12.75" x14ac:dyDescent="0.2">
      <c r="B113" s="30" t="s">
        <v>977</v>
      </c>
      <c r="C113" s="23">
        <f>I2</f>
        <v>939.39538300803542</v>
      </c>
      <c r="D113" s="23">
        <f>I3</f>
        <v>746.33304452582729</v>
      </c>
      <c r="R113" s="937">
        <f>AB103</f>
        <v>1241.9277915815194</v>
      </c>
      <c r="S113" s="11">
        <f>AC103</f>
        <v>676.89855628248176</v>
      </c>
      <c r="T113" s="30"/>
      <c r="U113" s="11">
        <f>AB101</f>
        <v>9.0640000000000001</v>
      </c>
      <c r="V113" s="11">
        <f>AC101</f>
        <v>32.634408602150565</v>
      </c>
      <c r="W113" s="30"/>
      <c r="X113" s="30"/>
      <c r="Y113" s="30"/>
      <c r="Z113" s="30"/>
      <c r="AA113" s="30"/>
      <c r="AB113" s="30"/>
      <c r="AC113" s="30"/>
      <c r="AD113" s="30"/>
      <c r="AE113" s="30"/>
      <c r="AF113" s="30"/>
    </row>
    <row r="114" spans="1:32" ht="12.75" x14ac:dyDescent="0.2">
      <c r="P114" s="30">
        <v>15</v>
      </c>
      <c r="Q114" s="23">
        <v>16</v>
      </c>
      <c r="R114" s="937">
        <f>AD103</f>
        <v>0</v>
      </c>
      <c r="S114" s="11">
        <f>AE103</f>
        <v>0</v>
      </c>
      <c r="T114" s="30"/>
      <c r="U114" s="11">
        <f>AD101</f>
        <v>0</v>
      </c>
      <c r="V114" s="11">
        <f>AE101</f>
        <v>0</v>
      </c>
      <c r="W114" s="30"/>
      <c r="X114" s="30"/>
      <c r="Y114" s="30"/>
      <c r="Z114" s="30"/>
      <c r="AA114" s="30"/>
      <c r="AB114" s="30"/>
      <c r="AC114" s="30"/>
      <c r="AD114" s="30"/>
      <c r="AE114" s="30"/>
      <c r="AF114" s="30"/>
    </row>
    <row r="115" spans="1:32" ht="12.75" x14ac:dyDescent="0.2">
      <c r="R115" s="937">
        <f>SUM(R108:R114)</f>
        <v>20798.967552384835</v>
      </c>
      <c r="S115" s="937">
        <f>SUM(S108:S114)</f>
        <v>12427.09303542071</v>
      </c>
      <c r="T115" s="30"/>
      <c r="U115" s="30"/>
      <c r="V115" s="30"/>
      <c r="W115" s="30"/>
      <c r="X115" s="30"/>
      <c r="Y115" s="30"/>
      <c r="Z115" s="30"/>
      <c r="AA115" s="30"/>
      <c r="AB115" s="30"/>
      <c r="AC115" s="30"/>
      <c r="AD115" s="30"/>
      <c r="AE115" s="30"/>
      <c r="AF115" s="30"/>
    </row>
    <row r="116" spans="1:32" ht="12.75" x14ac:dyDescent="0.2">
      <c r="A116" t="s">
        <v>1401</v>
      </c>
      <c r="C116" s="23">
        <f>C103-C94-C77-C21</f>
        <v>11271.453703105593</v>
      </c>
      <c r="D116" s="23">
        <f t="shared" ref="D116:O116" si="59">D103-D94-D77-D21</f>
        <v>3406.8983091059317</v>
      </c>
      <c r="E116" s="23">
        <f t="shared" si="59"/>
        <v>2911.2718815992553</v>
      </c>
      <c r="F116" s="23">
        <f t="shared" si="59"/>
        <v>7392.9570040907984</v>
      </c>
      <c r="G116" s="23">
        <f t="shared" si="59"/>
        <v>5668.3350520919448</v>
      </c>
      <c r="H116" s="23">
        <f t="shared" si="59"/>
        <v>1868.1924192925721</v>
      </c>
      <c r="I116" s="23">
        <f t="shared" si="59"/>
        <v>0</v>
      </c>
      <c r="J116" s="925">
        <f t="shared" si="59"/>
        <v>32519.108369286118</v>
      </c>
      <c r="K116" s="925">
        <f t="shared" si="59"/>
        <v>6181720.2892037677</v>
      </c>
      <c r="L116" s="925">
        <f t="shared" si="59"/>
        <v>3327119.0664828159</v>
      </c>
      <c r="M116" s="925">
        <f t="shared" si="59"/>
        <v>5191597.5362044442</v>
      </c>
      <c r="N116" s="925">
        <f t="shared" si="59"/>
        <v>2314279.1335132481</v>
      </c>
      <c r="O116" s="925">
        <f t="shared" si="59"/>
        <v>17014716.025404278</v>
      </c>
      <c r="R116" s="30">
        <v>17</v>
      </c>
      <c r="S116" s="23">
        <v>18</v>
      </c>
      <c r="T116" s="30">
        <v>19</v>
      </c>
      <c r="U116" s="23">
        <v>20</v>
      </c>
      <c r="V116" s="30">
        <v>21</v>
      </c>
      <c r="W116" s="23">
        <v>22</v>
      </c>
      <c r="X116" s="30">
        <v>23</v>
      </c>
      <c r="Y116" s="23">
        <v>24</v>
      </c>
      <c r="Z116" s="30">
        <v>25</v>
      </c>
      <c r="AA116" s="23">
        <v>26</v>
      </c>
      <c r="AB116" s="30">
        <v>27</v>
      </c>
      <c r="AC116" s="23">
        <v>28</v>
      </c>
      <c r="AD116" s="30">
        <v>29</v>
      </c>
      <c r="AE116" s="23">
        <v>30</v>
      </c>
      <c r="AF116" s="30"/>
    </row>
    <row r="117" spans="1:32" ht="12.75" x14ac:dyDescent="0.2">
      <c r="K117" s="925" t="s">
        <v>978</v>
      </c>
      <c r="L117" s="925" t="s">
        <v>978</v>
      </c>
      <c r="M117" s="925" t="s">
        <v>978</v>
      </c>
      <c r="N117" s="925" t="s">
        <v>978</v>
      </c>
      <c r="S117" s="30"/>
      <c r="T117" s="30"/>
      <c r="U117" s="30"/>
      <c r="V117" s="30"/>
      <c r="W117" s="30"/>
      <c r="X117" s="30"/>
      <c r="Y117" s="30"/>
      <c r="Z117" s="30"/>
      <c r="AA117" s="30"/>
      <c r="AB117" s="30"/>
      <c r="AC117" s="30"/>
      <c r="AD117" s="30"/>
      <c r="AE117" s="30"/>
      <c r="AF117" s="30"/>
    </row>
    <row r="118" spans="1:32" ht="12.75" x14ac:dyDescent="0.2">
      <c r="S118" s="30"/>
      <c r="T118" s="30"/>
      <c r="U118" s="30"/>
      <c r="V118" s="30"/>
      <c r="W118" s="30"/>
      <c r="X118" s="30"/>
      <c r="Y118" s="30"/>
      <c r="Z118" s="30"/>
      <c r="AA118" s="30"/>
      <c r="AB118" s="30"/>
      <c r="AC118" s="30"/>
      <c r="AD118" s="30"/>
      <c r="AE118" s="30"/>
      <c r="AF118" s="30"/>
    </row>
    <row r="119" spans="1:32" ht="12.75" x14ac:dyDescent="0.2">
      <c r="S119" s="30"/>
      <c r="T119" s="30"/>
      <c r="U119" s="30"/>
      <c r="V119" s="30"/>
      <c r="W119" s="30"/>
      <c r="X119" s="30"/>
      <c r="Y119" s="30"/>
      <c r="Z119" s="30"/>
      <c r="AA119" s="30"/>
      <c r="AB119" s="30"/>
      <c r="AC119" s="30"/>
      <c r="AD119" s="30"/>
      <c r="AE119" s="30"/>
      <c r="AF119" s="30"/>
    </row>
    <row r="120" spans="1:32" ht="12.75" x14ac:dyDescent="0.2">
      <c r="S120" s="30"/>
      <c r="T120" s="30"/>
      <c r="U120" s="30"/>
      <c r="V120" s="30"/>
      <c r="W120" s="30"/>
      <c r="X120" s="30"/>
      <c r="Y120" s="30"/>
      <c r="Z120" s="30"/>
      <c r="AA120" s="30"/>
      <c r="AB120" s="30"/>
      <c r="AC120" s="30"/>
      <c r="AD120" s="30"/>
      <c r="AE120" s="30"/>
      <c r="AF120" s="30"/>
    </row>
    <row r="121" spans="1:32" ht="12.75" x14ac:dyDescent="0.2">
      <c r="S121" s="30"/>
      <c r="T121" s="30"/>
      <c r="U121" s="30"/>
      <c r="V121" s="30"/>
      <c r="W121" s="30"/>
      <c r="X121" s="30"/>
      <c r="Y121" s="30"/>
      <c r="Z121" s="30"/>
      <c r="AA121" s="30"/>
      <c r="AB121" s="30"/>
      <c r="AC121" s="30"/>
      <c r="AD121" s="30"/>
      <c r="AE121" s="30"/>
      <c r="AF121" s="30"/>
    </row>
    <row r="122" spans="1:32" ht="12.75" x14ac:dyDescent="0.2">
      <c r="C122" s="23" t="s">
        <v>834</v>
      </c>
      <c r="S122" s="30"/>
      <c r="T122" s="30"/>
      <c r="U122" s="30"/>
      <c r="V122" s="30"/>
      <c r="W122" s="30"/>
      <c r="X122" s="30"/>
      <c r="Y122" s="30"/>
      <c r="Z122" s="30"/>
      <c r="AA122" s="30"/>
      <c r="AB122" s="30"/>
      <c r="AC122" s="30"/>
      <c r="AD122" s="30"/>
      <c r="AE122" s="30"/>
      <c r="AF122" s="30"/>
    </row>
    <row r="123" spans="1:32" ht="12.75" x14ac:dyDescent="0.2">
      <c r="S123" s="30"/>
      <c r="T123" s="30"/>
      <c r="U123" s="30"/>
      <c r="V123" s="30"/>
      <c r="W123" s="30"/>
      <c r="X123" s="30"/>
      <c r="Y123" s="30"/>
      <c r="Z123" s="30"/>
      <c r="AA123" s="30"/>
      <c r="AB123" s="30"/>
      <c r="AC123" s="30"/>
      <c r="AD123" s="30"/>
      <c r="AE123" s="30"/>
    </row>
    <row r="124" spans="1:32" ht="12.75" x14ac:dyDescent="0.2">
      <c r="B124" s="30" t="s">
        <v>970</v>
      </c>
      <c r="C124" s="23">
        <v>933.86172170858913</v>
      </c>
      <c r="D124" s="23">
        <v>117.30841547807324</v>
      </c>
      <c r="E124" s="23">
        <v>234.6255044064591</v>
      </c>
      <c r="F124" s="23">
        <v>352.38493930078818</v>
      </c>
      <c r="G124" s="23">
        <v>469.69335477886142</v>
      </c>
      <c r="H124" s="23">
        <v>939.39538300803542</v>
      </c>
      <c r="I124" s="23">
        <v>939.39538300803542</v>
      </c>
      <c r="J124" s="1136"/>
      <c r="K124" s="1136"/>
      <c r="L124" s="1136"/>
      <c r="M124" s="1136"/>
      <c r="N124" s="1136"/>
      <c r="O124" s="1136"/>
      <c r="S124" s="30"/>
      <c r="T124" s="30"/>
      <c r="U124" s="30"/>
      <c r="V124" s="30"/>
      <c r="W124" s="30"/>
      <c r="X124" s="30"/>
      <c r="Y124" s="30"/>
      <c r="Z124" s="30"/>
      <c r="AA124" s="30"/>
      <c r="AB124" s="30"/>
      <c r="AC124" s="30"/>
      <c r="AD124" s="30"/>
      <c r="AE124" s="30"/>
    </row>
    <row r="125" spans="1:32" ht="12.75" x14ac:dyDescent="0.2">
      <c r="B125" s="30" t="s">
        <v>971</v>
      </c>
      <c r="C125" s="23">
        <v>715.21270513666468</v>
      </c>
      <c r="D125" s="23">
        <v>93.126835011549474</v>
      </c>
      <c r="E125" s="23">
        <v>186.68734253409619</v>
      </c>
      <c r="F125" s="23">
        <v>279.82285099586556</v>
      </c>
      <c r="G125" s="23">
        <v>372.9496860074151</v>
      </c>
      <c r="H125" s="23">
        <v>746.33304452582729</v>
      </c>
      <c r="I125" s="23">
        <v>746.33304452582729</v>
      </c>
      <c r="J125" s="1136"/>
      <c r="K125" s="1136"/>
      <c r="L125" s="1136"/>
      <c r="M125" s="1136"/>
      <c r="N125" s="1136"/>
      <c r="O125" s="1136"/>
    </row>
    <row r="127" spans="1:32" ht="12.75" x14ac:dyDescent="0.2">
      <c r="C127" s="23" t="s">
        <v>847</v>
      </c>
    </row>
    <row r="128" spans="1:32" ht="12.75" x14ac:dyDescent="0.2">
      <c r="B128" s="30" t="s">
        <v>970</v>
      </c>
      <c r="C128" s="23">
        <f>C124-C132</f>
        <v>789.5217217085891</v>
      </c>
      <c r="D128" s="23">
        <f t="shared" ref="D128:I129" si="60">D124-D132</f>
        <v>99.178415478073248</v>
      </c>
      <c r="E128" s="23">
        <f t="shared" si="60"/>
        <v>198.36550440645911</v>
      </c>
      <c r="F128" s="23">
        <f t="shared" si="60"/>
        <v>297.9249393007882</v>
      </c>
      <c r="G128" s="23">
        <f t="shared" si="60"/>
        <v>397.09335477886145</v>
      </c>
      <c r="H128" s="23">
        <f t="shared" si="60"/>
        <v>794.20538300803537</v>
      </c>
      <c r="I128" s="23">
        <f t="shared" si="60"/>
        <v>794.20538300803537</v>
      </c>
    </row>
    <row r="129" spans="1:11" ht="12.75" x14ac:dyDescent="0.2">
      <c r="B129" s="30" t="s">
        <v>971</v>
      </c>
      <c r="C129" s="23">
        <f>C125-C133</f>
        <v>604.67270513666472</v>
      </c>
      <c r="D129" s="23">
        <f t="shared" si="60"/>
        <v>78.736835011549474</v>
      </c>
      <c r="E129" s="23">
        <f t="shared" si="60"/>
        <v>157.83734253409619</v>
      </c>
      <c r="F129" s="23">
        <f t="shared" si="60"/>
        <v>236.57285099586556</v>
      </c>
      <c r="G129" s="23">
        <f t="shared" si="60"/>
        <v>315.30968600741511</v>
      </c>
      <c r="H129" s="23">
        <f t="shared" si="60"/>
        <v>630.97304452582728</v>
      </c>
      <c r="I129" s="23">
        <f t="shared" si="60"/>
        <v>630.97304452582728</v>
      </c>
    </row>
    <row r="131" spans="1:11" ht="12.75" x14ac:dyDescent="0.2">
      <c r="B131" s="30" t="s">
        <v>1402</v>
      </c>
    </row>
    <row r="132" spans="1:11" ht="12.75" x14ac:dyDescent="0.2">
      <c r="B132" s="30" t="s">
        <v>0</v>
      </c>
      <c r="C132" s="23">
        <f>ROUND((C124*$J$132),2)</f>
        <v>144.34</v>
      </c>
      <c r="D132" s="23">
        <f>ROUND((D124*$J$132),2)</f>
        <v>18.13</v>
      </c>
      <c r="E132" s="23">
        <f t="shared" ref="E132:I132" si="61">ROUND((E124*$J$132),2)</f>
        <v>36.26</v>
      </c>
      <c r="F132" s="23">
        <f t="shared" si="61"/>
        <v>54.46</v>
      </c>
      <c r="G132" s="23">
        <f t="shared" si="61"/>
        <v>72.599999999999994</v>
      </c>
      <c r="H132" s="23">
        <f t="shared" si="61"/>
        <v>145.19</v>
      </c>
      <c r="I132" s="23">
        <f t="shared" si="61"/>
        <v>145.19</v>
      </c>
      <c r="J132" s="1137">
        <v>0.15456</v>
      </c>
      <c r="K132" s="925">
        <f>Z109</f>
        <v>0</v>
      </c>
    </row>
    <row r="133" spans="1:11" ht="12.75" x14ac:dyDescent="0.2">
      <c r="B133" s="30" t="s">
        <v>1</v>
      </c>
      <c r="C133" s="23">
        <f>ROUND((C125*$J$133),2)</f>
        <v>110.54</v>
      </c>
      <c r="D133" s="23">
        <f>ROUND((D125*$J$133),2)</f>
        <v>14.39</v>
      </c>
      <c r="E133" s="23">
        <f t="shared" ref="E133:I133" si="62">ROUND((E125*$J$133),2)</f>
        <v>28.85</v>
      </c>
      <c r="F133" s="23">
        <f t="shared" si="62"/>
        <v>43.25</v>
      </c>
      <c r="G133" s="23">
        <f t="shared" si="62"/>
        <v>57.64</v>
      </c>
      <c r="H133" s="23">
        <f t="shared" si="62"/>
        <v>115.36</v>
      </c>
      <c r="I133" s="23">
        <f t="shared" si="62"/>
        <v>115.36</v>
      </c>
      <c r="J133" s="1137">
        <v>0.15456241000000001</v>
      </c>
      <c r="K133" s="925">
        <f>Z110</f>
        <v>0</v>
      </c>
    </row>
    <row r="137" spans="1:11" ht="12.75" x14ac:dyDescent="0.2">
      <c r="A137" s="59" t="s">
        <v>238</v>
      </c>
      <c r="B137" s="59">
        <v>206189</v>
      </c>
    </row>
    <row r="138" spans="1:11" ht="12.75" x14ac:dyDescent="0.2">
      <c r="A138" s="59" t="s">
        <v>1301</v>
      </c>
      <c r="B138" s="59">
        <v>2014</v>
      </c>
    </row>
    <row r="139" spans="1:11" ht="12.75" x14ac:dyDescent="0.2">
      <c r="A139" s="59" t="s">
        <v>10</v>
      </c>
      <c r="B139" s="59">
        <v>2012</v>
      </c>
    </row>
    <row r="140" spans="1:11" ht="12.75" x14ac:dyDescent="0.2">
      <c r="A140" s="59" t="s">
        <v>73</v>
      </c>
      <c r="B140" s="59">
        <v>5414</v>
      </c>
    </row>
    <row r="141" spans="1:11" ht="12.75" x14ac:dyDescent="0.2">
      <c r="A141" s="59" t="s">
        <v>846</v>
      </c>
      <c r="B141" s="59">
        <v>4000</v>
      </c>
    </row>
    <row r="142" spans="1:11" ht="12.75" x14ac:dyDescent="0.2">
      <c r="A142" s="59" t="s">
        <v>11</v>
      </c>
      <c r="B142" s="59">
        <v>2443</v>
      </c>
    </row>
    <row r="143" spans="1:11" ht="12.75" x14ac:dyDescent="0.2">
      <c r="A143" s="59" t="s">
        <v>94</v>
      </c>
      <c r="B143" s="59">
        <v>2442</v>
      </c>
    </row>
    <row r="144" spans="1:11" ht="12.75" x14ac:dyDescent="0.2">
      <c r="A144" s="59" t="s">
        <v>241</v>
      </c>
      <c r="B144" s="59" t="s">
        <v>242</v>
      </c>
    </row>
    <row r="145" spans="1:2" ht="12.75" x14ac:dyDescent="0.2">
      <c r="A145" s="59" t="s">
        <v>13</v>
      </c>
      <c r="B145" s="59">
        <v>2629</v>
      </c>
    </row>
    <row r="146" spans="1:2" ht="12.75" x14ac:dyDescent="0.2">
      <c r="A146" s="59" t="s">
        <v>14</v>
      </c>
      <c r="B146" s="59">
        <v>2509</v>
      </c>
    </row>
    <row r="147" spans="1:2" ht="12.75" x14ac:dyDescent="0.2">
      <c r="A147" s="59" t="s">
        <v>2</v>
      </c>
      <c r="B147" s="59">
        <v>1014</v>
      </c>
    </row>
    <row r="148" spans="1:2" ht="12.75" x14ac:dyDescent="0.2">
      <c r="A148" s="59" t="s">
        <v>15</v>
      </c>
      <c r="B148" s="59">
        <v>2005</v>
      </c>
    </row>
    <row r="149" spans="1:2" ht="12.75" x14ac:dyDescent="0.2">
      <c r="A149" s="59" t="s">
        <v>16</v>
      </c>
      <c r="B149" s="59">
        <v>2464</v>
      </c>
    </row>
    <row r="150" spans="1:2" ht="12.75" x14ac:dyDescent="0.2">
      <c r="A150" s="59" t="s">
        <v>706</v>
      </c>
      <c r="B150" s="59" t="s">
        <v>708</v>
      </c>
    </row>
    <row r="151" spans="1:2" ht="12.75" x14ac:dyDescent="0.2">
      <c r="A151" s="59" t="s">
        <v>17</v>
      </c>
      <c r="B151" s="59">
        <v>2004</v>
      </c>
    </row>
    <row r="152" spans="1:2" ht="12.75" x14ac:dyDescent="0.2">
      <c r="A152" s="59" t="s">
        <v>18</v>
      </c>
      <c r="B152" s="59">
        <v>2405</v>
      </c>
    </row>
    <row r="153" spans="1:2" ht="12.75" x14ac:dyDescent="0.2">
      <c r="A153" s="59" t="s">
        <v>243</v>
      </c>
      <c r="B153" s="59" t="s">
        <v>245</v>
      </c>
    </row>
    <row r="154" spans="1:2" ht="12.75" x14ac:dyDescent="0.2">
      <c r="A154" s="59" t="s">
        <v>250</v>
      </c>
      <c r="B154" s="59" t="s">
        <v>709</v>
      </c>
    </row>
    <row r="155" spans="1:2" ht="12.75" x14ac:dyDescent="0.2">
      <c r="A155" s="59" t="s">
        <v>246</v>
      </c>
      <c r="B155" s="59" t="s">
        <v>247</v>
      </c>
    </row>
    <row r="156" spans="1:2" ht="12.75" x14ac:dyDescent="0.2">
      <c r="A156" s="59" t="s">
        <v>248</v>
      </c>
      <c r="B156" s="59" t="s">
        <v>249</v>
      </c>
    </row>
    <row r="157" spans="1:2" ht="12.75" x14ac:dyDescent="0.2">
      <c r="A157" s="59" t="s">
        <v>19</v>
      </c>
      <c r="B157" s="59">
        <v>2011</v>
      </c>
    </row>
    <row r="158" spans="1:2" ht="12.75" x14ac:dyDescent="0.2">
      <c r="A158" s="59" t="s">
        <v>251</v>
      </c>
      <c r="B158" s="59" t="s">
        <v>252</v>
      </c>
    </row>
    <row r="159" spans="1:2" ht="12.75" x14ac:dyDescent="0.2">
      <c r="A159" s="59" t="s">
        <v>20</v>
      </c>
      <c r="B159" s="59">
        <v>5201</v>
      </c>
    </row>
    <row r="160" spans="1:2" ht="12.75" x14ac:dyDescent="0.2">
      <c r="A160" s="59" t="s">
        <v>253</v>
      </c>
      <c r="B160" s="59">
        <v>206124</v>
      </c>
    </row>
    <row r="161" spans="1:2" ht="12.75" x14ac:dyDescent="0.2">
      <c r="A161" s="59" t="s">
        <v>21</v>
      </c>
      <c r="B161" s="59">
        <v>2433</v>
      </c>
    </row>
    <row r="162" spans="1:2" ht="12.75" x14ac:dyDescent="0.2">
      <c r="A162" s="59" t="s">
        <v>22</v>
      </c>
      <c r="B162" s="59">
        <v>2432</v>
      </c>
    </row>
    <row r="163" spans="1:2" ht="12.75" x14ac:dyDescent="0.2">
      <c r="A163" s="59" t="s">
        <v>256</v>
      </c>
      <c r="B163" s="59" t="s">
        <v>258</v>
      </c>
    </row>
    <row r="164" spans="1:2" ht="12.75" x14ac:dyDescent="0.2">
      <c r="A164" s="59" t="s">
        <v>188</v>
      </c>
      <c r="B164" s="59">
        <v>2447</v>
      </c>
    </row>
    <row r="165" spans="1:2" ht="12.75" x14ac:dyDescent="0.2">
      <c r="A165" s="59" t="s">
        <v>23</v>
      </c>
      <c r="B165" s="59">
        <v>2512</v>
      </c>
    </row>
    <row r="166" spans="1:2" ht="12.75" x14ac:dyDescent="0.2">
      <c r="A166" s="59" t="s">
        <v>259</v>
      </c>
      <c r="B166" s="59">
        <v>206126</v>
      </c>
    </row>
    <row r="167" spans="1:2" ht="12.75" x14ac:dyDescent="0.2">
      <c r="A167" s="59" t="s">
        <v>261</v>
      </c>
      <c r="B167" s="59">
        <v>206111</v>
      </c>
    </row>
    <row r="168" spans="1:2" ht="12.75" x14ac:dyDescent="0.2">
      <c r="A168" s="59" t="s">
        <v>263</v>
      </c>
      <c r="B168" s="59">
        <v>206091</v>
      </c>
    </row>
    <row r="169" spans="1:2" ht="12.75" x14ac:dyDescent="0.2">
      <c r="A169" s="59" t="s">
        <v>24</v>
      </c>
      <c r="B169" s="59">
        <v>2456</v>
      </c>
    </row>
    <row r="170" spans="1:2" ht="12.75" x14ac:dyDescent="0.2">
      <c r="A170" s="59" t="s">
        <v>3</v>
      </c>
      <c r="B170" s="59">
        <v>1017</v>
      </c>
    </row>
    <row r="171" spans="1:2" ht="12.75" x14ac:dyDescent="0.2">
      <c r="A171" s="59" t="s">
        <v>25</v>
      </c>
      <c r="B171" s="59">
        <v>2449</v>
      </c>
    </row>
    <row r="172" spans="1:2" ht="12.75" x14ac:dyDescent="0.2">
      <c r="A172" s="59" t="s">
        <v>26</v>
      </c>
      <c r="B172" s="59">
        <v>2448</v>
      </c>
    </row>
    <row r="173" spans="1:2" x14ac:dyDescent="0.25">
      <c r="A173" s="59" t="s">
        <v>4</v>
      </c>
      <c r="B173" s="59">
        <v>1006</v>
      </c>
    </row>
    <row r="174" spans="1:2" x14ac:dyDescent="0.25">
      <c r="A174" s="59" t="s">
        <v>27</v>
      </c>
      <c r="B174" s="59">
        <v>2467</v>
      </c>
    </row>
    <row r="175" spans="1:2" x14ac:dyDescent="0.25">
      <c r="A175" s="59" t="s">
        <v>1373</v>
      </c>
      <c r="B175" s="59">
        <v>484300</v>
      </c>
    </row>
    <row r="176" spans="1:2" x14ac:dyDescent="0.25">
      <c r="A176" s="59" t="s">
        <v>75</v>
      </c>
      <c r="B176" s="59">
        <v>5402</v>
      </c>
    </row>
    <row r="177" spans="1:2" x14ac:dyDescent="0.25">
      <c r="A177" s="59" t="s">
        <v>28</v>
      </c>
      <c r="B177" s="59">
        <v>2455</v>
      </c>
    </row>
    <row r="178" spans="1:2" x14ac:dyDescent="0.25">
      <c r="A178" s="59" t="s">
        <v>29</v>
      </c>
      <c r="B178" s="59">
        <v>5203</v>
      </c>
    </row>
    <row r="179" spans="1:2" x14ac:dyDescent="0.25">
      <c r="A179" s="59" t="s">
        <v>30</v>
      </c>
      <c r="B179" s="59">
        <v>2451</v>
      </c>
    </row>
    <row r="180" spans="1:2" x14ac:dyDescent="0.25">
      <c r="A180" s="59" t="s">
        <v>265</v>
      </c>
      <c r="B180" s="59" t="s">
        <v>266</v>
      </c>
    </row>
    <row r="181" spans="1:2" x14ac:dyDescent="0.25">
      <c r="A181" s="59" t="s">
        <v>267</v>
      </c>
      <c r="B181" s="59">
        <v>206128</v>
      </c>
    </row>
    <row r="182" spans="1:2" x14ac:dyDescent="0.25">
      <c r="A182" s="59" t="s">
        <v>438</v>
      </c>
      <c r="B182" s="59">
        <v>4002</v>
      </c>
    </row>
    <row r="183" spans="1:2" x14ac:dyDescent="0.25">
      <c r="A183" s="59" t="s">
        <v>441</v>
      </c>
      <c r="B183" s="59">
        <v>2430</v>
      </c>
    </row>
    <row r="184" spans="1:2" x14ac:dyDescent="0.25">
      <c r="A184" s="59" t="s">
        <v>269</v>
      </c>
      <c r="B184" s="59" t="s">
        <v>710</v>
      </c>
    </row>
    <row r="185" spans="1:2" x14ac:dyDescent="0.25">
      <c r="A185" s="59" t="s">
        <v>711</v>
      </c>
      <c r="B185" s="59" t="s">
        <v>712</v>
      </c>
    </row>
    <row r="186" spans="1:2" x14ac:dyDescent="0.25">
      <c r="A186" s="59" t="s">
        <v>68</v>
      </c>
      <c r="B186" s="59">
        <v>4608</v>
      </c>
    </row>
    <row r="187" spans="1:2" x14ac:dyDescent="0.25">
      <c r="A187" s="59" t="s">
        <v>31</v>
      </c>
      <c r="B187" s="59">
        <v>2409</v>
      </c>
    </row>
    <row r="188" spans="1:2" x14ac:dyDescent="0.25">
      <c r="A188" s="59" t="s">
        <v>270</v>
      </c>
      <c r="B188" s="59" t="s">
        <v>271</v>
      </c>
    </row>
    <row r="189" spans="1:2" x14ac:dyDescent="0.25">
      <c r="A189" s="59" t="s">
        <v>1283</v>
      </c>
      <c r="B189" s="59" t="s">
        <v>714</v>
      </c>
    </row>
    <row r="190" spans="1:2" x14ac:dyDescent="0.25">
      <c r="A190" s="59" t="s">
        <v>525</v>
      </c>
      <c r="B190" s="59">
        <v>205921</v>
      </c>
    </row>
    <row r="191" spans="1:2" x14ac:dyDescent="0.25">
      <c r="A191" s="59" t="s">
        <v>1256</v>
      </c>
      <c r="B191" s="59" t="s">
        <v>719</v>
      </c>
    </row>
    <row r="192" spans="1:2" x14ac:dyDescent="0.25">
      <c r="A192" s="59" t="s">
        <v>1375</v>
      </c>
      <c r="B192" s="59">
        <v>398922</v>
      </c>
    </row>
    <row r="193" spans="1:2" x14ac:dyDescent="0.25">
      <c r="A193" s="59" t="s">
        <v>1374</v>
      </c>
      <c r="B193" s="59">
        <v>479804</v>
      </c>
    </row>
    <row r="194" spans="1:2" x14ac:dyDescent="0.25">
      <c r="A194" s="59" t="s">
        <v>524</v>
      </c>
      <c r="B194" s="59">
        <v>205999</v>
      </c>
    </row>
    <row r="195" spans="1:2" x14ac:dyDescent="0.25">
      <c r="A195" s="59" t="s">
        <v>523</v>
      </c>
      <c r="B195" s="59" t="s">
        <v>272</v>
      </c>
    </row>
    <row r="196" spans="1:2" x14ac:dyDescent="0.25">
      <c r="A196" s="59" t="s">
        <v>1257</v>
      </c>
      <c r="B196" s="59">
        <v>206065</v>
      </c>
    </row>
    <row r="197" spans="1:2" x14ac:dyDescent="0.25">
      <c r="A197" s="59" t="s">
        <v>1376</v>
      </c>
      <c r="B197" s="59">
        <v>314105</v>
      </c>
    </row>
    <row r="198" spans="1:2" x14ac:dyDescent="0.25">
      <c r="A198" s="59" t="s">
        <v>1400</v>
      </c>
      <c r="B198" s="59" t="s">
        <v>277</v>
      </c>
    </row>
    <row r="199" spans="1:2" x14ac:dyDescent="0.25">
      <c r="A199" s="59" t="s">
        <v>1377</v>
      </c>
      <c r="B199" s="59">
        <v>206076</v>
      </c>
    </row>
    <row r="200" spans="1:2" x14ac:dyDescent="0.25">
      <c r="A200" s="59" t="s">
        <v>561</v>
      </c>
      <c r="B200" s="59" t="s">
        <v>727</v>
      </c>
    </row>
    <row r="201" spans="1:2" x14ac:dyDescent="0.25">
      <c r="A201" s="59" t="s">
        <v>1399</v>
      </c>
      <c r="B201" s="59" t="s">
        <v>730</v>
      </c>
    </row>
    <row r="202" spans="1:2" x14ac:dyDescent="0.25">
      <c r="A202" s="59" t="s">
        <v>562</v>
      </c>
      <c r="B202" s="59" t="s">
        <v>275</v>
      </c>
    </row>
    <row r="203" spans="1:2" x14ac:dyDescent="0.25">
      <c r="A203" s="59" t="s">
        <v>1258</v>
      </c>
      <c r="B203" s="59" t="s">
        <v>724</v>
      </c>
    </row>
    <row r="204" spans="1:2" x14ac:dyDescent="0.25">
      <c r="A204" s="59" t="s">
        <v>1259</v>
      </c>
      <c r="B204" s="59">
        <v>205919</v>
      </c>
    </row>
    <row r="205" spans="1:2" x14ac:dyDescent="0.25">
      <c r="A205" s="59" t="s">
        <v>526</v>
      </c>
      <c r="B205" s="59" t="s">
        <v>276</v>
      </c>
    </row>
    <row r="206" spans="1:2" x14ac:dyDescent="0.25">
      <c r="A206" s="59" t="s">
        <v>1378</v>
      </c>
      <c r="B206" s="59">
        <v>477405</v>
      </c>
    </row>
    <row r="207" spans="1:2" x14ac:dyDescent="0.25">
      <c r="A207" s="59" t="s">
        <v>1260</v>
      </c>
      <c r="B207" s="59" t="s">
        <v>734</v>
      </c>
    </row>
    <row r="208" spans="1:2" x14ac:dyDescent="0.25">
      <c r="A208" s="59" t="s">
        <v>1379</v>
      </c>
      <c r="B208" s="59">
        <v>401536</v>
      </c>
    </row>
    <row r="209" spans="1:2" x14ac:dyDescent="0.25">
      <c r="A209" s="59" t="s">
        <v>1261</v>
      </c>
      <c r="B209" s="59" t="s">
        <v>736</v>
      </c>
    </row>
    <row r="210" spans="1:2" x14ac:dyDescent="0.25">
      <c r="A210" s="59" t="s">
        <v>1263</v>
      </c>
      <c r="B210" s="59" t="s">
        <v>739</v>
      </c>
    </row>
    <row r="211" spans="1:2" x14ac:dyDescent="0.25">
      <c r="A211" s="59" t="s">
        <v>1262</v>
      </c>
      <c r="B211" s="59">
        <v>205849</v>
      </c>
    </row>
    <row r="212" spans="1:2" x14ac:dyDescent="0.25">
      <c r="A212" s="59" t="s">
        <v>566</v>
      </c>
      <c r="B212" s="59" t="s">
        <v>273</v>
      </c>
    </row>
    <row r="213" spans="1:2" x14ac:dyDescent="0.25">
      <c r="A213" s="59" t="s">
        <v>1264</v>
      </c>
      <c r="B213" s="59" t="s">
        <v>741</v>
      </c>
    </row>
    <row r="214" spans="1:2" x14ac:dyDescent="0.25">
      <c r="A214" s="59" t="s">
        <v>1268</v>
      </c>
      <c r="B214" s="59">
        <v>205922</v>
      </c>
    </row>
    <row r="215" spans="1:2" x14ac:dyDescent="0.25">
      <c r="A215" s="59" t="s">
        <v>1267</v>
      </c>
      <c r="B215" s="59">
        <v>205881</v>
      </c>
    </row>
    <row r="216" spans="1:2" x14ac:dyDescent="0.25">
      <c r="A216" s="59" t="s">
        <v>1265</v>
      </c>
      <c r="B216" s="59" t="s">
        <v>744</v>
      </c>
    </row>
    <row r="217" spans="1:2" x14ac:dyDescent="0.25">
      <c r="A217" s="59" t="s">
        <v>527</v>
      </c>
      <c r="B217" s="59" t="s">
        <v>278</v>
      </c>
    </row>
    <row r="218" spans="1:2" x14ac:dyDescent="0.25">
      <c r="A218" s="59" t="s">
        <v>1266</v>
      </c>
      <c r="B218" s="59" t="s">
        <v>749</v>
      </c>
    </row>
    <row r="219" spans="1:2" x14ac:dyDescent="0.25">
      <c r="A219" s="59" t="s">
        <v>1380</v>
      </c>
      <c r="B219" s="59">
        <v>462623</v>
      </c>
    </row>
    <row r="220" spans="1:2" x14ac:dyDescent="0.25">
      <c r="A220" s="59" t="s">
        <v>750</v>
      </c>
      <c r="B220" s="59" t="s">
        <v>751</v>
      </c>
    </row>
    <row r="221" spans="1:2" x14ac:dyDescent="0.25">
      <c r="A221" s="59" t="s">
        <v>1269</v>
      </c>
      <c r="B221" s="59" t="s">
        <v>754</v>
      </c>
    </row>
    <row r="222" spans="1:2" x14ac:dyDescent="0.25">
      <c r="A222" s="59" t="s">
        <v>528</v>
      </c>
      <c r="B222" s="59">
        <v>2</v>
      </c>
    </row>
    <row r="223" spans="1:2" x14ac:dyDescent="0.25">
      <c r="A223" s="59" t="s">
        <v>1270</v>
      </c>
      <c r="B223" s="59" t="s">
        <v>621</v>
      </c>
    </row>
    <row r="224" spans="1:2" x14ac:dyDescent="0.25">
      <c r="A224" s="59" t="s">
        <v>1271</v>
      </c>
      <c r="B224" s="59" t="s">
        <v>639</v>
      </c>
    </row>
    <row r="225" spans="1:2" x14ac:dyDescent="0.25">
      <c r="A225" s="59" t="s">
        <v>1271</v>
      </c>
      <c r="B225" s="59">
        <v>205878</v>
      </c>
    </row>
    <row r="226" spans="1:2" x14ac:dyDescent="0.25">
      <c r="A226" s="59" t="s">
        <v>529</v>
      </c>
      <c r="B226" s="59">
        <v>205956</v>
      </c>
    </row>
    <row r="227" spans="1:2" x14ac:dyDescent="0.25">
      <c r="A227" s="59" t="s">
        <v>1273</v>
      </c>
      <c r="B227" s="59" t="s">
        <v>759</v>
      </c>
    </row>
    <row r="228" spans="1:2" x14ac:dyDescent="0.25">
      <c r="A228" s="59" t="s">
        <v>1382</v>
      </c>
      <c r="B228" s="59">
        <v>472319</v>
      </c>
    </row>
    <row r="229" spans="1:2" x14ac:dyDescent="0.25">
      <c r="A229" s="59" t="s">
        <v>1272</v>
      </c>
      <c r="B229" s="59">
        <v>260849</v>
      </c>
    </row>
    <row r="230" spans="1:2" x14ac:dyDescent="0.25">
      <c r="A230" s="59" t="s">
        <v>1383</v>
      </c>
      <c r="B230" s="59">
        <v>482805</v>
      </c>
    </row>
    <row r="231" spans="1:2" x14ac:dyDescent="0.25">
      <c r="A231" s="59" t="s">
        <v>1381</v>
      </c>
      <c r="B231" s="59">
        <v>447579</v>
      </c>
    </row>
    <row r="232" spans="1:2" x14ac:dyDescent="0.25">
      <c r="A232" s="59" t="s">
        <v>1274</v>
      </c>
      <c r="B232" s="59" t="s">
        <v>280</v>
      </c>
    </row>
    <row r="233" spans="1:2" x14ac:dyDescent="0.25">
      <c r="A233" s="59" t="s">
        <v>1275</v>
      </c>
      <c r="B233" s="59" t="s">
        <v>762</v>
      </c>
    </row>
    <row r="234" spans="1:2" x14ac:dyDescent="0.25">
      <c r="A234" s="59" t="s">
        <v>1277</v>
      </c>
      <c r="B234" s="59" t="s">
        <v>766</v>
      </c>
    </row>
    <row r="235" spans="1:2" x14ac:dyDescent="0.25">
      <c r="A235" s="59" t="s">
        <v>1276</v>
      </c>
      <c r="B235" s="59" t="s">
        <v>764</v>
      </c>
    </row>
    <row r="236" spans="1:2" x14ac:dyDescent="0.25">
      <c r="A236" s="59" t="s">
        <v>1279</v>
      </c>
      <c r="B236" s="59" t="s">
        <v>771</v>
      </c>
    </row>
    <row r="237" spans="1:2" x14ac:dyDescent="0.25">
      <c r="A237" s="437" t="s">
        <v>1278</v>
      </c>
      <c r="B237" s="529" t="s">
        <v>768</v>
      </c>
    </row>
    <row r="238" spans="1:2" x14ac:dyDescent="0.25">
      <c r="A238" s="437" t="s">
        <v>564</v>
      </c>
      <c r="B238" s="529" t="s">
        <v>281</v>
      </c>
    </row>
    <row r="239" spans="1:2" x14ac:dyDescent="0.25">
      <c r="A239" s="59" t="s">
        <v>1284</v>
      </c>
      <c r="B239" s="59" t="s">
        <v>774</v>
      </c>
    </row>
    <row r="240" spans="1:2" x14ac:dyDescent="0.25">
      <c r="A240" s="59" t="s">
        <v>1384</v>
      </c>
      <c r="B240" s="59">
        <v>484039</v>
      </c>
    </row>
    <row r="241" spans="1:2" x14ac:dyDescent="0.25">
      <c r="A241" s="59" t="s">
        <v>1285</v>
      </c>
      <c r="B241" s="59" t="s">
        <v>776</v>
      </c>
    </row>
    <row r="242" spans="1:2" x14ac:dyDescent="0.25">
      <c r="A242" s="59" t="s">
        <v>1385</v>
      </c>
      <c r="B242" s="59">
        <v>343478</v>
      </c>
    </row>
    <row r="243" spans="1:2" x14ac:dyDescent="0.25">
      <c r="A243" s="59" t="s">
        <v>532</v>
      </c>
      <c r="B243" s="59" t="s">
        <v>283</v>
      </c>
    </row>
    <row r="244" spans="1:2" x14ac:dyDescent="0.25">
      <c r="A244" s="59" t="s">
        <v>1280</v>
      </c>
      <c r="B244" s="59">
        <v>206031</v>
      </c>
    </row>
    <row r="245" spans="1:2" x14ac:dyDescent="0.25">
      <c r="A245" s="59" t="s">
        <v>531</v>
      </c>
      <c r="B245" s="59" t="s">
        <v>284</v>
      </c>
    </row>
    <row r="246" spans="1:2" x14ac:dyDescent="0.25">
      <c r="A246" s="59" t="s">
        <v>530</v>
      </c>
      <c r="B246" s="59" t="s">
        <v>282</v>
      </c>
    </row>
    <row r="247" spans="1:2" x14ac:dyDescent="0.25">
      <c r="A247" s="59" t="s">
        <v>1281</v>
      </c>
      <c r="B247" s="59" t="s">
        <v>781</v>
      </c>
    </row>
    <row r="248" spans="1:2" x14ac:dyDescent="0.25">
      <c r="A248" s="59" t="s">
        <v>1255</v>
      </c>
      <c r="B248" s="59" t="s">
        <v>285</v>
      </c>
    </row>
    <row r="249" spans="1:2" x14ac:dyDescent="0.25">
      <c r="A249" s="59" t="s">
        <v>1289</v>
      </c>
      <c r="B249" s="59">
        <v>260848</v>
      </c>
    </row>
    <row r="250" spans="1:2" x14ac:dyDescent="0.25">
      <c r="A250" s="59" t="s">
        <v>565</v>
      </c>
      <c r="B250" s="59">
        <v>206043</v>
      </c>
    </row>
    <row r="251" spans="1:2" x14ac:dyDescent="0.25">
      <c r="A251" s="59" t="s">
        <v>533</v>
      </c>
      <c r="B251" s="59" t="s">
        <v>286</v>
      </c>
    </row>
    <row r="252" spans="1:2" x14ac:dyDescent="0.25">
      <c r="A252" s="59" t="s">
        <v>533</v>
      </c>
      <c r="B252" s="59">
        <v>505502</v>
      </c>
    </row>
    <row r="253" spans="1:2" x14ac:dyDescent="0.25">
      <c r="A253" s="59" t="s">
        <v>563</v>
      </c>
      <c r="B253" s="59">
        <v>205978</v>
      </c>
    </row>
    <row r="254" spans="1:2" x14ac:dyDescent="0.25">
      <c r="A254" s="59" t="s">
        <v>1296</v>
      </c>
      <c r="B254" s="59">
        <v>435150</v>
      </c>
    </row>
    <row r="255" spans="1:2" x14ac:dyDescent="0.25">
      <c r="A255" s="59" t="s">
        <v>1288</v>
      </c>
      <c r="B255" s="59">
        <v>206067</v>
      </c>
    </row>
    <row r="256" spans="1:2" x14ac:dyDescent="0.25">
      <c r="A256" s="59" t="s">
        <v>534</v>
      </c>
      <c r="B256" s="59" t="s">
        <v>287</v>
      </c>
    </row>
    <row r="257" spans="1:2" x14ac:dyDescent="0.25">
      <c r="A257" s="59" t="s">
        <v>1282</v>
      </c>
      <c r="B257" s="59" t="s">
        <v>279</v>
      </c>
    </row>
    <row r="258" spans="1:2" x14ac:dyDescent="0.25">
      <c r="A258" s="59" t="s">
        <v>535</v>
      </c>
      <c r="B258" s="59" t="s">
        <v>288</v>
      </c>
    </row>
    <row r="259" spans="1:2" x14ac:dyDescent="0.25">
      <c r="A259" s="59" t="s">
        <v>1286</v>
      </c>
      <c r="B259" s="59" t="s">
        <v>793</v>
      </c>
    </row>
    <row r="260" spans="1:2" x14ac:dyDescent="0.25">
      <c r="A260" s="59" t="s">
        <v>1386</v>
      </c>
      <c r="B260" s="59">
        <v>414019</v>
      </c>
    </row>
    <row r="261" spans="1:2" x14ac:dyDescent="0.25">
      <c r="A261" s="59" t="s">
        <v>567</v>
      </c>
      <c r="B261" s="59" t="s">
        <v>274</v>
      </c>
    </row>
    <row r="262" spans="1:2" x14ac:dyDescent="0.25">
      <c r="A262" s="59" t="s">
        <v>1387</v>
      </c>
      <c r="B262" s="59">
        <v>458078</v>
      </c>
    </row>
    <row r="263" spans="1:2" x14ac:dyDescent="0.25">
      <c r="A263" s="59" t="s">
        <v>1287</v>
      </c>
      <c r="B263" s="59" t="s">
        <v>795</v>
      </c>
    </row>
    <row r="264" spans="1:2" x14ac:dyDescent="0.25">
      <c r="A264" s="59" t="s">
        <v>289</v>
      </c>
      <c r="B264" s="59" t="s">
        <v>290</v>
      </c>
    </row>
    <row r="265" spans="1:2" x14ac:dyDescent="0.25">
      <c r="A265" s="59" t="s">
        <v>1306</v>
      </c>
      <c r="B265" s="59">
        <v>4003</v>
      </c>
    </row>
    <row r="266" spans="1:2" x14ac:dyDescent="0.25">
      <c r="A266" s="59" t="s">
        <v>797</v>
      </c>
      <c r="B266" s="59" t="s">
        <v>798</v>
      </c>
    </row>
    <row r="267" spans="1:2" x14ac:dyDescent="0.25">
      <c r="A267" s="59" t="s">
        <v>291</v>
      </c>
      <c r="B267" s="59" t="s">
        <v>293</v>
      </c>
    </row>
    <row r="268" spans="1:2" x14ac:dyDescent="0.25">
      <c r="A268" s="59" t="s">
        <v>111</v>
      </c>
      <c r="B268" s="59">
        <v>4178</v>
      </c>
    </row>
    <row r="269" spans="1:2" x14ac:dyDescent="0.25">
      <c r="A269" s="59" t="s">
        <v>98</v>
      </c>
      <c r="B269" s="59">
        <v>3158</v>
      </c>
    </row>
    <row r="270" spans="1:2" x14ac:dyDescent="0.25">
      <c r="A270" s="59" t="s">
        <v>32</v>
      </c>
      <c r="B270" s="59">
        <v>2619</v>
      </c>
    </row>
    <row r="271" spans="1:2" x14ac:dyDescent="0.25">
      <c r="A271" s="59" t="s">
        <v>1388</v>
      </c>
      <c r="B271" s="59">
        <v>479542</v>
      </c>
    </row>
    <row r="272" spans="1:2" x14ac:dyDescent="0.25">
      <c r="A272" s="59" t="s">
        <v>1389</v>
      </c>
      <c r="B272" s="59" t="s">
        <v>1390</v>
      </c>
    </row>
    <row r="273" spans="1:2" x14ac:dyDescent="0.25">
      <c r="A273" s="59" t="s">
        <v>799</v>
      </c>
      <c r="B273" s="59" t="s">
        <v>800</v>
      </c>
    </row>
    <row r="274" spans="1:2" x14ac:dyDescent="0.25">
      <c r="A274" s="59" t="s">
        <v>1391</v>
      </c>
      <c r="B274" s="59">
        <v>487369</v>
      </c>
    </row>
    <row r="275" spans="1:2" x14ac:dyDescent="0.25">
      <c r="A275" s="59" t="s">
        <v>1392</v>
      </c>
      <c r="B275" s="59">
        <v>477763</v>
      </c>
    </row>
    <row r="276" spans="1:2" x14ac:dyDescent="0.25">
      <c r="A276" s="59" t="s">
        <v>294</v>
      </c>
      <c r="B276" s="59" t="s">
        <v>295</v>
      </c>
    </row>
    <row r="277" spans="1:2" x14ac:dyDescent="0.25">
      <c r="A277" s="59" t="s">
        <v>296</v>
      </c>
      <c r="B277" s="59">
        <v>258417</v>
      </c>
    </row>
    <row r="278" spans="1:2" x14ac:dyDescent="0.25">
      <c r="A278" s="59" t="s">
        <v>298</v>
      </c>
      <c r="B278" s="59" t="s">
        <v>300</v>
      </c>
    </row>
    <row r="279" spans="1:2" x14ac:dyDescent="0.25">
      <c r="A279" s="59" t="s">
        <v>301</v>
      </c>
      <c r="B279" s="59" t="s">
        <v>303</v>
      </c>
    </row>
    <row r="280" spans="1:2" x14ac:dyDescent="0.25">
      <c r="A280" s="59" t="s">
        <v>33</v>
      </c>
      <c r="B280" s="59">
        <v>2518</v>
      </c>
    </row>
    <row r="281" spans="1:2" x14ac:dyDescent="0.25">
      <c r="A281" s="59" t="s">
        <v>801</v>
      </c>
      <c r="B281" s="59" t="s">
        <v>802</v>
      </c>
    </row>
    <row r="282" spans="1:2" x14ac:dyDescent="0.25">
      <c r="A282" s="59" t="s">
        <v>304</v>
      </c>
      <c r="B282" s="59">
        <v>206106</v>
      </c>
    </row>
    <row r="283" spans="1:2" x14ac:dyDescent="0.25">
      <c r="A283" s="59" t="s">
        <v>306</v>
      </c>
      <c r="B283" s="59" t="s">
        <v>307</v>
      </c>
    </row>
    <row r="284" spans="1:2" x14ac:dyDescent="0.25">
      <c r="A284" s="59" t="s">
        <v>803</v>
      </c>
      <c r="B284" s="59" t="s">
        <v>804</v>
      </c>
    </row>
    <row r="285" spans="1:2" x14ac:dyDescent="0.25">
      <c r="A285" s="59" t="s">
        <v>34</v>
      </c>
      <c r="B285" s="59">
        <v>2457</v>
      </c>
    </row>
    <row r="286" spans="1:2" x14ac:dyDescent="0.25">
      <c r="A286" s="59" t="s">
        <v>99</v>
      </c>
      <c r="B286" s="59">
        <v>2010</v>
      </c>
    </row>
    <row r="287" spans="1:2" x14ac:dyDescent="0.25">
      <c r="A287" s="59" t="s">
        <v>35</v>
      </c>
      <c r="B287" s="59">
        <v>2002</v>
      </c>
    </row>
    <row r="288" spans="1:2" x14ac:dyDescent="0.25">
      <c r="A288" s="59" t="s">
        <v>36</v>
      </c>
      <c r="B288" s="59">
        <v>3544</v>
      </c>
    </row>
    <row r="289" spans="1:2" x14ac:dyDescent="0.25">
      <c r="A289" s="59" t="s">
        <v>5</v>
      </c>
      <c r="B289" s="59">
        <v>1008</v>
      </c>
    </row>
    <row r="290" spans="1:2" x14ac:dyDescent="0.25">
      <c r="A290" s="59" t="s">
        <v>308</v>
      </c>
      <c r="B290" s="59" t="s">
        <v>309</v>
      </c>
    </row>
    <row r="291" spans="1:2" x14ac:dyDescent="0.25">
      <c r="A291" s="59" t="s">
        <v>100</v>
      </c>
      <c r="B291" s="59">
        <v>2006</v>
      </c>
    </row>
    <row r="292" spans="1:2" x14ac:dyDescent="0.25">
      <c r="A292" s="59" t="s">
        <v>310</v>
      </c>
      <c r="B292" s="59" t="s">
        <v>311</v>
      </c>
    </row>
    <row r="293" spans="1:2" x14ac:dyDescent="0.25">
      <c r="A293" s="59" t="s">
        <v>312</v>
      </c>
      <c r="B293" s="59">
        <v>206133</v>
      </c>
    </row>
    <row r="294" spans="1:2" x14ac:dyDescent="0.25">
      <c r="A294" s="59" t="s">
        <v>806</v>
      </c>
      <c r="B294" s="59" t="s">
        <v>807</v>
      </c>
    </row>
    <row r="295" spans="1:2" x14ac:dyDescent="0.25">
      <c r="A295" s="59" t="s">
        <v>314</v>
      </c>
      <c r="B295" s="59" t="s">
        <v>316</v>
      </c>
    </row>
    <row r="296" spans="1:2" x14ac:dyDescent="0.25">
      <c r="A296" s="59" t="s">
        <v>317</v>
      </c>
      <c r="B296" s="59">
        <v>206134</v>
      </c>
    </row>
    <row r="297" spans="1:2" x14ac:dyDescent="0.25">
      <c r="A297" s="59" t="s">
        <v>321</v>
      </c>
      <c r="B297" s="59" t="s">
        <v>322</v>
      </c>
    </row>
    <row r="298" spans="1:2" x14ac:dyDescent="0.25">
      <c r="A298" s="59" t="s">
        <v>319</v>
      </c>
      <c r="B298" s="59" t="s">
        <v>320</v>
      </c>
    </row>
    <row r="299" spans="1:2" x14ac:dyDescent="0.25">
      <c r="A299" s="59" t="s">
        <v>323</v>
      </c>
      <c r="B299" s="59" t="s">
        <v>324</v>
      </c>
    </row>
    <row r="300" spans="1:2" x14ac:dyDescent="0.25">
      <c r="A300" s="59" t="s">
        <v>325</v>
      </c>
      <c r="B300" s="59">
        <v>206109</v>
      </c>
    </row>
    <row r="301" spans="1:2" x14ac:dyDescent="0.25">
      <c r="A301" s="59" t="s">
        <v>37</v>
      </c>
      <c r="B301" s="59">
        <v>2434</v>
      </c>
    </row>
    <row r="302" spans="1:2" x14ac:dyDescent="0.25">
      <c r="A302" s="59" t="s">
        <v>42</v>
      </c>
      <c r="B302" s="59">
        <v>2009</v>
      </c>
    </row>
    <row r="303" spans="1:2" x14ac:dyDescent="0.25">
      <c r="A303" s="59" t="s">
        <v>569</v>
      </c>
      <c r="B303" s="59">
        <v>6905</v>
      </c>
    </row>
    <row r="304" spans="1:2" x14ac:dyDescent="0.25">
      <c r="A304" s="59" t="s">
        <v>38</v>
      </c>
      <c r="B304" s="59">
        <v>2522</v>
      </c>
    </row>
    <row r="305" spans="1:2" x14ac:dyDescent="0.25">
      <c r="A305" s="59" t="s">
        <v>327</v>
      </c>
      <c r="B305" s="59">
        <v>206110</v>
      </c>
    </row>
    <row r="306" spans="1:2" x14ac:dyDescent="0.25">
      <c r="A306" s="59" t="s">
        <v>329</v>
      </c>
      <c r="B306" s="59">
        <v>206135</v>
      </c>
    </row>
    <row r="307" spans="1:2" x14ac:dyDescent="0.25">
      <c r="A307" s="59" t="s">
        <v>69</v>
      </c>
      <c r="B307" s="59">
        <v>4181</v>
      </c>
    </row>
    <row r="308" spans="1:2" x14ac:dyDescent="0.25">
      <c r="A308" s="59" t="s">
        <v>331</v>
      </c>
      <c r="B308" s="59">
        <v>509195</v>
      </c>
    </row>
    <row r="309" spans="1:2" x14ac:dyDescent="0.25">
      <c r="A309" s="59" t="s">
        <v>1393</v>
      </c>
      <c r="B309" s="59">
        <v>480857</v>
      </c>
    </row>
    <row r="310" spans="1:2" x14ac:dyDescent="0.25">
      <c r="A310" s="59" t="s">
        <v>333</v>
      </c>
      <c r="B310" s="59" t="s">
        <v>334</v>
      </c>
    </row>
    <row r="311" spans="1:2" x14ac:dyDescent="0.25">
      <c r="A311" s="59" t="s">
        <v>335</v>
      </c>
      <c r="B311" s="59" t="s">
        <v>336</v>
      </c>
    </row>
    <row r="312" spans="1:2" x14ac:dyDescent="0.25">
      <c r="A312" s="59" t="s">
        <v>1394</v>
      </c>
      <c r="B312" s="59">
        <v>492973</v>
      </c>
    </row>
    <row r="313" spans="1:2" x14ac:dyDescent="0.25">
      <c r="A313" s="59" t="s">
        <v>337</v>
      </c>
      <c r="B313" s="59" t="s">
        <v>339</v>
      </c>
    </row>
    <row r="314" spans="1:2" x14ac:dyDescent="0.25">
      <c r="A314" s="59" t="s">
        <v>340</v>
      </c>
      <c r="B314" s="59">
        <v>509199</v>
      </c>
    </row>
    <row r="315" spans="1:2" x14ac:dyDescent="0.25">
      <c r="A315" s="59" t="s">
        <v>342</v>
      </c>
      <c r="B315" s="59">
        <v>509197</v>
      </c>
    </row>
    <row r="316" spans="1:2" x14ac:dyDescent="0.25">
      <c r="A316" s="59" t="s">
        <v>808</v>
      </c>
      <c r="B316" s="59">
        <v>479383</v>
      </c>
    </row>
    <row r="317" spans="1:2" x14ac:dyDescent="0.25">
      <c r="A317" s="59" t="s">
        <v>347</v>
      </c>
      <c r="B317" s="59" t="s">
        <v>348</v>
      </c>
    </row>
    <row r="318" spans="1:2" x14ac:dyDescent="0.25">
      <c r="A318" s="59" t="s">
        <v>70</v>
      </c>
      <c r="B318" s="59">
        <v>4182</v>
      </c>
    </row>
    <row r="319" spans="1:2" x14ac:dyDescent="0.25">
      <c r="A319" s="59" t="s">
        <v>344</v>
      </c>
      <c r="B319" s="59" t="s">
        <v>346</v>
      </c>
    </row>
    <row r="320" spans="1:2" x14ac:dyDescent="0.25">
      <c r="A320" s="59" t="s">
        <v>6</v>
      </c>
      <c r="B320" s="59">
        <v>1005</v>
      </c>
    </row>
    <row r="321" spans="1:2" x14ac:dyDescent="0.25">
      <c r="A321" s="59" t="s">
        <v>809</v>
      </c>
      <c r="B321" s="59" t="s">
        <v>810</v>
      </c>
    </row>
    <row r="322" spans="1:2" x14ac:dyDescent="0.25">
      <c r="A322" s="59" t="s">
        <v>39</v>
      </c>
      <c r="B322" s="59">
        <v>2436</v>
      </c>
    </row>
    <row r="323" spans="1:2" x14ac:dyDescent="0.25">
      <c r="A323" s="59" t="s">
        <v>349</v>
      </c>
      <c r="B323" s="59">
        <v>206117</v>
      </c>
    </row>
    <row r="324" spans="1:2" x14ac:dyDescent="0.25">
      <c r="A324" s="59" t="s">
        <v>40</v>
      </c>
      <c r="B324" s="59">
        <v>2452</v>
      </c>
    </row>
    <row r="325" spans="1:2" x14ac:dyDescent="0.25">
      <c r="A325" s="59" t="s">
        <v>71</v>
      </c>
      <c r="B325" s="59">
        <v>4001</v>
      </c>
    </row>
    <row r="326" spans="1:2" x14ac:dyDescent="0.25">
      <c r="A326" s="59" t="s">
        <v>351</v>
      </c>
      <c r="B326" s="59">
        <v>206141</v>
      </c>
    </row>
    <row r="327" spans="1:2" x14ac:dyDescent="0.25">
      <c r="A327" s="59" t="s">
        <v>41</v>
      </c>
      <c r="B327" s="59">
        <v>2627</v>
      </c>
    </row>
    <row r="328" spans="1:2" x14ac:dyDescent="0.25">
      <c r="A328" s="59" t="s">
        <v>112</v>
      </c>
      <c r="B328" s="59">
        <v>5406</v>
      </c>
    </row>
    <row r="329" spans="1:2" x14ac:dyDescent="0.25">
      <c r="A329" s="59" t="s">
        <v>113</v>
      </c>
      <c r="B329" s="59">
        <v>5407</v>
      </c>
    </row>
    <row r="330" spans="1:2" x14ac:dyDescent="0.25">
      <c r="A330" s="59" t="s">
        <v>353</v>
      </c>
      <c r="B330" s="59" t="s">
        <v>355</v>
      </c>
    </row>
    <row r="331" spans="1:2" x14ac:dyDescent="0.25">
      <c r="A331" s="59" t="s">
        <v>356</v>
      </c>
      <c r="B331" s="59">
        <v>258404</v>
      </c>
    </row>
    <row r="332" spans="1:2" x14ac:dyDescent="0.25">
      <c r="A332" s="59" t="s">
        <v>101</v>
      </c>
      <c r="B332" s="59">
        <v>2473</v>
      </c>
    </row>
    <row r="333" spans="1:2" x14ac:dyDescent="0.25">
      <c r="A333" s="59" t="s">
        <v>44</v>
      </c>
      <c r="B333" s="59">
        <v>2471</v>
      </c>
    </row>
    <row r="334" spans="1:2" x14ac:dyDescent="0.25">
      <c r="A334" s="59" t="s">
        <v>358</v>
      </c>
      <c r="B334" s="59">
        <v>258405</v>
      </c>
    </row>
    <row r="335" spans="1:2" x14ac:dyDescent="0.25">
      <c r="A335" s="59" t="s">
        <v>360</v>
      </c>
      <c r="B335" s="59">
        <v>258406</v>
      </c>
    </row>
    <row r="336" spans="1:2" x14ac:dyDescent="0.25">
      <c r="A336" s="59" t="s">
        <v>1395</v>
      </c>
      <c r="B336" s="59">
        <v>206145</v>
      </c>
    </row>
    <row r="337" spans="1:2" x14ac:dyDescent="0.25">
      <c r="A337" s="59" t="s">
        <v>43</v>
      </c>
      <c r="B337" s="59">
        <v>2420</v>
      </c>
    </row>
    <row r="338" spans="1:2" x14ac:dyDescent="0.25">
      <c r="A338" s="59" t="s">
        <v>362</v>
      </c>
      <c r="B338" s="59">
        <v>206160</v>
      </c>
    </row>
    <row r="339" spans="1:2" x14ac:dyDescent="0.25">
      <c r="A339" s="59" t="s">
        <v>45</v>
      </c>
      <c r="B339" s="59">
        <v>2003</v>
      </c>
    </row>
    <row r="340" spans="1:2" x14ac:dyDescent="0.25">
      <c r="A340" s="59" t="s">
        <v>46</v>
      </c>
      <c r="B340" s="59">
        <v>2423</v>
      </c>
    </row>
    <row r="341" spans="1:2" x14ac:dyDescent="0.25">
      <c r="A341" s="59" t="s">
        <v>47</v>
      </c>
      <c r="B341" s="59">
        <v>2424</v>
      </c>
    </row>
    <row r="342" spans="1:2" x14ac:dyDescent="0.25">
      <c r="A342" s="59" t="s">
        <v>364</v>
      </c>
      <c r="B342" s="59" t="s">
        <v>366</v>
      </c>
    </row>
    <row r="343" spans="1:2" x14ac:dyDescent="0.25">
      <c r="A343" s="59" t="s">
        <v>367</v>
      </c>
      <c r="B343" s="59" t="s">
        <v>368</v>
      </c>
    </row>
    <row r="344" spans="1:2" x14ac:dyDescent="0.25">
      <c r="A344" s="59" t="s">
        <v>369</v>
      </c>
      <c r="B344" s="59" t="s">
        <v>371</v>
      </c>
    </row>
    <row r="345" spans="1:2" x14ac:dyDescent="0.25">
      <c r="A345" s="59" t="s">
        <v>811</v>
      </c>
      <c r="B345" s="59" t="s">
        <v>812</v>
      </c>
    </row>
    <row r="346" spans="1:2" x14ac:dyDescent="0.25">
      <c r="A346" s="59" t="s">
        <v>372</v>
      </c>
      <c r="B346" s="59">
        <v>206146</v>
      </c>
    </row>
    <row r="347" spans="1:2" x14ac:dyDescent="0.25">
      <c r="A347" s="59" t="s">
        <v>48</v>
      </c>
      <c r="B347" s="59">
        <v>2439</v>
      </c>
    </row>
    <row r="348" spans="1:2" x14ac:dyDescent="0.25">
      <c r="A348" s="59" t="s">
        <v>49</v>
      </c>
      <c r="B348" s="59">
        <v>2440</v>
      </c>
    </row>
    <row r="349" spans="1:2" x14ac:dyDescent="0.25">
      <c r="A349" s="59" t="s">
        <v>374</v>
      </c>
      <c r="B349" s="59" t="s">
        <v>375</v>
      </c>
    </row>
    <row r="350" spans="1:2" x14ac:dyDescent="0.25">
      <c r="A350" s="59" t="s">
        <v>813</v>
      </c>
      <c r="B350" s="59" t="s">
        <v>814</v>
      </c>
    </row>
    <row r="351" spans="1:2" x14ac:dyDescent="0.25">
      <c r="A351" s="59" t="s">
        <v>815</v>
      </c>
      <c r="B351" s="59" t="s">
        <v>816</v>
      </c>
    </row>
    <row r="352" spans="1:2" x14ac:dyDescent="0.25">
      <c r="A352" s="67" t="s">
        <v>377</v>
      </c>
      <c r="B352" s="67" t="s">
        <v>378</v>
      </c>
    </row>
    <row r="353" spans="1:2" x14ac:dyDescent="0.25">
      <c r="A353" s="105" t="s">
        <v>377</v>
      </c>
      <c r="B353" s="110" t="s">
        <v>817</v>
      </c>
    </row>
    <row r="354" spans="1:2" x14ac:dyDescent="0.25">
      <c r="A354" s="105" t="s">
        <v>102</v>
      </c>
      <c r="B354" s="110">
        <v>2462</v>
      </c>
    </row>
    <row r="355" spans="1:2" x14ac:dyDescent="0.25">
      <c r="A355" s="105" t="s">
        <v>50</v>
      </c>
      <c r="B355" s="110">
        <v>2463</v>
      </c>
    </row>
    <row r="356" spans="1:2" x14ac:dyDescent="0.25">
      <c r="A356" s="105" t="s">
        <v>51</v>
      </c>
      <c r="B356" s="67">
        <v>2505</v>
      </c>
    </row>
    <row r="357" spans="1:2" x14ac:dyDescent="0.25">
      <c r="A357" s="105" t="s">
        <v>1304</v>
      </c>
      <c r="B357" s="110">
        <v>2000</v>
      </c>
    </row>
    <row r="358" spans="1:2" x14ac:dyDescent="0.25">
      <c r="A358" s="105" t="s">
        <v>53</v>
      </c>
      <c r="B358" s="67">
        <v>2458</v>
      </c>
    </row>
    <row r="359" spans="1:2" x14ac:dyDescent="0.25">
      <c r="A359" s="105" t="s">
        <v>379</v>
      </c>
      <c r="B359" s="67" t="s">
        <v>381</v>
      </c>
    </row>
    <row r="360" spans="1:2" x14ac:dyDescent="0.25">
      <c r="A360" s="105" t="s">
        <v>54</v>
      </c>
      <c r="B360" s="67">
        <v>2001</v>
      </c>
    </row>
    <row r="361" spans="1:2" x14ac:dyDescent="0.25">
      <c r="A361" s="105" t="s">
        <v>382</v>
      </c>
      <c r="B361" s="67" t="s">
        <v>383</v>
      </c>
    </row>
    <row r="362" spans="1:2" x14ac:dyDescent="0.25">
      <c r="A362" s="105" t="s">
        <v>55</v>
      </c>
      <c r="B362" s="67">
        <v>2429</v>
      </c>
    </row>
    <row r="363" spans="1:2" x14ac:dyDescent="0.25">
      <c r="A363" s="105" t="s">
        <v>384</v>
      </c>
      <c r="B363" s="67">
        <v>113044</v>
      </c>
    </row>
    <row r="364" spans="1:2" x14ac:dyDescent="0.25">
      <c r="A364" s="105" t="s">
        <v>386</v>
      </c>
      <c r="B364" s="67" t="s">
        <v>388</v>
      </c>
    </row>
    <row r="365" spans="1:2" x14ac:dyDescent="0.25">
      <c r="A365" s="105" t="s">
        <v>72</v>
      </c>
      <c r="B365" s="67">
        <v>4607</v>
      </c>
    </row>
    <row r="366" spans="1:2" x14ac:dyDescent="0.25">
      <c r="A366" s="105" t="s">
        <v>818</v>
      </c>
      <c r="B366" s="67" t="s">
        <v>819</v>
      </c>
    </row>
    <row r="367" spans="1:2" x14ac:dyDescent="0.25">
      <c r="A367" s="105" t="s">
        <v>820</v>
      </c>
      <c r="B367" s="67" t="s">
        <v>821</v>
      </c>
    </row>
    <row r="368" spans="1:2" x14ac:dyDescent="0.25">
      <c r="A368" s="105" t="s">
        <v>56</v>
      </c>
      <c r="B368" s="67">
        <v>2444</v>
      </c>
    </row>
    <row r="369" spans="1:2" x14ac:dyDescent="0.25">
      <c r="A369" s="105" t="s">
        <v>57</v>
      </c>
      <c r="B369" s="67">
        <v>5209</v>
      </c>
    </row>
    <row r="370" spans="1:2" x14ac:dyDescent="0.25">
      <c r="A370" s="105" t="s">
        <v>389</v>
      </c>
      <c r="B370" s="67" t="s">
        <v>391</v>
      </c>
    </row>
    <row r="371" spans="1:2" x14ac:dyDescent="0.25">
      <c r="A371" s="105" t="s">
        <v>392</v>
      </c>
      <c r="B371" s="67" t="s">
        <v>394</v>
      </c>
    </row>
    <row r="372" spans="1:2" x14ac:dyDescent="0.25">
      <c r="A372" s="105" t="s">
        <v>58</v>
      </c>
      <c r="B372" s="67">
        <v>2469</v>
      </c>
    </row>
    <row r="373" spans="1:2" x14ac:dyDescent="0.25">
      <c r="A373" s="105" t="s">
        <v>395</v>
      </c>
      <c r="B373" s="110" t="s">
        <v>397</v>
      </c>
    </row>
    <row r="374" spans="1:2" x14ac:dyDescent="0.25">
      <c r="A374" s="105" t="s">
        <v>398</v>
      </c>
      <c r="B374" s="67" t="s">
        <v>399</v>
      </c>
    </row>
    <row r="375" spans="1:2" x14ac:dyDescent="0.25">
      <c r="A375" s="59" t="s">
        <v>59</v>
      </c>
      <c r="B375" s="59">
        <v>2466</v>
      </c>
    </row>
    <row r="376" spans="1:2" x14ac:dyDescent="0.25">
      <c r="A376" s="59" t="s">
        <v>60</v>
      </c>
      <c r="B376" s="59">
        <v>3543</v>
      </c>
    </row>
    <row r="377" spans="1:2" x14ac:dyDescent="0.25">
      <c r="A377" s="59" t="s">
        <v>400</v>
      </c>
      <c r="B377" s="59">
        <v>206152</v>
      </c>
    </row>
    <row r="378" spans="1:2" x14ac:dyDescent="0.25">
      <c r="A378" s="59" t="s">
        <v>402</v>
      </c>
      <c r="B378" s="59">
        <v>206153</v>
      </c>
    </row>
    <row r="379" spans="1:2" x14ac:dyDescent="0.25">
      <c r="A379" s="59" t="s">
        <v>62</v>
      </c>
      <c r="B379" s="59">
        <v>3531</v>
      </c>
    </row>
    <row r="380" spans="1:2" x14ac:dyDescent="0.25">
      <c r="A380" s="59" t="s">
        <v>63</v>
      </c>
      <c r="B380" s="59">
        <v>3526</v>
      </c>
    </row>
    <row r="381" spans="1:2" x14ac:dyDescent="0.25">
      <c r="A381" s="59" t="s">
        <v>104</v>
      </c>
      <c r="B381" s="59">
        <v>3535</v>
      </c>
    </row>
    <row r="382" spans="1:2" x14ac:dyDescent="0.25">
      <c r="A382" s="59" t="s">
        <v>64</v>
      </c>
      <c r="B382" s="59">
        <v>2008</v>
      </c>
    </row>
    <row r="383" spans="1:2" x14ac:dyDescent="0.25">
      <c r="A383" s="59" t="s">
        <v>105</v>
      </c>
      <c r="B383" s="59">
        <v>3542</v>
      </c>
    </row>
    <row r="384" spans="1:2" x14ac:dyDescent="0.25">
      <c r="A384" s="59" t="s">
        <v>404</v>
      </c>
      <c r="B384" s="59">
        <v>206154</v>
      </c>
    </row>
    <row r="385" spans="1:2" x14ac:dyDescent="0.25">
      <c r="A385" s="59" t="s">
        <v>106</v>
      </c>
      <c r="B385" s="59">
        <v>3528</v>
      </c>
    </row>
    <row r="386" spans="1:2" x14ac:dyDescent="0.25">
      <c r="A386" s="59" t="s">
        <v>406</v>
      </c>
      <c r="B386" s="59" t="s">
        <v>407</v>
      </c>
    </row>
    <row r="387" spans="1:2" x14ac:dyDescent="0.25">
      <c r="A387" s="59" t="s">
        <v>107</v>
      </c>
      <c r="B387" s="59">
        <v>3534</v>
      </c>
    </row>
    <row r="388" spans="1:2" x14ac:dyDescent="0.25">
      <c r="A388" s="59" t="s">
        <v>108</v>
      </c>
      <c r="B388" s="59">
        <v>3532</v>
      </c>
    </row>
    <row r="389" spans="1:2" x14ac:dyDescent="0.25">
      <c r="A389" s="59" t="s">
        <v>7</v>
      </c>
      <c r="B389" s="59">
        <v>1010</v>
      </c>
    </row>
    <row r="390" spans="1:2" x14ac:dyDescent="0.25">
      <c r="A390" s="59" t="s">
        <v>1396</v>
      </c>
      <c r="B390" s="59">
        <v>484523</v>
      </c>
    </row>
    <row r="391" spans="1:2" x14ac:dyDescent="0.25">
      <c r="A391" s="59" t="s">
        <v>408</v>
      </c>
      <c r="B391" s="59" t="s">
        <v>410</v>
      </c>
    </row>
    <row r="392" spans="1:2" x14ac:dyDescent="0.25">
      <c r="A392" s="59" t="s">
        <v>114</v>
      </c>
      <c r="B392" s="59">
        <v>4177</v>
      </c>
    </row>
    <row r="393" spans="1:2" x14ac:dyDescent="0.25">
      <c r="A393" s="59" t="s">
        <v>822</v>
      </c>
      <c r="B393" s="59" t="s">
        <v>824</v>
      </c>
    </row>
    <row r="394" spans="1:2" x14ac:dyDescent="0.25">
      <c r="A394" s="59" t="s">
        <v>411</v>
      </c>
      <c r="B394" s="59" t="s">
        <v>413</v>
      </c>
    </row>
    <row r="395" spans="1:2" x14ac:dyDescent="0.25">
      <c r="A395" s="59" t="s">
        <v>414</v>
      </c>
      <c r="B395" s="59">
        <v>206103</v>
      </c>
    </row>
    <row r="396" spans="1:2" x14ac:dyDescent="0.25">
      <c r="A396" s="59" t="s">
        <v>415</v>
      </c>
      <c r="B396" s="59" t="s">
        <v>417</v>
      </c>
    </row>
    <row r="397" spans="1:2" x14ac:dyDescent="0.25">
      <c r="A397" s="59" t="s">
        <v>418</v>
      </c>
      <c r="B397" s="59" t="s">
        <v>420</v>
      </c>
    </row>
    <row r="398" spans="1:2" x14ac:dyDescent="0.25">
      <c r="A398" s="59" t="s">
        <v>421</v>
      </c>
      <c r="B398" s="59">
        <v>258420</v>
      </c>
    </row>
    <row r="399" spans="1:2" x14ac:dyDescent="0.25">
      <c r="A399" s="59" t="s">
        <v>423</v>
      </c>
      <c r="B399" s="59">
        <v>258424</v>
      </c>
    </row>
    <row r="400" spans="1:2" x14ac:dyDescent="0.25">
      <c r="A400" s="59" t="s">
        <v>1397</v>
      </c>
      <c r="B400" s="59">
        <v>482634</v>
      </c>
    </row>
    <row r="401" spans="1:2" x14ac:dyDescent="0.25">
      <c r="A401" s="59" t="s">
        <v>425</v>
      </c>
      <c r="B401" s="59" t="s">
        <v>426</v>
      </c>
    </row>
    <row r="402" spans="1:2" x14ac:dyDescent="0.25">
      <c r="A402" s="59" t="s">
        <v>65</v>
      </c>
      <c r="B402" s="59">
        <v>3546</v>
      </c>
    </row>
    <row r="403" spans="1:2" x14ac:dyDescent="0.25">
      <c r="A403" s="59" t="s">
        <v>8</v>
      </c>
      <c r="B403" s="59">
        <v>1009</v>
      </c>
    </row>
    <row r="404" spans="1:2" x14ac:dyDescent="0.25">
      <c r="A404" s="59" t="s">
        <v>1398</v>
      </c>
      <c r="B404" s="59">
        <v>476554</v>
      </c>
    </row>
    <row r="405" spans="1:2" x14ac:dyDescent="0.25">
      <c r="A405" s="59" t="s">
        <v>66</v>
      </c>
      <c r="B405" s="59">
        <v>3530</v>
      </c>
    </row>
    <row r="406" spans="1:2" x14ac:dyDescent="0.25">
      <c r="A406" s="59" t="s">
        <v>74</v>
      </c>
      <c r="B406" s="59">
        <v>5412</v>
      </c>
    </row>
    <row r="407" spans="1:2" x14ac:dyDescent="0.25">
      <c r="A407" s="59" t="s">
        <v>432</v>
      </c>
      <c r="B407" s="59" t="s">
        <v>433</v>
      </c>
    </row>
    <row r="408" spans="1:2" x14ac:dyDescent="0.25">
      <c r="A408" s="59" t="s">
        <v>427</v>
      </c>
      <c r="B408" s="59" t="s">
        <v>429</v>
      </c>
    </row>
    <row r="409" spans="1:2" x14ac:dyDescent="0.25">
      <c r="A409" s="59" t="s">
        <v>9</v>
      </c>
      <c r="B409" s="59">
        <v>1015</v>
      </c>
    </row>
    <row r="410" spans="1:2" x14ac:dyDescent="0.25">
      <c r="A410" s="59" t="s">
        <v>430</v>
      </c>
      <c r="B410" s="59" t="s">
        <v>431</v>
      </c>
    </row>
    <row r="411" spans="1:2" x14ac:dyDescent="0.25">
      <c r="A411" s="59" t="s">
        <v>434</v>
      </c>
      <c r="B411" s="59">
        <v>509204</v>
      </c>
    </row>
    <row r="412" spans="1:2" x14ac:dyDescent="0.25">
      <c r="A412" s="59" t="s">
        <v>434</v>
      </c>
      <c r="B412" s="59" t="s">
        <v>825</v>
      </c>
    </row>
    <row r="413" spans="1:2" x14ac:dyDescent="0.25">
      <c r="A413" s="59" t="s">
        <v>67</v>
      </c>
      <c r="B413" s="59">
        <v>2459</v>
      </c>
    </row>
    <row r="414" spans="1:2" x14ac:dyDescent="0.25">
      <c r="A414" s="59" t="s">
        <v>96</v>
      </c>
      <c r="B414" s="59">
        <v>2007</v>
      </c>
    </row>
    <row r="415" spans="1:2" x14ac:dyDescent="0.25">
      <c r="A415" s="11"/>
      <c r="B415" s="2"/>
    </row>
    <row r="416" spans="1:2" x14ac:dyDescent="0.25">
      <c r="A416" s="11"/>
      <c r="B416" s="2"/>
    </row>
  </sheetData>
  <sheetProtection password="EF5C" sheet="1" objects="1" scenarios="1"/>
  <pageMargins left="0.7" right="0.7" top="0.75" bottom="0.75" header="0.3" footer="0.3"/>
  <pageSetup orientation="portrait"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V391"/>
  <sheetViews>
    <sheetView workbookViewId="0">
      <pane xSplit="2" ySplit="6" topLeftCell="C7" activePane="bottomRight" state="frozen"/>
      <selection activeCell="C118" sqref="C118"/>
      <selection pane="topRight" activeCell="C118" sqref="C118"/>
      <selection pane="bottomLeft" activeCell="C118" sqref="C118"/>
      <selection pane="bottomRight" activeCell="F24" sqref="F24"/>
    </sheetView>
  </sheetViews>
  <sheetFormatPr defaultColWidth="9.109375" defaultRowHeight="13.2" x14ac:dyDescent="0.25"/>
  <cols>
    <col min="1" max="1" width="52.44140625" style="22" bestFit="1" customWidth="1"/>
    <col min="2" max="2" width="17.109375" style="30" bestFit="1" customWidth="1"/>
    <col min="3" max="3" width="12.6640625" style="927" customWidth="1"/>
    <col min="4" max="4" width="11" style="30" bestFit="1" customWidth="1"/>
    <col min="5" max="5" width="9.109375" style="30"/>
    <col min="6" max="6" width="11.6640625" style="30" customWidth="1"/>
    <col min="7" max="7" width="52.44140625" style="22" bestFit="1" customWidth="1"/>
    <col min="8" max="8" width="17.109375" style="22" bestFit="1" customWidth="1"/>
    <col min="9" max="9" width="12.6640625" style="927" customWidth="1"/>
    <col min="10" max="10" width="11" style="22" bestFit="1" customWidth="1"/>
    <col min="11" max="12" width="9.109375" style="22"/>
    <col min="13" max="13" width="52.44140625" style="22" bestFit="1" customWidth="1"/>
    <col min="14" max="14" width="17.109375" style="22" bestFit="1" customWidth="1"/>
    <col min="15" max="15" width="12.6640625" style="927" customWidth="1"/>
    <col min="16" max="16" width="11" style="22" bestFit="1" customWidth="1"/>
    <col min="17" max="18" width="9.109375" style="30"/>
    <col min="19" max="19" width="52.44140625" style="30" bestFit="1" customWidth="1"/>
    <col min="20" max="20" width="17.109375" style="30" bestFit="1" customWidth="1"/>
    <col min="21" max="21" width="12.6640625" style="21" customWidth="1"/>
    <col min="22" max="22" width="11" style="30" bestFit="1" customWidth="1"/>
    <col min="23" max="16384" width="9.109375" style="30"/>
  </cols>
  <sheetData>
    <row r="1" spans="1:22" ht="12.75" customHeight="1" x14ac:dyDescent="0.25">
      <c r="A1" s="24" t="s">
        <v>958</v>
      </c>
      <c r="B1" s="926"/>
      <c r="D1" s="926"/>
      <c r="G1" s="24"/>
      <c r="H1" s="1252"/>
      <c r="J1" s="926"/>
      <c r="M1" s="24"/>
      <c r="N1" s="1252"/>
      <c r="P1" s="926"/>
      <c r="S1" s="1"/>
      <c r="T1" s="1253"/>
      <c r="U1" s="927"/>
      <c r="V1" s="926"/>
    </row>
    <row r="2" spans="1:22" x14ac:dyDescent="0.25">
      <c r="A2" s="24" t="s">
        <v>77</v>
      </c>
      <c r="B2" s="926"/>
      <c r="D2" s="926"/>
      <c r="E2" s="1254">
        <f>C5</f>
        <v>1353.2166999999999</v>
      </c>
      <c r="F2" s="1255"/>
      <c r="G2" s="24"/>
      <c r="H2" s="1252"/>
      <c r="J2" s="926"/>
      <c r="M2" s="24"/>
      <c r="N2" s="1252"/>
      <c r="P2" s="926"/>
      <c r="S2" s="1"/>
      <c r="T2" s="1253"/>
      <c r="U2" s="927"/>
      <c r="V2" s="926"/>
    </row>
    <row r="3" spans="1:22" x14ac:dyDescent="0.25">
      <c r="A3" s="24" t="s">
        <v>78</v>
      </c>
      <c r="B3" s="926"/>
      <c r="D3" s="926"/>
      <c r="G3" s="24"/>
      <c r="H3" s="1252"/>
      <c r="J3" s="926"/>
      <c r="M3" s="24"/>
      <c r="N3" s="1252"/>
      <c r="P3" s="926"/>
      <c r="S3" s="1"/>
      <c r="T3" s="1253"/>
      <c r="U3" s="927"/>
      <c r="V3" s="926"/>
    </row>
    <row r="4" spans="1:22" x14ac:dyDescent="0.25">
      <c r="A4" s="24" t="s">
        <v>79</v>
      </c>
      <c r="B4" s="927" t="s">
        <v>833</v>
      </c>
      <c r="D4" s="926"/>
      <c r="G4" s="24"/>
      <c r="H4" s="1252"/>
      <c r="J4" s="926"/>
      <c r="M4" s="24"/>
      <c r="N4" s="1252"/>
      <c r="P4" s="926"/>
      <c r="S4" s="1"/>
      <c r="T4" s="1253"/>
      <c r="U4" s="927"/>
      <c r="V4" s="926"/>
    </row>
    <row r="5" spans="1:22" x14ac:dyDescent="0.25">
      <c r="A5" s="24" t="s">
        <v>80</v>
      </c>
      <c r="B5" s="926"/>
      <c r="C5" s="927">
        <f>1657-303.7833</f>
        <v>1353.2166999999999</v>
      </c>
      <c r="D5" s="926"/>
      <c r="G5" s="30"/>
      <c r="H5" s="1252"/>
      <c r="J5" s="926"/>
      <c r="M5" s="24"/>
      <c r="N5" s="1252"/>
      <c r="P5" s="926"/>
      <c r="S5" s="1"/>
      <c r="T5" s="1253"/>
      <c r="U5" s="927"/>
      <c r="V5" s="926"/>
    </row>
    <row r="6" spans="1:22" ht="52.8" x14ac:dyDescent="0.25">
      <c r="A6" s="938" t="s">
        <v>118</v>
      </c>
      <c r="B6" s="6" t="s">
        <v>81</v>
      </c>
      <c r="C6" s="939" t="s">
        <v>979</v>
      </c>
      <c r="D6" s="8" t="s">
        <v>980</v>
      </c>
      <c r="G6" s="30"/>
      <c r="H6" s="940"/>
      <c r="I6" s="939"/>
      <c r="J6" s="8"/>
      <c r="M6" s="938"/>
      <c r="N6" s="940"/>
      <c r="O6" s="939"/>
      <c r="P6" s="8"/>
      <c r="S6" s="13"/>
      <c r="T6" s="6"/>
      <c r="U6" s="939"/>
      <c r="V6" s="8"/>
    </row>
    <row r="7" spans="1:22" ht="12.75" x14ac:dyDescent="0.2">
      <c r="A7" s="25" t="s">
        <v>1301</v>
      </c>
      <c r="B7" s="10">
        <v>2014</v>
      </c>
      <c r="C7" s="941">
        <v>0</v>
      </c>
      <c r="D7" s="942">
        <f>C$5*C7</f>
        <v>0</v>
      </c>
      <c r="G7" s="943"/>
      <c r="H7" s="26"/>
      <c r="I7" s="944"/>
      <c r="J7" s="942"/>
      <c r="M7" s="25"/>
      <c r="N7" s="26"/>
      <c r="O7" s="944"/>
      <c r="P7" s="942"/>
      <c r="S7" s="9"/>
      <c r="T7" s="10"/>
      <c r="U7" s="31"/>
      <c r="V7" s="942"/>
    </row>
    <row r="8" spans="1:22" ht="12.75" x14ac:dyDescent="0.2">
      <c r="A8" s="25" t="s">
        <v>10</v>
      </c>
      <c r="B8" s="10">
        <v>2012</v>
      </c>
      <c r="C8" s="941">
        <v>3.0929577464788731</v>
      </c>
      <c r="D8" s="942">
        <f>C$5*C8</f>
        <v>4185.4420749295768</v>
      </c>
      <c r="G8" s="943"/>
      <c r="H8" s="26"/>
      <c r="I8" s="944"/>
      <c r="J8" s="942"/>
      <c r="M8" s="25"/>
      <c r="N8" s="26"/>
      <c r="O8" s="944"/>
      <c r="P8" s="942"/>
      <c r="S8" s="9"/>
      <c r="T8" s="10"/>
      <c r="U8" s="31"/>
      <c r="V8" s="942"/>
    </row>
    <row r="9" spans="1:22" ht="12.75" x14ac:dyDescent="0.2">
      <c r="A9" s="25" t="s">
        <v>11</v>
      </c>
      <c r="B9" s="10">
        <v>2443</v>
      </c>
      <c r="C9" s="941">
        <v>0</v>
      </c>
      <c r="D9" s="942">
        <f t="shared" ref="D9:D72" si="0">C$5*C9</f>
        <v>0</v>
      </c>
      <c r="G9" s="943"/>
      <c r="H9" s="26"/>
      <c r="I9" s="944"/>
      <c r="J9" s="942"/>
      <c r="M9" s="25"/>
      <c r="N9" s="26"/>
      <c r="O9" s="944"/>
      <c r="P9" s="942"/>
      <c r="S9" s="9"/>
      <c r="T9" s="10"/>
      <c r="U9" s="31"/>
      <c r="V9" s="942"/>
    </row>
    <row r="10" spans="1:22" ht="12.75" x14ac:dyDescent="0.2">
      <c r="A10" s="25" t="s">
        <v>94</v>
      </c>
      <c r="B10" s="10">
        <v>2442</v>
      </c>
      <c r="C10" s="941">
        <v>0.99688473520249221</v>
      </c>
      <c r="D10" s="942">
        <f>C$5*C10</f>
        <v>1349.0010716510903</v>
      </c>
      <c r="G10" s="943"/>
      <c r="H10" s="26"/>
      <c r="I10" s="944"/>
      <c r="J10" s="942"/>
      <c r="M10" s="25"/>
      <c r="N10" s="26"/>
      <c r="O10" s="944"/>
      <c r="P10" s="942"/>
      <c r="S10" s="9"/>
      <c r="T10" s="10"/>
      <c r="U10" s="31"/>
      <c r="V10" s="942"/>
    </row>
    <row r="11" spans="1:22" ht="12.75" x14ac:dyDescent="0.2">
      <c r="A11" s="25" t="s">
        <v>13</v>
      </c>
      <c r="B11" s="10">
        <v>2629</v>
      </c>
      <c r="C11" s="941">
        <v>1.0924657534246576</v>
      </c>
      <c r="D11" s="942">
        <f t="shared" si="0"/>
        <v>1478.3429017123287</v>
      </c>
      <c r="G11" s="943"/>
      <c r="H11" s="26"/>
      <c r="I11" s="944"/>
      <c r="J11" s="942"/>
      <c r="M11" s="25"/>
      <c r="N11" s="26"/>
      <c r="O11" s="944"/>
      <c r="P11" s="942"/>
      <c r="S11" s="9"/>
      <c r="T11" s="10"/>
      <c r="U11" s="31"/>
      <c r="V11" s="942"/>
    </row>
    <row r="12" spans="1:22" ht="12.75" x14ac:dyDescent="0.2">
      <c r="A12" s="25" t="s">
        <v>14</v>
      </c>
      <c r="B12" s="10">
        <v>2509</v>
      </c>
      <c r="C12" s="941">
        <v>3.0594059405940595</v>
      </c>
      <c r="D12" s="942">
        <f t="shared" si="0"/>
        <v>4140.0392108910892</v>
      </c>
      <c r="G12" s="943"/>
      <c r="H12" s="26"/>
      <c r="I12" s="944"/>
      <c r="J12" s="942"/>
      <c r="M12" s="25"/>
      <c r="N12" s="26"/>
      <c r="O12" s="944"/>
      <c r="P12" s="942"/>
      <c r="S12" s="9"/>
      <c r="T12" s="10"/>
      <c r="U12" s="31"/>
      <c r="V12" s="942"/>
    </row>
    <row r="13" spans="1:22" ht="12.75" x14ac:dyDescent="0.2">
      <c r="A13" s="25" t="s">
        <v>15</v>
      </c>
      <c r="B13" s="10">
        <v>2005</v>
      </c>
      <c r="C13" s="941">
        <v>0.98456790123456783</v>
      </c>
      <c r="D13" s="942">
        <f t="shared" si="0"/>
        <v>1332.3337262345678</v>
      </c>
      <c r="G13" s="943"/>
      <c r="H13" s="26"/>
      <c r="I13" s="944"/>
      <c r="J13" s="942"/>
      <c r="M13" s="25"/>
      <c r="N13" s="26"/>
      <c r="O13" s="944"/>
      <c r="P13" s="942"/>
      <c r="S13" s="9"/>
      <c r="T13" s="10"/>
      <c r="U13" s="31"/>
      <c r="V13" s="942"/>
    </row>
    <row r="14" spans="1:22" ht="12.75" x14ac:dyDescent="0.2">
      <c r="A14" s="25" t="s">
        <v>16</v>
      </c>
      <c r="B14" s="10">
        <v>2464</v>
      </c>
      <c r="C14" s="941">
        <v>1.0307692307692307</v>
      </c>
      <c r="D14" s="942">
        <f t="shared" si="0"/>
        <v>1394.8541369230768</v>
      </c>
      <c r="G14" s="943"/>
      <c r="H14" s="26"/>
      <c r="I14" s="944"/>
      <c r="J14" s="942"/>
      <c r="M14" s="25"/>
      <c r="N14" s="26"/>
      <c r="O14" s="944"/>
      <c r="P14" s="942"/>
      <c r="S14" s="9"/>
      <c r="T14" s="10"/>
      <c r="U14" s="31"/>
      <c r="V14" s="942"/>
    </row>
    <row r="15" spans="1:22" ht="12.75" x14ac:dyDescent="0.2">
      <c r="A15" s="25" t="s">
        <v>17</v>
      </c>
      <c r="B15" s="10">
        <v>2004</v>
      </c>
      <c r="C15" s="941">
        <v>1.9315589353612168</v>
      </c>
      <c r="D15" s="942">
        <f t="shared" si="0"/>
        <v>2613.8178083650191</v>
      </c>
      <c r="G15" s="943"/>
      <c r="H15" s="26"/>
      <c r="I15" s="944"/>
      <c r="J15" s="942"/>
      <c r="M15" s="25"/>
      <c r="N15" s="26"/>
      <c r="O15" s="944"/>
      <c r="P15" s="942"/>
      <c r="S15" s="9"/>
      <c r="T15" s="10"/>
      <c r="U15" s="31"/>
      <c r="V15" s="942"/>
    </row>
    <row r="16" spans="1:22" ht="12.75" x14ac:dyDescent="0.2">
      <c r="A16" s="25" t="s">
        <v>18</v>
      </c>
      <c r="B16" s="10">
        <v>2405</v>
      </c>
      <c r="C16" s="941">
        <v>0</v>
      </c>
      <c r="D16" s="942">
        <f t="shared" si="0"/>
        <v>0</v>
      </c>
      <c r="G16" s="943"/>
      <c r="H16" s="26"/>
      <c r="I16" s="944"/>
      <c r="J16" s="942"/>
      <c r="M16" s="25"/>
      <c r="N16" s="26"/>
      <c r="O16" s="944"/>
      <c r="P16" s="942"/>
      <c r="S16" s="9"/>
      <c r="T16" s="10"/>
      <c r="U16" s="31"/>
      <c r="V16" s="942"/>
    </row>
    <row r="17" spans="1:22" ht="12.75" x14ac:dyDescent="0.2">
      <c r="A17" s="25" t="s">
        <v>95</v>
      </c>
      <c r="B17" s="10">
        <v>2011</v>
      </c>
      <c r="C17" s="941">
        <v>0</v>
      </c>
      <c r="D17" s="942">
        <f t="shared" si="0"/>
        <v>0</v>
      </c>
      <c r="G17" s="943"/>
      <c r="H17" s="26"/>
      <c r="I17" s="944"/>
      <c r="J17" s="942"/>
      <c r="M17" s="25"/>
      <c r="N17" s="26"/>
      <c r="O17" s="944"/>
      <c r="P17" s="942"/>
      <c r="S17" s="9"/>
      <c r="T17" s="10"/>
      <c r="U17" s="31"/>
      <c r="V17" s="942"/>
    </row>
    <row r="18" spans="1:22" ht="12.75" x14ac:dyDescent="0.2">
      <c r="A18" s="25" t="s">
        <v>20</v>
      </c>
      <c r="B18" s="10">
        <v>5201</v>
      </c>
      <c r="C18" s="941">
        <v>2.9292452830188678</v>
      </c>
      <c r="D18" s="942">
        <f t="shared" si="0"/>
        <v>3963.9036353773581</v>
      </c>
      <c r="G18" s="943"/>
      <c r="H18" s="26"/>
      <c r="I18" s="944"/>
      <c r="J18" s="942"/>
      <c r="M18" s="25"/>
      <c r="N18" s="26"/>
      <c r="O18" s="944"/>
      <c r="P18" s="942"/>
      <c r="S18" s="9"/>
      <c r="T18" s="10"/>
      <c r="U18" s="31"/>
      <c r="V18" s="942"/>
    </row>
    <row r="19" spans="1:22" ht="12.75" x14ac:dyDescent="0.2">
      <c r="A19" s="25" t="s">
        <v>96</v>
      </c>
      <c r="B19" s="10">
        <v>2007</v>
      </c>
      <c r="C19" s="941">
        <v>3.3086816720257239</v>
      </c>
      <c r="D19" s="942">
        <f t="shared" si="0"/>
        <v>4477.3632935691321</v>
      </c>
      <c r="G19" s="943"/>
      <c r="H19" s="26"/>
      <c r="I19" s="944"/>
      <c r="J19" s="942"/>
      <c r="M19" s="25"/>
      <c r="N19" s="26"/>
      <c r="O19" s="944"/>
      <c r="P19" s="942"/>
      <c r="S19" s="9"/>
      <c r="T19" s="10"/>
      <c r="U19" s="31"/>
      <c r="V19" s="942"/>
    </row>
    <row r="20" spans="1:22" ht="12.75" x14ac:dyDescent="0.2">
      <c r="A20" s="25" t="s">
        <v>21</v>
      </c>
      <c r="B20" s="10">
        <v>2433</v>
      </c>
      <c r="C20" s="941">
        <v>0</v>
      </c>
      <c r="D20" s="942">
        <f t="shared" si="0"/>
        <v>0</v>
      </c>
      <c r="G20" s="943"/>
      <c r="H20" s="26"/>
      <c r="I20" s="944"/>
      <c r="J20" s="942"/>
      <c r="M20" s="25"/>
      <c r="N20" s="26"/>
      <c r="O20" s="944"/>
      <c r="P20" s="942"/>
      <c r="S20" s="9"/>
      <c r="T20" s="10"/>
      <c r="U20" s="31"/>
      <c r="V20" s="942"/>
    </row>
    <row r="21" spans="1:22" ht="12.75" x14ac:dyDescent="0.2">
      <c r="A21" s="25" t="s">
        <v>22</v>
      </c>
      <c r="B21" s="10">
        <v>2432</v>
      </c>
      <c r="C21" s="941">
        <v>0.82591093117408909</v>
      </c>
      <c r="D21" s="942">
        <f t="shared" si="0"/>
        <v>1117.636464777328</v>
      </c>
      <c r="G21" s="943"/>
      <c r="H21" s="26"/>
      <c r="I21" s="944"/>
      <c r="J21" s="942"/>
      <c r="M21" s="25"/>
      <c r="N21" s="26"/>
      <c r="O21" s="944"/>
      <c r="P21" s="942"/>
      <c r="S21" s="9"/>
      <c r="T21" s="10"/>
      <c r="U21" s="31"/>
      <c r="V21" s="942"/>
    </row>
    <row r="22" spans="1:22" ht="12.75" x14ac:dyDescent="0.2">
      <c r="A22" s="25" t="s">
        <v>949</v>
      </c>
      <c r="B22" s="10">
        <v>2447</v>
      </c>
      <c r="C22" s="941">
        <v>0</v>
      </c>
      <c r="D22" s="942">
        <f t="shared" si="0"/>
        <v>0</v>
      </c>
      <c r="F22" s="11"/>
      <c r="G22" s="943"/>
      <c r="H22" s="26"/>
      <c r="I22" s="944"/>
      <c r="J22" s="942"/>
      <c r="M22" s="25"/>
      <c r="N22" s="26"/>
      <c r="O22" s="944"/>
      <c r="P22" s="942"/>
      <c r="S22" s="9"/>
      <c r="T22" s="10"/>
      <c r="U22" s="31"/>
      <c r="V22" s="942"/>
    </row>
    <row r="23" spans="1:22" ht="12.75" x14ac:dyDescent="0.2">
      <c r="A23" s="25" t="s">
        <v>23</v>
      </c>
      <c r="B23" s="10">
        <v>2512</v>
      </c>
      <c r="C23" s="941">
        <v>0</v>
      </c>
      <c r="D23" s="942">
        <f t="shared" si="0"/>
        <v>0</v>
      </c>
      <c r="G23" s="943"/>
      <c r="H23" s="26"/>
      <c r="I23" s="944"/>
      <c r="J23" s="942"/>
      <c r="M23" s="25"/>
      <c r="N23" s="26"/>
      <c r="O23" s="944"/>
      <c r="P23" s="942"/>
      <c r="S23" s="9"/>
      <c r="T23" s="10"/>
      <c r="U23" s="31"/>
      <c r="V23" s="942"/>
    </row>
    <row r="24" spans="1:22" ht="12.75" x14ac:dyDescent="0.2">
      <c r="A24" s="25" t="s">
        <v>24</v>
      </c>
      <c r="B24" s="10">
        <v>2456</v>
      </c>
      <c r="C24" s="941">
        <v>0.9887640449438202</v>
      </c>
      <c r="D24" s="942">
        <f t="shared" si="0"/>
        <v>1338.0120179775281</v>
      </c>
      <c r="G24" s="943"/>
      <c r="H24" s="26"/>
      <c r="I24" s="944"/>
      <c r="J24" s="942"/>
      <c r="M24" s="25"/>
      <c r="N24" s="26"/>
      <c r="O24" s="944"/>
      <c r="P24" s="942"/>
      <c r="S24" s="9"/>
      <c r="T24" s="10"/>
      <c r="U24" s="31"/>
      <c r="V24" s="942"/>
    </row>
    <row r="25" spans="1:22" ht="12.75" x14ac:dyDescent="0.2">
      <c r="A25" s="25" t="s">
        <v>25</v>
      </c>
      <c r="B25" s="10">
        <v>2449</v>
      </c>
      <c r="C25" s="941">
        <v>0</v>
      </c>
      <c r="D25" s="942">
        <f t="shared" si="0"/>
        <v>0</v>
      </c>
      <c r="G25" s="943"/>
      <c r="H25" s="26"/>
      <c r="I25" s="944"/>
      <c r="J25" s="942"/>
      <c r="M25" s="25"/>
      <c r="N25" s="26"/>
      <c r="O25" s="944"/>
      <c r="P25" s="942"/>
      <c r="S25" s="9"/>
      <c r="T25" s="10"/>
      <c r="U25" s="31"/>
      <c r="V25" s="942"/>
    </row>
    <row r="26" spans="1:22" ht="12.75" x14ac:dyDescent="0.2">
      <c r="A26" s="25" t="s">
        <v>26</v>
      </c>
      <c r="B26" s="10">
        <v>2448</v>
      </c>
      <c r="C26" s="941">
        <v>0</v>
      </c>
      <c r="D26" s="942">
        <f t="shared" si="0"/>
        <v>0</v>
      </c>
      <c r="G26" s="943"/>
      <c r="H26" s="26"/>
      <c r="I26" s="944"/>
      <c r="J26" s="942"/>
      <c r="M26" s="25"/>
      <c r="N26" s="26"/>
      <c r="O26" s="944"/>
      <c r="P26" s="942"/>
      <c r="S26" s="9"/>
      <c r="T26" s="10"/>
      <c r="U26" s="31"/>
      <c r="V26" s="942"/>
    </row>
    <row r="27" spans="1:22" ht="12.75" x14ac:dyDescent="0.2">
      <c r="A27" s="25" t="s">
        <v>126</v>
      </c>
      <c r="B27" s="10">
        <v>2467</v>
      </c>
      <c r="C27" s="941">
        <v>0</v>
      </c>
      <c r="D27" s="942">
        <f t="shared" si="0"/>
        <v>0</v>
      </c>
      <c r="G27" s="943"/>
      <c r="H27" s="26"/>
      <c r="I27" s="944"/>
      <c r="J27" s="942"/>
      <c r="M27" s="25"/>
      <c r="N27" s="26"/>
      <c r="O27" s="944"/>
      <c r="P27" s="942"/>
      <c r="S27" s="9"/>
      <c r="T27" s="10"/>
      <c r="U27" s="31"/>
      <c r="V27" s="942"/>
    </row>
    <row r="28" spans="1:22" ht="12.75" x14ac:dyDescent="0.2">
      <c r="A28" s="25" t="s">
        <v>28</v>
      </c>
      <c r="B28" s="10">
        <v>2455</v>
      </c>
      <c r="C28" s="941">
        <v>0</v>
      </c>
      <c r="D28" s="942">
        <f t="shared" si="0"/>
        <v>0</v>
      </c>
      <c r="G28" s="943"/>
      <c r="H28" s="26"/>
      <c r="I28" s="944"/>
      <c r="J28" s="942"/>
      <c r="M28" s="25"/>
      <c r="N28" s="26"/>
      <c r="O28" s="944"/>
      <c r="P28" s="942"/>
      <c r="S28" s="9"/>
      <c r="T28" s="10"/>
      <c r="U28" s="31"/>
      <c r="V28" s="942"/>
    </row>
    <row r="29" spans="1:22" ht="12.75" x14ac:dyDescent="0.2">
      <c r="A29" s="25" t="s">
        <v>29</v>
      </c>
      <c r="B29" s="10">
        <v>5203</v>
      </c>
      <c r="C29" s="941">
        <v>1.0165631469979297</v>
      </c>
      <c r="D29" s="942">
        <f t="shared" si="0"/>
        <v>1375.6302271221532</v>
      </c>
      <c r="G29" s="943"/>
      <c r="H29" s="26"/>
      <c r="I29" s="944"/>
      <c r="J29" s="942"/>
      <c r="M29" s="25"/>
      <c r="N29" s="26"/>
      <c r="O29" s="944"/>
      <c r="P29" s="942"/>
      <c r="S29" s="9"/>
      <c r="T29" s="10"/>
      <c r="U29" s="31"/>
      <c r="V29" s="942"/>
    </row>
    <row r="30" spans="1:22" x14ac:dyDescent="0.25">
      <c r="A30" s="25" t="s">
        <v>30</v>
      </c>
      <c r="B30" s="10">
        <v>2451</v>
      </c>
      <c r="C30" s="941">
        <v>0</v>
      </c>
      <c r="D30" s="942">
        <f t="shared" si="0"/>
        <v>0</v>
      </c>
      <c r="G30" s="943"/>
      <c r="H30" s="26"/>
      <c r="I30" s="944"/>
      <c r="J30" s="942"/>
      <c r="M30" s="25"/>
      <c r="N30" s="26"/>
      <c r="O30" s="944"/>
      <c r="P30" s="942"/>
      <c r="S30" s="9"/>
      <c r="T30" s="10"/>
      <c r="U30" s="31"/>
      <c r="V30" s="942"/>
    </row>
    <row r="31" spans="1:22" x14ac:dyDescent="0.25">
      <c r="A31" s="25" t="s">
        <v>31</v>
      </c>
      <c r="B31" s="10">
        <v>2409</v>
      </c>
      <c r="C31" s="941">
        <v>0</v>
      </c>
      <c r="D31" s="942">
        <f t="shared" si="0"/>
        <v>0</v>
      </c>
      <c r="G31" s="943"/>
      <c r="H31" s="26"/>
      <c r="I31" s="944"/>
      <c r="J31" s="942"/>
      <c r="M31" s="25"/>
      <c r="N31" s="26"/>
      <c r="O31" s="944"/>
      <c r="P31" s="942"/>
      <c r="S31" s="9"/>
      <c r="T31" s="10"/>
      <c r="U31" s="31"/>
      <c r="V31" s="942"/>
    </row>
    <row r="32" spans="1:22" x14ac:dyDescent="0.25">
      <c r="A32" s="25" t="s">
        <v>98</v>
      </c>
      <c r="B32" s="10">
        <v>3158</v>
      </c>
      <c r="C32" s="941">
        <v>0</v>
      </c>
      <c r="D32" s="942">
        <f t="shared" si="0"/>
        <v>0</v>
      </c>
      <c r="G32" s="943"/>
      <c r="H32" s="26"/>
      <c r="I32" s="944"/>
      <c r="J32" s="942"/>
      <c r="M32" s="25"/>
      <c r="N32" s="26"/>
      <c r="O32" s="944"/>
      <c r="P32" s="942"/>
      <c r="S32" s="9"/>
      <c r="T32" s="10"/>
      <c r="U32" s="31"/>
      <c r="V32" s="942"/>
    </row>
    <row r="33" spans="1:22" x14ac:dyDescent="0.25">
      <c r="A33" s="25" t="s">
        <v>32</v>
      </c>
      <c r="B33" s="10">
        <v>2619</v>
      </c>
      <c r="C33" s="941">
        <v>1.0680354267310788</v>
      </c>
      <c r="D33" s="942">
        <f t="shared" si="0"/>
        <v>1445.2833756441221</v>
      </c>
      <c r="G33" s="943"/>
      <c r="H33" s="26"/>
      <c r="I33" s="944"/>
      <c r="J33" s="942"/>
      <c r="M33" s="25"/>
      <c r="N33" s="26"/>
      <c r="O33" s="944"/>
      <c r="P33" s="942"/>
      <c r="S33" s="9"/>
      <c r="T33" s="10"/>
      <c r="U33" s="31"/>
      <c r="V33" s="942"/>
    </row>
    <row r="34" spans="1:22" x14ac:dyDescent="0.25">
      <c r="A34" s="25" t="s">
        <v>33</v>
      </c>
      <c r="B34" s="10">
        <v>2518</v>
      </c>
      <c r="C34" s="941">
        <v>1.8313953488372092</v>
      </c>
      <c r="D34" s="942">
        <f t="shared" si="0"/>
        <v>2478.2747703488371</v>
      </c>
      <c r="G34" s="943"/>
      <c r="H34" s="26"/>
      <c r="I34" s="944"/>
      <c r="J34" s="942"/>
      <c r="M34" s="25"/>
      <c r="N34" s="26"/>
      <c r="O34" s="944"/>
      <c r="P34" s="942"/>
      <c r="S34" s="9"/>
      <c r="T34" s="10"/>
      <c r="U34" s="31"/>
      <c r="V34" s="942"/>
    </row>
    <row r="35" spans="1:22" x14ac:dyDescent="0.25">
      <c r="A35" s="25" t="s">
        <v>34</v>
      </c>
      <c r="B35" s="10">
        <v>2457</v>
      </c>
      <c r="C35" s="941">
        <v>5.0274725274725274</v>
      </c>
      <c r="D35" s="942">
        <f t="shared" si="0"/>
        <v>6803.2597829670322</v>
      </c>
      <c r="G35" s="943"/>
      <c r="H35" s="26"/>
      <c r="I35" s="944"/>
      <c r="J35" s="942"/>
      <c r="M35" s="25"/>
      <c r="N35" s="26"/>
      <c r="O35" s="944"/>
      <c r="P35" s="942"/>
      <c r="S35" s="9"/>
      <c r="T35" s="10"/>
      <c r="U35" s="31"/>
      <c r="V35" s="942"/>
    </row>
    <row r="36" spans="1:22" x14ac:dyDescent="0.25">
      <c r="A36" s="25" t="s">
        <v>99</v>
      </c>
      <c r="B36" s="10">
        <v>2010</v>
      </c>
      <c r="C36" s="941">
        <v>0</v>
      </c>
      <c r="D36" s="942">
        <f t="shared" si="0"/>
        <v>0</v>
      </c>
      <c r="G36" s="943"/>
      <c r="H36" s="26"/>
      <c r="I36" s="944"/>
      <c r="J36" s="942"/>
      <c r="M36" s="25"/>
      <c r="N36" s="26"/>
      <c r="O36" s="944"/>
      <c r="P36" s="942"/>
      <c r="S36" s="9"/>
      <c r="T36" s="10"/>
      <c r="U36" s="31"/>
      <c r="V36" s="942"/>
    </row>
    <row r="37" spans="1:22" x14ac:dyDescent="0.25">
      <c r="A37" s="25" t="s">
        <v>35</v>
      </c>
      <c r="B37" s="10">
        <v>2002</v>
      </c>
      <c r="C37" s="941">
        <v>1.0023310023310024</v>
      </c>
      <c r="D37" s="942">
        <f t="shared" si="0"/>
        <v>1356.3710512820512</v>
      </c>
      <c r="G37" s="943"/>
      <c r="H37" s="26"/>
      <c r="I37" s="944"/>
      <c r="J37" s="942"/>
      <c r="M37" s="25"/>
      <c r="N37" s="26"/>
      <c r="O37" s="944"/>
      <c r="P37" s="942"/>
      <c r="S37" s="9"/>
      <c r="T37" s="10"/>
      <c r="U37" s="31"/>
      <c r="V37" s="942"/>
    </row>
    <row r="38" spans="1:22" x14ac:dyDescent="0.25">
      <c r="A38" s="25" t="s">
        <v>36</v>
      </c>
      <c r="B38" s="10">
        <v>3544</v>
      </c>
      <c r="C38" s="941">
        <v>9.8701298701298708</v>
      </c>
      <c r="D38" s="942">
        <f t="shared" si="0"/>
        <v>13356.424571428572</v>
      </c>
      <c r="G38" s="943"/>
      <c r="H38" s="26"/>
      <c r="I38" s="944"/>
      <c r="J38" s="942"/>
      <c r="M38" s="25"/>
      <c r="N38" s="26"/>
      <c r="O38" s="944"/>
      <c r="P38" s="942"/>
      <c r="S38" s="9"/>
      <c r="T38" s="10"/>
      <c r="U38" s="31"/>
      <c r="V38" s="942"/>
    </row>
    <row r="39" spans="1:22" x14ac:dyDescent="0.25">
      <c r="A39" s="25" t="s">
        <v>100</v>
      </c>
      <c r="B39" s="10">
        <v>2006</v>
      </c>
      <c r="C39" s="941">
        <v>0</v>
      </c>
      <c r="D39" s="942">
        <f t="shared" si="0"/>
        <v>0</v>
      </c>
      <c r="G39" s="943"/>
      <c r="H39" s="26"/>
      <c r="I39" s="944"/>
      <c r="J39" s="942"/>
      <c r="M39" s="25"/>
      <c r="N39" s="26"/>
      <c r="O39" s="944"/>
      <c r="P39" s="942"/>
      <c r="S39" s="9"/>
      <c r="T39" s="10"/>
      <c r="U39" s="31"/>
      <c r="V39" s="942"/>
    </row>
    <row r="40" spans="1:22" x14ac:dyDescent="0.25">
      <c r="A40" s="25" t="s">
        <v>37</v>
      </c>
      <c r="B40" s="10">
        <v>2434</v>
      </c>
      <c r="C40" s="941">
        <v>6.7628205128205128</v>
      </c>
      <c r="D40" s="942">
        <f t="shared" si="0"/>
        <v>9151.5616570512811</v>
      </c>
      <c r="G40" s="943"/>
      <c r="H40" s="26"/>
      <c r="I40" s="944"/>
      <c r="J40" s="942"/>
      <c r="M40" s="25"/>
      <c r="N40" s="26"/>
      <c r="O40" s="944"/>
      <c r="P40" s="942"/>
      <c r="S40" s="9"/>
      <c r="T40" s="10"/>
      <c r="U40" s="31"/>
      <c r="V40" s="942"/>
    </row>
    <row r="41" spans="1:22" x14ac:dyDescent="0.25">
      <c r="A41" s="25" t="s">
        <v>38</v>
      </c>
      <c r="B41" s="10">
        <v>2522</v>
      </c>
      <c r="C41" s="941">
        <v>0</v>
      </c>
      <c r="D41" s="942">
        <f t="shared" si="0"/>
        <v>0</v>
      </c>
      <c r="G41" s="943"/>
      <c r="H41" s="26"/>
      <c r="I41" s="944"/>
      <c r="J41" s="942"/>
      <c r="M41" s="25"/>
      <c r="N41" s="26"/>
      <c r="O41" s="944"/>
      <c r="P41" s="942"/>
      <c r="S41" s="9"/>
      <c r="T41" s="10"/>
      <c r="U41" s="31"/>
      <c r="V41" s="942"/>
    </row>
    <row r="42" spans="1:22" x14ac:dyDescent="0.25">
      <c r="A42" s="25" t="s">
        <v>39</v>
      </c>
      <c r="B42" s="10">
        <v>2436</v>
      </c>
      <c r="C42" s="941">
        <v>1.0175953079178885</v>
      </c>
      <c r="D42" s="942">
        <f t="shared" si="0"/>
        <v>1377.0269645161291</v>
      </c>
      <c r="G42" s="943"/>
      <c r="H42" s="26"/>
      <c r="I42" s="944"/>
      <c r="J42" s="942"/>
      <c r="M42" s="25"/>
      <c r="N42" s="26"/>
      <c r="O42" s="944"/>
      <c r="P42" s="942"/>
      <c r="S42" s="9"/>
      <c r="T42" s="10"/>
      <c r="U42" s="31"/>
      <c r="V42" s="942"/>
    </row>
    <row r="43" spans="1:22" x14ac:dyDescent="0.25">
      <c r="A43" s="25" t="s">
        <v>40</v>
      </c>
      <c r="B43" s="10">
        <v>2452</v>
      </c>
      <c r="C43" s="941">
        <v>0</v>
      </c>
      <c r="D43" s="942">
        <f t="shared" si="0"/>
        <v>0</v>
      </c>
      <c r="G43" s="943"/>
      <c r="H43" s="26"/>
      <c r="I43" s="944"/>
      <c r="J43" s="942"/>
      <c r="M43" s="25"/>
      <c r="N43" s="26"/>
      <c r="O43" s="944"/>
      <c r="P43" s="942"/>
      <c r="S43" s="9"/>
      <c r="T43" s="10"/>
      <c r="U43" s="31"/>
      <c r="V43" s="942"/>
    </row>
    <row r="44" spans="1:22" x14ac:dyDescent="0.25">
      <c r="A44" s="25" t="s">
        <v>41</v>
      </c>
      <c r="B44" s="10">
        <v>2627</v>
      </c>
      <c r="C44" s="941">
        <v>0</v>
      </c>
      <c r="D44" s="942">
        <f t="shared" si="0"/>
        <v>0</v>
      </c>
      <c r="G44" s="943"/>
      <c r="H44" s="26"/>
      <c r="I44" s="944"/>
      <c r="J44" s="942"/>
      <c r="M44" s="25"/>
      <c r="N44" s="26"/>
      <c r="O44" s="944"/>
      <c r="P44" s="942"/>
      <c r="S44" s="9"/>
      <c r="T44" s="10"/>
      <c r="U44" s="31"/>
      <c r="V44" s="942"/>
    </row>
    <row r="45" spans="1:22" x14ac:dyDescent="0.25">
      <c r="A45" s="25" t="s">
        <v>42</v>
      </c>
      <c r="B45" s="10">
        <v>2009</v>
      </c>
      <c r="C45" s="941">
        <v>0</v>
      </c>
      <c r="D45" s="942">
        <f t="shared" si="0"/>
        <v>0</v>
      </c>
      <c r="G45" s="943"/>
      <c r="H45" s="26"/>
      <c r="I45" s="944"/>
      <c r="J45" s="942"/>
      <c r="M45" s="25"/>
      <c r="N45" s="26"/>
      <c r="O45" s="944"/>
      <c r="P45" s="942"/>
      <c r="S45" s="9"/>
      <c r="T45" s="10"/>
      <c r="U45" s="31"/>
      <c r="V45" s="942"/>
    </row>
    <row r="46" spans="1:22" x14ac:dyDescent="0.25">
      <c r="A46" s="25" t="s">
        <v>101</v>
      </c>
      <c r="B46" s="10">
        <v>2473</v>
      </c>
      <c r="C46" s="941">
        <v>0</v>
      </c>
      <c r="D46" s="942">
        <f t="shared" si="0"/>
        <v>0</v>
      </c>
      <c r="G46" s="943"/>
      <c r="H46" s="26"/>
      <c r="I46" s="944"/>
      <c r="J46" s="942"/>
      <c r="M46" s="25"/>
      <c r="N46" s="26"/>
      <c r="O46" s="944"/>
      <c r="P46" s="942"/>
      <c r="S46" s="9"/>
      <c r="T46" s="10"/>
      <c r="U46" s="31"/>
      <c r="V46" s="942"/>
    </row>
    <row r="47" spans="1:22" x14ac:dyDescent="0.25">
      <c r="A47" s="25" t="s">
        <v>44</v>
      </c>
      <c r="B47" s="10">
        <v>2471</v>
      </c>
      <c r="C47" s="941">
        <v>0.9943661971830986</v>
      </c>
      <c r="D47" s="942">
        <f t="shared" si="0"/>
        <v>1345.592943943662</v>
      </c>
      <c r="G47" s="943"/>
      <c r="H47" s="26"/>
      <c r="I47" s="944"/>
      <c r="J47" s="942"/>
      <c r="M47" s="25"/>
      <c r="N47" s="26"/>
      <c r="O47" s="944"/>
      <c r="P47" s="942"/>
      <c r="S47" s="9"/>
      <c r="T47" s="10"/>
      <c r="U47" s="31"/>
      <c r="V47" s="942"/>
    </row>
    <row r="48" spans="1:22" x14ac:dyDescent="0.25">
      <c r="A48" s="25" t="s">
        <v>43</v>
      </c>
      <c r="B48" s="10">
        <v>2420</v>
      </c>
      <c r="C48" s="941">
        <v>1.0252624671916011</v>
      </c>
      <c r="D48" s="942">
        <f t="shared" si="0"/>
        <v>1387.4022924868766</v>
      </c>
      <c r="G48" s="943"/>
      <c r="H48" s="26"/>
      <c r="I48" s="944"/>
      <c r="J48" s="942"/>
      <c r="M48" s="25"/>
      <c r="N48" s="26"/>
      <c r="O48" s="944"/>
      <c r="P48" s="942"/>
      <c r="S48" s="9"/>
      <c r="T48" s="10"/>
      <c r="U48" s="31"/>
      <c r="V48" s="942"/>
    </row>
    <row r="49" spans="1:22" x14ac:dyDescent="0.25">
      <c r="A49" s="25" t="s">
        <v>45</v>
      </c>
      <c r="B49" s="10">
        <v>2003</v>
      </c>
      <c r="C49" s="941">
        <v>0</v>
      </c>
      <c r="D49" s="942">
        <f t="shared" si="0"/>
        <v>0</v>
      </c>
      <c r="G49" s="943"/>
      <c r="H49" s="26"/>
      <c r="I49" s="944"/>
      <c r="J49" s="942"/>
      <c r="M49" s="25"/>
      <c r="N49" s="26"/>
      <c r="O49" s="944"/>
      <c r="P49" s="942"/>
      <c r="S49" s="9"/>
      <c r="T49" s="10"/>
      <c r="U49" s="31"/>
      <c r="V49" s="942"/>
    </row>
    <row r="50" spans="1:22" x14ac:dyDescent="0.25">
      <c r="A50" s="25" t="s">
        <v>46</v>
      </c>
      <c r="B50" s="10">
        <v>2423</v>
      </c>
      <c r="C50" s="941">
        <v>0</v>
      </c>
      <c r="D50" s="942">
        <f t="shared" si="0"/>
        <v>0</v>
      </c>
      <c r="G50" s="943"/>
      <c r="H50" s="26"/>
      <c r="I50" s="944"/>
      <c r="J50" s="942"/>
      <c r="M50" s="25"/>
      <c r="N50" s="26"/>
      <c r="O50" s="944"/>
      <c r="P50" s="942"/>
      <c r="S50" s="9"/>
      <c r="T50" s="10"/>
      <c r="U50" s="31"/>
      <c r="V50" s="942"/>
    </row>
    <row r="51" spans="1:22" x14ac:dyDescent="0.25">
      <c r="A51" s="25" t="s">
        <v>47</v>
      </c>
      <c r="B51" s="10">
        <v>2424</v>
      </c>
      <c r="C51" s="941">
        <v>2.9111111111111114</v>
      </c>
      <c r="D51" s="942">
        <f t="shared" si="0"/>
        <v>3939.3641711111113</v>
      </c>
      <c r="G51" s="943"/>
      <c r="H51" s="26"/>
      <c r="I51" s="944"/>
      <c r="J51" s="942"/>
      <c r="M51" s="25"/>
      <c r="N51" s="26"/>
      <c r="O51" s="944"/>
      <c r="P51" s="942"/>
      <c r="S51" s="9"/>
      <c r="T51" s="10"/>
      <c r="U51" s="31"/>
      <c r="V51" s="942"/>
    </row>
    <row r="52" spans="1:22" x14ac:dyDescent="0.25">
      <c r="A52" s="25" t="s">
        <v>48</v>
      </c>
      <c r="B52" s="10">
        <v>2439</v>
      </c>
      <c r="C52" s="941">
        <v>0</v>
      </c>
      <c r="D52" s="942">
        <f t="shared" si="0"/>
        <v>0</v>
      </c>
      <c r="G52" s="943"/>
      <c r="H52" s="26"/>
      <c r="I52" s="944"/>
      <c r="J52" s="942"/>
      <c r="M52" s="25"/>
      <c r="N52" s="26"/>
      <c r="O52" s="944"/>
      <c r="P52" s="942"/>
      <c r="S52" s="9"/>
      <c r="T52" s="10"/>
      <c r="U52" s="31"/>
      <c r="V52" s="942"/>
    </row>
    <row r="53" spans="1:22" x14ac:dyDescent="0.25">
      <c r="A53" s="25" t="s">
        <v>49</v>
      </c>
      <c r="B53" s="10">
        <v>2440</v>
      </c>
      <c r="C53" s="941">
        <v>1</v>
      </c>
      <c r="D53" s="942">
        <f t="shared" si="0"/>
        <v>1353.2166999999999</v>
      </c>
      <c r="G53" s="943"/>
      <c r="H53" s="26"/>
      <c r="I53" s="944"/>
      <c r="J53" s="942"/>
      <c r="M53" s="25"/>
      <c r="N53" s="26"/>
      <c r="O53" s="944"/>
      <c r="P53" s="942"/>
      <c r="S53" s="9"/>
      <c r="T53" s="10"/>
      <c r="U53" s="31"/>
      <c r="V53" s="942"/>
    </row>
    <row r="54" spans="1:22" x14ac:dyDescent="0.25">
      <c r="A54" s="25" t="s">
        <v>102</v>
      </c>
      <c r="B54" s="10">
        <v>2462</v>
      </c>
      <c r="C54" s="941">
        <v>0</v>
      </c>
      <c r="D54" s="942">
        <f t="shared" si="0"/>
        <v>0</v>
      </c>
      <c r="G54" s="943"/>
      <c r="H54" s="26"/>
      <c r="I54" s="944"/>
      <c r="J54" s="942"/>
      <c r="M54" s="25"/>
      <c r="N54" s="26"/>
      <c r="O54" s="944"/>
      <c r="P54" s="942"/>
      <c r="S54" s="9"/>
      <c r="T54" s="10"/>
      <c r="U54" s="31"/>
      <c r="V54" s="942"/>
    </row>
    <row r="55" spans="1:22" x14ac:dyDescent="0.25">
      <c r="A55" s="25" t="s">
        <v>50</v>
      </c>
      <c r="B55" s="10">
        <v>2463</v>
      </c>
      <c r="C55" s="941">
        <v>0</v>
      </c>
      <c r="D55" s="942">
        <f t="shared" si="0"/>
        <v>0</v>
      </c>
      <c r="G55" s="943"/>
      <c r="H55" s="26"/>
      <c r="I55" s="944"/>
      <c r="J55" s="942"/>
      <c r="M55" s="25"/>
      <c r="N55" s="26"/>
      <c r="O55" s="944"/>
      <c r="P55" s="942"/>
      <c r="S55" s="9"/>
      <c r="T55" s="10"/>
      <c r="U55" s="31"/>
      <c r="V55" s="942"/>
    </row>
    <row r="56" spans="1:22" x14ac:dyDescent="0.25">
      <c r="A56" s="25" t="s">
        <v>51</v>
      </c>
      <c r="B56" s="10">
        <v>2505</v>
      </c>
      <c r="C56" s="941">
        <v>1.0584905660377359</v>
      </c>
      <c r="D56" s="942">
        <f t="shared" si="0"/>
        <v>1432.367110754717</v>
      </c>
      <c r="G56" s="943"/>
      <c r="H56" s="26"/>
      <c r="I56" s="944"/>
      <c r="J56" s="942"/>
      <c r="M56" s="25"/>
      <c r="N56" s="26"/>
      <c r="O56" s="944"/>
      <c r="P56" s="942"/>
      <c r="S56" s="9"/>
      <c r="T56" s="10"/>
      <c r="U56" s="31"/>
      <c r="V56" s="942"/>
    </row>
    <row r="57" spans="1:22" x14ac:dyDescent="0.25">
      <c r="A57" s="9" t="s">
        <v>1304</v>
      </c>
      <c r="B57" s="10">
        <v>2000</v>
      </c>
      <c r="C57" s="941">
        <v>0</v>
      </c>
      <c r="D57" s="942">
        <f t="shared" si="0"/>
        <v>0</v>
      </c>
      <c r="G57" s="943"/>
      <c r="H57" s="26"/>
      <c r="I57" s="944"/>
      <c r="J57" s="942"/>
      <c r="M57" s="25"/>
      <c r="N57" s="26"/>
      <c r="O57" s="944"/>
      <c r="P57" s="942"/>
      <c r="S57" s="9"/>
      <c r="T57" s="10"/>
      <c r="U57" s="31"/>
      <c r="V57" s="942"/>
    </row>
    <row r="58" spans="1:22" x14ac:dyDescent="0.25">
      <c r="A58" s="25" t="s">
        <v>53</v>
      </c>
      <c r="B58" s="10">
        <v>2458</v>
      </c>
      <c r="C58" s="941">
        <v>0</v>
      </c>
      <c r="D58" s="942">
        <f t="shared" si="0"/>
        <v>0</v>
      </c>
      <c r="G58" s="943"/>
      <c r="H58" s="26"/>
      <c r="I58" s="944"/>
      <c r="J58" s="942"/>
      <c r="M58" s="25"/>
      <c r="N58" s="26"/>
      <c r="O58" s="944"/>
      <c r="P58" s="942"/>
      <c r="S58" s="9"/>
      <c r="T58" s="10"/>
      <c r="U58" s="31"/>
      <c r="V58" s="942"/>
    </row>
    <row r="59" spans="1:22" x14ac:dyDescent="0.25">
      <c r="A59" s="25" t="s">
        <v>54</v>
      </c>
      <c r="B59" s="10">
        <v>2001</v>
      </c>
      <c r="C59" s="941">
        <v>3.1043478260869564</v>
      </c>
      <c r="D59" s="942">
        <f t="shared" si="0"/>
        <v>4200.8553208695648</v>
      </c>
      <c r="G59" s="943"/>
      <c r="H59" s="26"/>
      <c r="I59" s="944"/>
      <c r="J59" s="942"/>
      <c r="M59" s="25"/>
      <c r="N59" s="26"/>
      <c r="O59" s="944"/>
      <c r="P59" s="942"/>
      <c r="S59" s="9"/>
      <c r="T59" s="10"/>
      <c r="U59" s="31"/>
      <c r="V59" s="942"/>
    </row>
    <row r="60" spans="1:22" x14ac:dyDescent="0.25">
      <c r="A60" s="25" t="s">
        <v>55</v>
      </c>
      <c r="B60" s="10">
        <v>2429</v>
      </c>
      <c r="C60" s="941">
        <v>0</v>
      </c>
      <c r="D60" s="942">
        <f t="shared" si="0"/>
        <v>0</v>
      </c>
      <c r="G60" s="943"/>
      <c r="H60" s="26"/>
      <c r="I60" s="944"/>
      <c r="J60" s="942"/>
      <c r="M60" s="25"/>
      <c r="N60" s="26"/>
      <c r="O60" s="944"/>
      <c r="P60" s="942"/>
      <c r="S60" s="9"/>
      <c r="T60" s="10"/>
      <c r="U60" s="31"/>
      <c r="V60" s="942"/>
    </row>
    <row r="61" spans="1:22" x14ac:dyDescent="0.25">
      <c r="A61" s="25" t="s">
        <v>56</v>
      </c>
      <c r="B61" s="10">
        <v>2444</v>
      </c>
      <c r="C61" s="941">
        <v>0</v>
      </c>
      <c r="D61" s="942">
        <f t="shared" si="0"/>
        <v>0</v>
      </c>
      <c r="G61" s="943"/>
      <c r="H61" s="26"/>
      <c r="I61" s="944"/>
      <c r="J61" s="942"/>
      <c r="M61" s="25"/>
      <c r="N61" s="26"/>
      <c r="O61" s="944"/>
      <c r="P61" s="942"/>
      <c r="S61" s="9"/>
      <c r="T61" s="10"/>
      <c r="U61" s="31"/>
      <c r="V61" s="942"/>
    </row>
    <row r="62" spans="1:22" x14ac:dyDescent="0.25">
      <c r="A62" s="25" t="s">
        <v>57</v>
      </c>
      <c r="B62" s="10">
        <v>5209</v>
      </c>
      <c r="C62" s="941">
        <v>0</v>
      </c>
      <c r="D62" s="942">
        <f t="shared" si="0"/>
        <v>0</v>
      </c>
      <c r="G62" s="943"/>
      <c r="H62" s="26"/>
      <c r="I62" s="944"/>
      <c r="J62" s="942"/>
      <c r="M62" s="25"/>
      <c r="N62" s="26"/>
      <c r="O62" s="944"/>
      <c r="P62" s="942"/>
      <c r="S62" s="9"/>
      <c r="T62" s="10"/>
      <c r="U62" s="31"/>
      <c r="V62" s="942"/>
    </row>
    <row r="63" spans="1:22" x14ac:dyDescent="0.25">
      <c r="A63" s="25" t="s">
        <v>58</v>
      </c>
      <c r="B63" s="10">
        <v>2469</v>
      </c>
      <c r="C63" s="941">
        <v>0</v>
      </c>
      <c r="D63" s="942">
        <f t="shared" si="0"/>
        <v>0</v>
      </c>
      <c r="G63" s="943"/>
      <c r="H63" s="26"/>
      <c r="I63" s="944"/>
      <c r="J63" s="942"/>
      <c r="M63" s="25"/>
      <c r="N63" s="26"/>
      <c r="O63" s="944"/>
      <c r="P63" s="942"/>
      <c r="S63" s="9"/>
      <c r="T63" s="10"/>
      <c r="U63" s="31"/>
      <c r="V63" s="942"/>
    </row>
    <row r="64" spans="1:22" x14ac:dyDescent="0.25">
      <c r="A64" s="22" t="s">
        <v>437</v>
      </c>
      <c r="B64" s="10">
        <v>2430</v>
      </c>
      <c r="C64" s="941">
        <v>1.0677966101694916</v>
      </c>
      <c r="D64" s="942">
        <f t="shared" si="0"/>
        <v>1444.9602050847457</v>
      </c>
      <c r="G64" s="943"/>
      <c r="H64" s="26"/>
      <c r="I64" s="944"/>
      <c r="J64" s="942"/>
      <c r="M64" s="25"/>
      <c r="N64" s="26"/>
      <c r="O64" s="944"/>
      <c r="P64" s="942"/>
      <c r="S64" s="9"/>
      <c r="T64" s="10"/>
      <c r="U64" s="31"/>
      <c r="V64" s="942"/>
    </row>
    <row r="65" spans="1:22" x14ac:dyDescent="0.25">
      <c r="A65" s="25" t="s">
        <v>59</v>
      </c>
      <c r="B65" s="10">
        <v>2466</v>
      </c>
      <c r="C65" s="941">
        <v>3.2341463414634148</v>
      </c>
      <c r="D65" s="942">
        <f t="shared" si="0"/>
        <v>4376.5008395121949</v>
      </c>
      <c r="G65" s="943"/>
      <c r="H65" s="26"/>
      <c r="I65" s="944"/>
      <c r="J65" s="942"/>
      <c r="M65" s="25"/>
      <c r="N65" s="26"/>
      <c r="O65" s="944"/>
      <c r="P65" s="942"/>
      <c r="S65" s="9"/>
      <c r="T65" s="10"/>
      <c r="U65" s="31"/>
      <c r="V65" s="942"/>
    </row>
    <row r="66" spans="1:22" x14ac:dyDescent="0.25">
      <c r="A66" s="25" t="s">
        <v>60</v>
      </c>
      <c r="B66" s="10">
        <v>3543</v>
      </c>
      <c r="C66" s="941">
        <v>0</v>
      </c>
      <c r="D66" s="942">
        <f t="shared" si="0"/>
        <v>0</v>
      </c>
      <c r="G66" s="943"/>
      <c r="H66" s="26"/>
      <c r="I66" s="944"/>
      <c r="J66" s="942"/>
      <c r="M66" s="25"/>
      <c r="N66" s="26"/>
      <c r="O66" s="944"/>
      <c r="P66" s="942"/>
      <c r="S66" s="9"/>
      <c r="T66" s="10"/>
      <c r="U66" s="31"/>
      <c r="V66" s="942"/>
    </row>
    <row r="67" spans="1:22" x14ac:dyDescent="0.25">
      <c r="A67" s="25" t="s">
        <v>62</v>
      </c>
      <c r="B67" s="10">
        <v>3531</v>
      </c>
      <c r="C67" s="941">
        <v>0</v>
      </c>
      <c r="D67" s="942">
        <f t="shared" si="0"/>
        <v>0</v>
      </c>
      <c r="G67" s="943"/>
      <c r="H67" s="26"/>
      <c r="I67" s="944"/>
      <c r="J67" s="942"/>
      <c r="M67" s="25"/>
      <c r="N67" s="26"/>
      <c r="O67" s="944"/>
      <c r="P67" s="942"/>
      <c r="S67" s="9"/>
      <c r="T67" s="10"/>
      <c r="U67" s="31"/>
      <c r="V67" s="942"/>
    </row>
    <row r="68" spans="1:22" x14ac:dyDescent="0.25">
      <c r="A68" s="25" t="s">
        <v>103</v>
      </c>
      <c r="B68" s="10">
        <v>3526</v>
      </c>
      <c r="C68" s="941">
        <v>0</v>
      </c>
      <c r="D68" s="942">
        <f t="shared" si="0"/>
        <v>0</v>
      </c>
      <c r="G68" s="943"/>
      <c r="H68" s="26"/>
      <c r="I68" s="944"/>
      <c r="J68" s="942"/>
      <c r="M68" s="25"/>
      <c r="N68" s="26"/>
      <c r="O68" s="944"/>
      <c r="P68" s="942"/>
      <c r="S68" s="9"/>
      <c r="T68" s="10"/>
      <c r="U68" s="31"/>
      <c r="V68" s="942"/>
    </row>
    <row r="69" spans="1:22" x14ac:dyDescent="0.25">
      <c r="A69" s="25" t="s">
        <v>104</v>
      </c>
      <c r="B69" s="10">
        <v>3535</v>
      </c>
      <c r="C69" s="941">
        <v>0</v>
      </c>
      <c r="D69" s="942">
        <f t="shared" si="0"/>
        <v>0</v>
      </c>
      <c r="G69" s="943"/>
      <c r="H69" s="26"/>
      <c r="I69" s="944"/>
      <c r="J69" s="942"/>
      <c r="M69" s="25"/>
      <c r="N69" s="26"/>
      <c r="O69" s="944"/>
      <c r="P69" s="942"/>
      <c r="S69" s="9"/>
      <c r="T69" s="10"/>
      <c r="U69" s="31"/>
      <c r="V69" s="942"/>
    </row>
    <row r="70" spans="1:22" x14ac:dyDescent="0.25">
      <c r="A70" s="945" t="s">
        <v>64</v>
      </c>
      <c r="B70" s="10">
        <v>2008</v>
      </c>
      <c r="C70" s="941">
        <v>0</v>
      </c>
      <c r="D70" s="942">
        <f t="shared" si="0"/>
        <v>0</v>
      </c>
      <c r="G70" s="943"/>
      <c r="H70" s="26"/>
      <c r="I70" s="944"/>
      <c r="J70" s="942"/>
      <c r="M70" s="945"/>
      <c r="N70" s="26"/>
      <c r="O70" s="944"/>
      <c r="P70" s="942"/>
      <c r="S70" s="12"/>
      <c r="T70" s="10"/>
      <c r="U70" s="31"/>
      <c r="V70" s="942"/>
    </row>
    <row r="71" spans="1:22" x14ac:dyDescent="0.25">
      <c r="A71" s="25" t="s">
        <v>105</v>
      </c>
      <c r="B71" s="10">
        <v>3542</v>
      </c>
      <c r="C71" s="941">
        <v>2.9915014164305953</v>
      </c>
      <c r="D71" s="942">
        <f t="shared" si="0"/>
        <v>4048.1496747875358</v>
      </c>
      <c r="G71" s="943"/>
      <c r="H71" s="26"/>
      <c r="I71" s="944"/>
      <c r="J71" s="942"/>
      <c r="M71" s="25"/>
      <c r="N71" s="26"/>
      <c r="O71" s="944"/>
      <c r="P71" s="942"/>
      <c r="S71" s="9"/>
      <c r="T71" s="10"/>
      <c r="U71" s="31"/>
      <c r="V71" s="942"/>
    </row>
    <row r="72" spans="1:22" x14ac:dyDescent="0.25">
      <c r="A72" s="25" t="s">
        <v>106</v>
      </c>
      <c r="B72" s="10">
        <v>3528</v>
      </c>
      <c r="C72" s="941">
        <v>1.0146627565982405</v>
      </c>
      <c r="D72" s="942">
        <f t="shared" si="0"/>
        <v>1373.0585870967741</v>
      </c>
      <c r="G72" s="943"/>
      <c r="H72" s="26"/>
      <c r="I72" s="944"/>
      <c r="J72" s="942"/>
      <c r="M72" s="25"/>
      <c r="N72" s="26"/>
      <c r="O72" s="944"/>
      <c r="P72" s="942"/>
      <c r="S72" s="9"/>
      <c r="T72" s="10"/>
      <c r="U72" s="31"/>
      <c r="V72" s="942"/>
    </row>
    <row r="73" spans="1:22" x14ac:dyDescent="0.25">
      <c r="A73" s="25" t="s">
        <v>107</v>
      </c>
      <c r="B73" s="10">
        <v>3534</v>
      </c>
      <c r="C73" s="941">
        <v>0</v>
      </c>
      <c r="D73" s="942">
        <f t="shared" ref="D73:D78" si="1">C$5*C73</f>
        <v>0</v>
      </c>
      <c r="G73" s="943"/>
      <c r="H73" s="26"/>
      <c r="I73" s="944"/>
      <c r="J73" s="942"/>
      <c r="M73" s="25"/>
      <c r="N73" s="26"/>
      <c r="O73" s="944"/>
      <c r="P73" s="942"/>
      <c r="S73" s="9"/>
      <c r="T73" s="10"/>
      <c r="U73" s="31"/>
      <c r="V73" s="942"/>
    </row>
    <row r="74" spans="1:22" x14ac:dyDescent="0.25">
      <c r="A74" s="25" t="s">
        <v>108</v>
      </c>
      <c r="B74" s="10">
        <v>3532</v>
      </c>
      <c r="C74" s="941">
        <v>0</v>
      </c>
      <c r="D74" s="942">
        <f t="shared" si="1"/>
        <v>0</v>
      </c>
      <c r="G74" s="943"/>
      <c r="H74" s="26"/>
      <c r="I74" s="944"/>
      <c r="J74" s="942"/>
      <c r="M74" s="25"/>
      <c r="N74" s="26"/>
      <c r="O74" s="944"/>
      <c r="P74" s="942"/>
      <c r="S74" s="9"/>
      <c r="T74" s="10"/>
      <c r="U74" s="31"/>
      <c r="V74" s="942"/>
    </row>
    <row r="75" spans="1:22" x14ac:dyDescent="0.25">
      <c r="A75" s="25" t="s">
        <v>65</v>
      </c>
      <c r="B75" s="10">
        <v>3546</v>
      </c>
      <c r="C75" s="941">
        <v>2.0562390158172232</v>
      </c>
      <c r="D75" s="942">
        <f t="shared" si="1"/>
        <v>2782.5369753954305</v>
      </c>
      <c r="G75" s="943"/>
      <c r="H75" s="26"/>
      <c r="I75" s="944"/>
      <c r="J75" s="942"/>
      <c r="M75" s="25"/>
      <c r="N75" s="26"/>
      <c r="O75" s="944"/>
      <c r="P75" s="942"/>
      <c r="S75" s="9"/>
      <c r="T75" s="10"/>
      <c r="U75" s="31"/>
      <c r="V75" s="942"/>
    </row>
    <row r="76" spans="1:22" x14ac:dyDescent="0.25">
      <c r="A76" s="25" t="s">
        <v>109</v>
      </c>
      <c r="B76" s="10">
        <v>3530</v>
      </c>
      <c r="C76" s="941">
        <v>0</v>
      </c>
      <c r="D76" s="942">
        <f t="shared" si="1"/>
        <v>0</v>
      </c>
      <c r="G76" s="943"/>
      <c r="H76" s="26"/>
      <c r="I76" s="944"/>
      <c r="J76" s="942"/>
      <c r="M76" s="25"/>
      <c r="N76" s="26"/>
      <c r="O76" s="944"/>
      <c r="P76" s="942"/>
      <c r="S76" s="9"/>
      <c r="T76" s="10"/>
      <c r="U76" s="31"/>
      <c r="V76" s="942"/>
    </row>
    <row r="77" spans="1:22" x14ac:dyDescent="0.25">
      <c r="A77" s="25" t="s">
        <v>67</v>
      </c>
      <c r="B77" s="10">
        <v>2459</v>
      </c>
      <c r="C77" s="941">
        <v>0</v>
      </c>
      <c r="D77" s="942">
        <f t="shared" si="1"/>
        <v>0</v>
      </c>
      <c r="G77" s="943"/>
      <c r="H77" s="26"/>
      <c r="I77" s="944"/>
      <c r="J77" s="942"/>
      <c r="M77" s="25"/>
      <c r="N77" s="26"/>
      <c r="O77" s="944"/>
      <c r="P77" s="942"/>
      <c r="S77" s="9"/>
      <c r="T77" s="10"/>
      <c r="U77" s="31"/>
      <c r="V77" s="942"/>
    </row>
    <row r="78" spans="1:22" x14ac:dyDescent="0.25">
      <c r="A78" s="9" t="s">
        <v>846</v>
      </c>
      <c r="B78" s="10">
        <v>4000</v>
      </c>
      <c r="C78" s="941">
        <v>0</v>
      </c>
      <c r="D78" s="942">
        <f t="shared" si="1"/>
        <v>0</v>
      </c>
      <c r="G78" s="943"/>
      <c r="H78" s="26"/>
      <c r="I78" s="944"/>
      <c r="J78" s="942"/>
      <c r="M78" s="25"/>
      <c r="N78" s="26"/>
      <c r="O78" s="944"/>
      <c r="P78" s="942"/>
      <c r="S78" s="9"/>
      <c r="T78" s="10"/>
      <c r="U78" s="31"/>
      <c r="V78" s="942"/>
    </row>
    <row r="79" spans="1:22" x14ac:dyDescent="0.25">
      <c r="A79" s="25"/>
      <c r="B79" s="10"/>
      <c r="C79" s="944"/>
      <c r="D79" s="23"/>
      <c r="G79" s="31"/>
      <c r="H79" s="26"/>
      <c r="I79" s="944"/>
      <c r="J79" s="23"/>
      <c r="M79" s="25"/>
      <c r="N79" s="26"/>
      <c r="O79" s="944"/>
      <c r="P79" s="23"/>
      <c r="S79" s="9"/>
      <c r="T79" s="10"/>
      <c r="U79" s="31"/>
      <c r="V79" s="23"/>
    </row>
    <row r="80" spans="1:22" x14ac:dyDescent="0.25">
      <c r="A80" s="24" t="s">
        <v>110</v>
      </c>
      <c r="B80" s="1" t="s">
        <v>110</v>
      </c>
      <c r="C80" s="946">
        <f>SUM(C7:C78)</f>
        <v>68.295479625555089</v>
      </c>
      <c r="D80" s="946">
        <f>SUM(D7:D78)</f>
        <v>92418.583563810898</v>
      </c>
      <c r="F80" s="946"/>
      <c r="G80" s="947"/>
      <c r="H80" s="24"/>
      <c r="I80" s="946"/>
      <c r="J80" s="942"/>
      <c r="M80" s="24"/>
      <c r="N80" s="24"/>
      <c r="O80" s="946"/>
      <c r="P80" s="942"/>
      <c r="S80" s="1"/>
      <c r="T80" s="1"/>
      <c r="U80" s="947"/>
      <c r="V80" s="29"/>
    </row>
    <row r="81" spans="1:22" x14ac:dyDescent="0.25">
      <c r="A81" s="25"/>
      <c r="B81" s="10"/>
      <c r="C81" s="944"/>
      <c r="D81" s="23"/>
      <c r="G81" s="31"/>
      <c r="H81" s="26"/>
      <c r="I81" s="944"/>
      <c r="J81" s="23"/>
      <c r="M81" s="25"/>
      <c r="N81" s="26"/>
      <c r="O81" s="944"/>
      <c r="P81" s="23"/>
      <c r="S81" s="9"/>
      <c r="T81" s="10"/>
      <c r="U81" s="31"/>
      <c r="V81" s="23"/>
    </row>
    <row r="82" spans="1:22" x14ac:dyDescent="0.25">
      <c r="A82" s="25" t="s">
        <v>75</v>
      </c>
      <c r="B82" s="10">
        <v>5402</v>
      </c>
      <c r="C82" s="941">
        <v>6.9682779456193353</v>
      </c>
      <c r="D82" s="942">
        <f t="shared" ref="D82:D96" si="2">C$5*C82</f>
        <v>9429.5900862537765</v>
      </c>
      <c r="G82" s="943"/>
      <c r="H82" s="26"/>
      <c r="I82" s="944"/>
      <c r="J82" s="942"/>
      <c r="M82" s="25"/>
      <c r="N82" s="26"/>
      <c r="O82" s="944"/>
      <c r="P82" s="942"/>
      <c r="S82" s="9"/>
      <c r="T82" s="10"/>
      <c r="U82" s="31"/>
      <c r="V82" s="942"/>
    </row>
    <row r="83" spans="1:22" x14ac:dyDescent="0.25">
      <c r="A83" s="25" t="s">
        <v>68</v>
      </c>
      <c r="B83" s="10">
        <v>4608</v>
      </c>
      <c r="C83" s="941">
        <v>3.0327868852459017</v>
      </c>
      <c r="D83" s="942">
        <f t="shared" si="2"/>
        <v>4104.0178606557374</v>
      </c>
      <c r="G83" s="943"/>
      <c r="H83" s="26"/>
      <c r="I83" s="944"/>
      <c r="J83" s="942"/>
      <c r="M83" s="25"/>
      <c r="N83" s="26"/>
      <c r="O83" s="944"/>
      <c r="P83" s="942"/>
      <c r="S83" s="9"/>
      <c r="T83" s="10"/>
      <c r="U83" s="31"/>
      <c r="V83" s="942"/>
    </row>
    <row r="84" spans="1:22" x14ac:dyDescent="0.25">
      <c r="A84" s="25" t="s">
        <v>111</v>
      </c>
      <c r="B84" s="10">
        <v>4178</v>
      </c>
      <c r="C84" s="941">
        <v>8.8561643835616426</v>
      </c>
      <c r="D84" s="942">
        <f t="shared" si="2"/>
        <v>11984.30954178082</v>
      </c>
      <c r="G84" s="943"/>
      <c r="H84" s="26"/>
      <c r="I84" s="944"/>
      <c r="J84" s="942"/>
      <c r="M84" s="25"/>
      <c r="N84" s="26"/>
      <c r="O84" s="944"/>
      <c r="P84" s="942"/>
      <c r="S84" s="9"/>
      <c r="T84" s="10"/>
      <c r="U84" s="31"/>
      <c r="V84" s="942"/>
    </row>
    <row r="85" spans="1:22" x14ac:dyDescent="0.25">
      <c r="A85" s="25" t="s">
        <v>69</v>
      </c>
      <c r="B85" s="10">
        <v>4181</v>
      </c>
      <c r="C85" s="941">
        <v>1.9758812615955474</v>
      </c>
      <c r="D85" s="942">
        <f t="shared" si="2"/>
        <v>2673.7955204081632</v>
      </c>
      <c r="G85" s="943"/>
      <c r="H85" s="26"/>
      <c r="I85" s="944"/>
      <c r="J85" s="942"/>
      <c r="M85" s="25"/>
      <c r="N85" s="26"/>
      <c r="O85" s="944"/>
      <c r="P85" s="942"/>
      <c r="S85" s="9"/>
      <c r="T85" s="10"/>
      <c r="U85" s="31"/>
      <c r="V85" s="942"/>
    </row>
    <row r="86" spans="1:22" x14ac:dyDescent="0.25">
      <c r="A86" s="25" t="s">
        <v>70</v>
      </c>
      <c r="B86" s="10">
        <v>4182</v>
      </c>
      <c r="C86" s="941">
        <v>11.28448275862069</v>
      </c>
      <c r="D86" s="942">
        <f t="shared" si="2"/>
        <v>15270.350519827587</v>
      </c>
      <c r="G86" s="943"/>
      <c r="H86" s="26"/>
      <c r="I86" s="944"/>
      <c r="J86" s="942"/>
      <c r="M86" s="25"/>
      <c r="N86" s="26"/>
      <c r="O86" s="944"/>
      <c r="P86" s="942"/>
      <c r="S86" s="9"/>
      <c r="T86" s="10"/>
      <c r="U86" s="31"/>
      <c r="V86" s="942"/>
    </row>
    <row r="87" spans="1:22" x14ac:dyDescent="0.25">
      <c r="A87" s="25" t="s">
        <v>71</v>
      </c>
      <c r="B87" s="948">
        <v>4001</v>
      </c>
      <c r="C87" s="941">
        <v>5.4048913043478262</v>
      </c>
      <c r="D87" s="942">
        <f t="shared" si="2"/>
        <v>7313.9891747282609</v>
      </c>
      <c r="G87" s="943"/>
      <c r="H87" s="26"/>
      <c r="I87" s="944"/>
      <c r="J87" s="942"/>
      <c r="M87" s="25"/>
      <c r="N87" s="26"/>
      <c r="O87" s="944"/>
      <c r="P87" s="942"/>
      <c r="S87" s="9"/>
      <c r="T87" s="10"/>
      <c r="U87" s="31"/>
      <c r="V87" s="942"/>
    </row>
    <row r="88" spans="1:22" x14ac:dyDescent="0.25">
      <c r="A88" s="25" t="s">
        <v>112</v>
      </c>
      <c r="B88" s="10">
        <v>5406</v>
      </c>
      <c r="C88" s="941">
        <v>1.957193816884661</v>
      </c>
      <c r="D88" s="942">
        <f t="shared" si="2"/>
        <v>2648.5073581450652</v>
      </c>
      <c r="G88" s="943"/>
      <c r="H88" s="26"/>
      <c r="I88" s="944"/>
      <c r="J88" s="942"/>
      <c r="M88" s="25"/>
      <c r="N88" s="26"/>
      <c r="O88" s="944"/>
      <c r="P88" s="942"/>
      <c r="S88" s="9"/>
      <c r="T88" s="10"/>
      <c r="U88" s="31"/>
      <c r="V88" s="942"/>
    </row>
    <row r="89" spans="1:22" x14ac:dyDescent="0.25">
      <c r="A89" s="25" t="s">
        <v>113</v>
      </c>
      <c r="B89" s="10">
        <v>5407</v>
      </c>
      <c r="C89" s="941">
        <v>3.1757925072046107</v>
      </c>
      <c r="D89" s="942">
        <f t="shared" si="2"/>
        <v>4297.5354564841491</v>
      </c>
      <c r="G89" s="943"/>
      <c r="H89" s="26"/>
      <c r="I89" s="944"/>
      <c r="J89" s="942"/>
      <c r="M89" s="25"/>
      <c r="N89" s="26"/>
      <c r="O89" s="944"/>
      <c r="P89" s="942"/>
      <c r="S89" s="9"/>
      <c r="T89" s="10"/>
      <c r="U89" s="31"/>
      <c r="V89" s="942"/>
    </row>
    <row r="90" spans="1:22" x14ac:dyDescent="0.25">
      <c r="A90" s="25" t="s">
        <v>72</v>
      </c>
      <c r="B90" s="10">
        <v>4607</v>
      </c>
      <c r="C90" s="941">
        <v>1.9467353951890034</v>
      </c>
      <c r="D90" s="942">
        <f t="shared" si="2"/>
        <v>2634.3548472508592</v>
      </c>
      <c r="G90" s="943"/>
      <c r="H90" s="26"/>
      <c r="I90" s="944"/>
      <c r="J90" s="942"/>
      <c r="M90" s="25"/>
      <c r="N90" s="26"/>
      <c r="O90" s="944"/>
      <c r="P90" s="942"/>
      <c r="S90" s="9"/>
      <c r="T90" s="10"/>
      <c r="U90" s="31"/>
      <c r="V90" s="942"/>
    </row>
    <row r="91" spans="1:22" x14ac:dyDescent="0.25">
      <c r="A91" s="25" t="s">
        <v>966</v>
      </c>
      <c r="B91" s="948">
        <v>4002</v>
      </c>
      <c r="C91" s="941">
        <v>2.9767741935483869</v>
      </c>
      <c r="D91" s="942">
        <f t="shared" si="2"/>
        <v>4028.2205508387092</v>
      </c>
      <c r="G91" s="943"/>
      <c r="H91" s="26"/>
      <c r="I91" s="944"/>
      <c r="J91" s="942"/>
      <c r="M91" s="25"/>
      <c r="N91" s="26"/>
      <c r="O91" s="944"/>
      <c r="P91" s="942"/>
      <c r="S91" s="9"/>
      <c r="T91" s="10"/>
      <c r="U91" s="31"/>
      <c r="V91" s="942"/>
    </row>
    <row r="92" spans="1:22" x14ac:dyDescent="0.25">
      <c r="A92" s="25" t="s">
        <v>74</v>
      </c>
      <c r="B92" s="10">
        <v>5412</v>
      </c>
      <c r="C92" s="941">
        <v>6.0288461538461542</v>
      </c>
      <c r="D92" s="942">
        <f t="shared" si="2"/>
        <v>8158.3352971153845</v>
      </c>
      <c r="G92" s="943"/>
      <c r="H92" s="26"/>
      <c r="I92" s="944"/>
      <c r="J92" s="942"/>
      <c r="M92" s="25"/>
      <c r="N92" s="26"/>
      <c r="O92" s="944"/>
      <c r="P92" s="942"/>
      <c r="S92" s="9"/>
      <c r="T92" s="10"/>
      <c r="U92" s="31"/>
      <c r="V92" s="942"/>
    </row>
    <row r="93" spans="1:22" x14ac:dyDescent="0.25">
      <c r="A93" s="25" t="s">
        <v>73</v>
      </c>
      <c r="B93" s="10">
        <v>5414</v>
      </c>
      <c r="C93" s="941">
        <v>2.0114068441064639</v>
      </c>
      <c r="D93" s="942">
        <f t="shared" si="2"/>
        <v>2721.8693319391632</v>
      </c>
      <c r="G93" s="943"/>
      <c r="H93" s="26"/>
      <c r="I93" s="944"/>
      <c r="J93" s="942"/>
      <c r="M93" s="25"/>
      <c r="N93" s="26"/>
      <c r="O93" s="944"/>
      <c r="P93" s="942"/>
      <c r="S93" s="9"/>
      <c r="T93" s="10"/>
      <c r="U93" s="31"/>
      <c r="V93" s="942"/>
    </row>
    <row r="94" spans="1:22" x14ac:dyDescent="0.25">
      <c r="A94" s="9" t="s">
        <v>1306</v>
      </c>
      <c r="B94" s="10">
        <v>4003</v>
      </c>
      <c r="C94" s="941">
        <v>0</v>
      </c>
      <c r="D94" s="942">
        <f t="shared" si="2"/>
        <v>0</v>
      </c>
      <c r="G94" s="943"/>
      <c r="H94" s="26"/>
      <c r="I94" s="944"/>
      <c r="J94" s="942"/>
      <c r="M94" s="25"/>
      <c r="N94" s="26"/>
      <c r="O94" s="944"/>
      <c r="P94" s="942"/>
      <c r="S94" s="9"/>
      <c r="T94" s="10"/>
      <c r="U94" s="31"/>
      <c r="V94" s="942"/>
    </row>
    <row r="95" spans="1:22" x14ac:dyDescent="0.25">
      <c r="A95" s="9" t="s">
        <v>846</v>
      </c>
      <c r="B95" s="10">
        <v>4000</v>
      </c>
      <c r="C95" s="941">
        <v>0</v>
      </c>
      <c r="D95" s="942">
        <f t="shared" si="2"/>
        <v>0</v>
      </c>
      <c r="G95" s="943"/>
      <c r="H95" s="26"/>
      <c r="I95" s="944"/>
      <c r="J95" s="942"/>
      <c r="M95" s="25"/>
      <c r="N95" s="26"/>
      <c r="O95" s="944"/>
      <c r="P95" s="942"/>
      <c r="S95" s="9"/>
      <c r="T95" s="10"/>
      <c r="U95" s="31"/>
      <c r="V95" s="942"/>
    </row>
    <row r="96" spans="1:22" x14ac:dyDescent="0.25">
      <c r="A96" s="9" t="s">
        <v>569</v>
      </c>
      <c r="B96" s="10">
        <v>6905</v>
      </c>
      <c r="C96" s="941">
        <v>6.8676122931442078</v>
      </c>
      <c r="D96" s="942">
        <f t="shared" si="2"/>
        <v>9293.3676442080377</v>
      </c>
      <c r="G96" s="943"/>
      <c r="H96" s="26"/>
      <c r="I96" s="944"/>
      <c r="J96" s="942"/>
      <c r="M96" s="25"/>
      <c r="N96" s="26"/>
      <c r="O96" s="944"/>
      <c r="P96" s="942"/>
      <c r="S96" s="9"/>
      <c r="T96" s="10"/>
      <c r="U96" s="31"/>
      <c r="V96" s="942"/>
    </row>
    <row r="97" spans="1:22" x14ac:dyDescent="0.25">
      <c r="A97" s="25"/>
      <c r="B97" s="10"/>
      <c r="D97" s="23"/>
      <c r="G97" s="927"/>
      <c r="H97" s="26"/>
      <c r="J97" s="23"/>
      <c r="M97" s="25"/>
      <c r="N97" s="26"/>
      <c r="P97" s="23"/>
      <c r="S97" s="9"/>
      <c r="T97" s="10"/>
      <c r="U97" s="927"/>
      <c r="V97" s="23"/>
    </row>
    <row r="98" spans="1:22" x14ac:dyDescent="0.25">
      <c r="A98" s="24" t="s">
        <v>115</v>
      </c>
      <c r="B98" s="1" t="s">
        <v>115</v>
      </c>
      <c r="C98" s="946">
        <f>SUM(C82:C96)</f>
        <v>62.486845742914426</v>
      </c>
      <c r="D98" s="946">
        <f>SUM(D82:D96)</f>
        <v>84558.243189635701</v>
      </c>
      <c r="F98" s="946"/>
      <c r="G98" s="947"/>
      <c r="H98" s="24"/>
      <c r="I98" s="946"/>
      <c r="J98" s="942"/>
      <c r="M98" s="24"/>
      <c r="N98" s="24"/>
      <c r="O98" s="946"/>
      <c r="P98" s="942"/>
      <c r="S98" s="1"/>
      <c r="T98" s="1"/>
      <c r="U98" s="947"/>
      <c r="V98" s="29"/>
    </row>
    <row r="99" spans="1:22" x14ac:dyDescent="0.25">
      <c r="A99" s="24"/>
      <c r="B99" s="1"/>
      <c r="C99" s="946"/>
      <c r="D99" s="946"/>
      <c r="G99" s="947"/>
      <c r="H99" s="24"/>
      <c r="I99" s="946"/>
      <c r="J99" s="942"/>
      <c r="M99" s="24"/>
      <c r="N99" s="24"/>
      <c r="O99" s="946"/>
      <c r="P99" s="942"/>
      <c r="S99" s="1"/>
      <c r="T99" s="1"/>
      <c r="U99" s="947"/>
      <c r="V99" s="29"/>
    </row>
    <row r="100" spans="1:22" x14ac:dyDescent="0.25">
      <c r="A100" s="9" t="s">
        <v>114</v>
      </c>
      <c r="B100" s="10">
        <v>4177</v>
      </c>
      <c r="C100" s="941">
        <v>9.8073144104803482</v>
      </c>
      <c r="D100" s="942">
        <f>C$5*C100</f>
        <v>13271.421642412663</v>
      </c>
      <c r="F100" s="11"/>
      <c r="G100" s="947"/>
      <c r="H100" s="24"/>
      <c r="I100" s="946"/>
      <c r="J100" s="942"/>
      <c r="M100" s="24"/>
      <c r="N100" s="24"/>
      <c r="O100" s="946"/>
      <c r="P100" s="942"/>
      <c r="S100" s="1"/>
      <c r="T100" s="1"/>
      <c r="U100" s="947"/>
      <c r="V100" s="29"/>
    </row>
    <row r="101" spans="1:22" x14ac:dyDescent="0.25">
      <c r="A101" s="1"/>
      <c r="B101" s="1"/>
      <c r="C101" s="946"/>
      <c r="D101" s="946"/>
      <c r="G101" s="947"/>
      <c r="H101" s="24"/>
      <c r="I101" s="946"/>
      <c r="J101" s="942"/>
      <c r="M101" s="24"/>
      <c r="N101" s="24"/>
      <c r="O101" s="946"/>
      <c r="P101" s="942"/>
      <c r="S101" s="1"/>
      <c r="T101" s="1"/>
      <c r="U101" s="947"/>
      <c r="V101" s="29"/>
    </row>
    <row r="102" spans="1:22" x14ac:dyDescent="0.25">
      <c r="A102" s="1" t="s">
        <v>848</v>
      </c>
      <c r="B102" s="1" t="s">
        <v>849</v>
      </c>
      <c r="C102" s="946">
        <f>C100</f>
        <v>9.8073144104803482</v>
      </c>
      <c r="D102" s="946">
        <f>D100</f>
        <v>13271.421642412663</v>
      </c>
      <c r="F102" s="946"/>
      <c r="G102" s="927"/>
      <c r="H102" s="26"/>
      <c r="J102" s="23"/>
      <c r="M102" s="25"/>
      <c r="N102" s="26"/>
      <c r="P102" s="23"/>
      <c r="S102" s="9"/>
      <c r="T102" s="10"/>
      <c r="U102" s="927"/>
      <c r="V102" s="23"/>
    </row>
    <row r="103" spans="1:22" x14ac:dyDescent="0.25">
      <c r="A103" s="1"/>
      <c r="B103" s="10"/>
      <c r="D103" s="23"/>
      <c r="G103" s="927"/>
      <c r="H103" s="26"/>
      <c r="J103" s="23"/>
      <c r="M103" s="25"/>
      <c r="N103" s="26"/>
      <c r="P103" s="23"/>
      <c r="S103" s="9"/>
      <c r="T103" s="10"/>
      <c r="U103" s="927"/>
      <c r="V103" s="23"/>
    </row>
    <row r="104" spans="1:22" x14ac:dyDescent="0.25">
      <c r="A104" s="24" t="s">
        <v>116</v>
      </c>
      <c r="B104" s="1" t="s">
        <v>117</v>
      </c>
      <c r="C104" s="1107">
        <f>C98+C80+C102</f>
        <v>140.58963977894987</v>
      </c>
      <c r="D104" s="946">
        <f>D98+D80+D102</f>
        <v>190248.24839585926</v>
      </c>
      <c r="F104" s="946"/>
      <c r="G104" s="947"/>
      <c r="H104" s="24"/>
      <c r="I104" s="946"/>
      <c r="J104" s="942"/>
      <c r="M104" s="24"/>
      <c r="N104" s="24"/>
      <c r="O104" s="946"/>
      <c r="P104" s="942"/>
      <c r="S104" s="1"/>
      <c r="T104" s="1"/>
      <c r="U104" s="947"/>
      <c r="V104" s="29"/>
    </row>
    <row r="105" spans="1:22" x14ac:dyDescent="0.25">
      <c r="B105" s="30" t="s">
        <v>981</v>
      </c>
      <c r="C105" s="927">
        <v>140.58963977894987</v>
      </c>
    </row>
    <row r="106" spans="1:22" x14ac:dyDescent="0.25">
      <c r="B106" s="1" t="s">
        <v>855</v>
      </c>
      <c r="C106" s="927">
        <f>C104-C105</f>
        <v>0</v>
      </c>
    </row>
    <row r="108" spans="1:22" x14ac:dyDescent="0.25">
      <c r="A108"/>
      <c r="D108" s="21"/>
    </row>
    <row r="110" spans="1:22" x14ac:dyDescent="0.25">
      <c r="D110" s="21"/>
    </row>
    <row r="112" spans="1:22" x14ac:dyDescent="0.25">
      <c r="A112" s="59" t="s">
        <v>238</v>
      </c>
      <c r="B112" s="59">
        <v>206189</v>
      </c>
    </row>
    <row r="113" spans="1:21" x14ac:dyDescent="0.25">
      <c r="A113" s="59" t="s">
        <v>1301</v>
      </c>
      <c r="B113" s="59">
        <v>2014</v>
      </c>
      <c r="C113" s="30"/>
      <c r="G113" s="30"/>
      <c r="H113" s="30"/>
      <c r="I113" s="30"/>
      <c r="J113" s="30"/>
      <c r="K113" s="30"/>
      <c r="L113" s="30"/>
      <c r="M113" s="30"/>
      <c r="N113" s="30"/>
      <c r="O113" s="30"/>
      <c r="P113" s="30"/>
      <c r="U113" s="30"/>
    </row>
    <row r="114" spans="1:21" x14ac:dyDescent="0.25">
      <c r="A114" s="59" t="s">
        <v>10</v>
      </c>
      <c r="B114" s="59">
        <v>2012</v>
      </c>
      <c r="C114" s="30"/>
      <c r="G114" s="30"/>
      <c r="H114" s="30"/>
      <c r="I114" s="30"/>
      <c r="J114" s="30"/>
      <c r="K114" s="30"/>
      <c r="L114" s="30"/>
      <c r="M114" s="30"/>
      <c r="N114" s="30"/>
      <c r="O114" s="30"/>
      <c r="P114" s="30"/>
      <c r="U114" s="30"/>
    </row>
    <row r="115" spans="1:21" x14ac:dyDescent="0.25">
      <c r="A115" s="59" t="s">
        <v>73</v>
      </c>
      <c r="B115" s="59">
        <v>5414</v>
      </c>
      <c r="C115" s="30"/>
      <c r="G115" s="30"/>
      <c r="H115" s="30"/>
      <c r="I115" s="30"/>
      <c r="J115" s="30"/>
      <c r="K115" s="30"/>
      <c r="L115" s="30"/>
      <c r="M115" s="30"/>
      <c r="N115" s="30"/>
      <c r="O115" s="30"/>
      <c r="P115" s="30"/>
      <c r="U115" s="30"/>
    </row>
    <row r="116" spans="1:21" x14ac:dyDescent="0.25">
      <c r="A116" s="59" t="s">
        <v>846</v>
      </c>
      <c r="B116" s="59">
        <v>4000</v>
      </c>
      <c r="C116" s="30"/>
      <c r="G116" s="30"/>
      <c r="H116" s="30"/>
      <c r="I116" s="30"/>
      <c r="J116" s="30"/>
      <c r="K116" s="30"/>
      <c r="L116" s="30"/>
      <c r="M116" s="30"/>
      <c r="N116" s="30"/>
      <c r="O116" s="30"/>
      <c r="P116" s="30"/>
      <c r="U116" s="30"/>
    </row>
    <row r="117" spans="1:21" x14ac:dyDescent="0.25">
      <c r="A117" s="59" t="s">
        <v>11</v>
      </c>
      <c r="B117" s="59">
        <v>2443</v>
      </c>
      <c r="C117" s="30"/>
      <c r="G117" s="30"/>
      <c r="H117" s="30"/>
      <c r="I117" s="30"/>
      <c r="J117" s="30"/>
      <c r="K117" s="30"/>
      <c r="L117" s="30"/>
      <c r="M117" s="30"/>
      <c r="N117" s="30"/>
      <c r="O117" s="30"/>
      <c r="P117" s="30"/>
      <c r="U117" s="30"/>
    </row>
    <row r="118" spans="1:21" x14ac:dyDescent="0.25">
      <c r="A118" s="59" t="s">
        <v>94</v>
      </c>
      <c r="B118" s="59">
        <v>2442</v>
      </c>
      <c r="C118" s="30"/>
      <c r="G118" s="30"/>
      <c r="H118" s="30"/>
      <c r="I118" s="30"/>
      <c r="J118" s="30"/>
      <c r="K118" s="30"/>
      <c r="L118" s="30"/>
      <c r="M118" s="30"/>
      <c r="N118" s="30"/>
      <c r="O118" s="30"/>
      <c r="P118" s="30"/>
      <c r="U118" s="30"/>
    </row>
    <row r="119" spans="1:21" x14ac:dyDescent="0.25">
      <c r="A119" s="59" t="s">
        <v>241</v>
      </c>
      <c r="B119" s="59" t="s">
        <v>242</v>
      </c>
      <c r="C119" s="30"/>
      <c r="G119" s="30"/>
      <c r="H119" s="30"/>
      <c r="I119" s="30"/>
      <c r="J119" s="30"/>
      <c r="K119" s="30"/>
      <c r="L119" s="30"/>
      <c r="M119" s="30"/>
      <c r="N119" s="30"/>
      <c r="O119" s="30"/>
      <c r="P119" s="30"/>
      <c r="U119" s="30"/>
    </row>
    <row r="120" spans="1:21" x14ac:dyDescent="0.25">
      <c r="A120" s="59" t="s">
        <v>13</v>
      </c>
      <c r="B120" s="59">
        <v>2629</v>
      </c>
      <c r="C120" s="30"/>
      <c r="G120" s="30"/>
      <c r="H120" s="30"/>
      <c r="I120" s="30"/>
      <c r="J120" s="30"/>
      <c r="K120" s="30"/>
      <c r="L120" s="30"/>
      <c r="M120" s="30"/>
      <c r="N120" s="30"/>
      <c r="O120" s="30"/>
      <c r="P120" s="30"/>
      <c r="U120" s="30"/>
    </row>
    <row r="121" spans="1:21" x14ac:dyDescent="0.25">
      <c r="A121" s="59" t="s">
        <v>14</v>
      </c>
      <c r="B121" s="59">
        <v>2509</v>
      </c>
      <c r="C121" s="30"/>
      <c r="G121" s="30"/>
      <c r="H121" s="30"/>
      <c r="I121" s="30"/>
      <c r="J121" s="30"/>
      <c r="K121" s="30"/>
      <c r="L121" s="30"/>
      <c r="M121" s="30"/>
      <c r="N121" s="30"/>
      <c r="O121" s="30"/>
      <c r="P121" s="30"/>
      <c r="U121" s="30"/>
    </row>
    <row r="122" spans="1:21" x14ac:dyDescent="0.25">
      <c r="A122" s="59" t="s">
        <v>2</v>
      </c>
      <c r="B122" s="59">
        <v>1014</v>
      </c>
      <c r="C122" s="30"/>
      <c r="G122" s="30"/>
      <c r="H122" s="30"/>
      <c r="I122" s="30"/>
      <c r="J122" s="30"/>
      <c r="K122" s="30"/>
      <c r="L122" s="30"/>
      <c r="M122" s="30"/>
      <c r="N122" s="30"/>
      <c r="O122" s="30"/>
      <c r="P122" s="30"/>
      <c r="U122" s="30"/>
    </row>
    <row r="123" spans="1:21" x14ac:dyDescent="0.25">
      <c r="A123" s="59" t="s">
        <v>15</v>
      </c>
      <c r="B123" s="59">
        <v>2005</v>
      </c>
      <c r="C123" s="30"/>
      <c r="G123" s="30"/>
      <c r="H123" s="30"/>
      <c r="I123" s="30"/>
      <c r="J123" s="30"/>
      <c r="K123" s="30"/>
      <c r="L123" s="30"/>
      <c r="M123" s="30"/>
      <c r="N123" s="30"/>
      <c r="O123" s="30"/>
      <c r="P123" s="30"/>
      <c r="U123" s="30"/>
    </row>
    <row r="124" spans="1:21" x14ac:dyDescent="0.25">
      <c r="A124" s="59" t="s">
        <v>16</v>
      </c>
      <c r="B124" s="59">
        <v>2464</v>
      </c>
      <c r="C124" s="30"/>
      <c r="G124" s="30"/>
      <c r="H124" s="30"/>
      <c r="I124" s="30"/>
      <c r="J124" s="30"/>
      <c r="K124" s="30"/>
      <c r="L124" s="30"/>
      <c r="M124" s="30"/>
      <c r="N124" s="30"/>
      <c r="O124" s="30"/>
      <c r="P124" s="30"/>
      <c r="U124" s="30"/>
    </row>
    <row r="125" spans="1:21" x14ac:dyDescent="0.25">
      <c r="A125" s="59" t="s">
        <v>706</v>
      </c>
      <c r="B125" s="59" t="s">
        <v>708</v>
      </c>
      <c r="C125" s="30"/>
      <c r="G125" s="30"/>
      <c r="H125" s="30"/>
      <c r="I125" s="30"/>
      <c r="J125" s="30"/>
      <c r="K125" s="30"/>
      <c r="L125" s="30"/>
      <c r="M125" s="30"/>
      <c r="N125" s="30"/>
      <c r="O125" s="30"/>
      <c r="P125" s="30"/>
      <c r="U125" s="30"/>
    </row>
    <row r="126" spans="1:21" x14ac:dyDescent="0.25">
      <c r="A126" s="59" t="s">
        <v>17</v>
      </c>
      <c r="B126" s="59">
        <v>2004</v>
      </c>
      <c r="C126" s="30"/>
      <c r="G126" s="30"/>
      <c r="H126" s="30"/>
      <c r="I126" s="30"/>
      <c r="J126" s="30"/>
      <c r="K126" s="30"/>
      <c r="L126" s="30"/>
      <c r="M126" s="30"/>
      <c r="N126" s="30"/>
      <c r="O126" s="30"/>
      <c r="P126" s="30"/>
      <c r="U126" s="30"/>
    </row>
    <row r="127" spans="1:21" x14ac:dyDescent="0.25">
      <c r="A127" s="59" t="s">
        <v>18</v>
      </c>
      <c r="B127" s="59">
        <v>2405</v>
      </c>
      <c r="C127" s="30"/>
      <c r="G127" s="30"/>
      <c r="H127" s="30"/>
      <c r="I127" s="30"/>
      <c r="J127" s="30"/>
      <c r="K127" s="30"/>
      <c r="L127" s="30"/>
      <c r="M127" s="30"/>
      <c r="N127" s="30"/>
      <c r="O127" s="30"/>
      <c r="P127" s="30"/>
      <c r="U127" s="30"/>
    </row>
    <row r="128" spans="1:21" x14ac:dyDescent="0.25">
      <c r="A128" s="59" t="s">
        <v>243</v>
      </c>
      <c r="B128" s="59" t="s">
        <v>245</v>
      </c>
      <c r="C128" s="30"/>
      <c r="G128" s="30"/>
      <c r="H128" s="30"/>
      <c r="I128" s="30"/>
      <c r="J128" s="30"/>
      <c r="K128" s="30"/>
      <c r="L128" s="30"/>
      <c r="M128" s="30"/>
      <c r="N128" s="30"/>
      <c r="O128" s="30"/>
      <c r="P128" s="30"/>
      <c r="U128" s="30"/>
    </row>
    <row r="129" spans="1:21" x14ac:dyDescent="0.25">
      <c r="A129" s="59" t="s">
        <v>250</v>
      </c>
      <c r="B129" s="59" t="s">
        <v>709</v>
      </c>
      <c r="C129" s="30"/>
      <c r="G129" s="30"/>
      <c r="H129" s="30"/>
      <c r="I129" s="30"/>
      <c r="J129" s="30"/>
      <c r="K129" s="30"/>
      <c r="L129" s="30"/>
      <c r="M129" s="30"/>
      <c r="N129" s="30"/>
      <c r="O129" s="30"/>
      <c r="P129" s="30"/>
      <c r="U129" s="30"/>
    </row>
    <row r="130" spans="1:21" x14ac:dyDescent="0.25">
      <c r="A130" s="59" t="s">
        <v>246</v>
      </c>
      <c r="B130" s="59" t="s">
        <v>247</v>
      </c>
      <c r="C130" s="30"/>
      <c r="G130" s="30"/>
      <c r="H130" s="30"/>
      <c r="I130" s="30"/>
      <c r="J130" s="30"/>
      <c r="K130" s="30"/>
      <c r="L130" s="30"/>
      <c r="M130" s="30"/>
      <c r="N130" s="30"/>
      <c r="O130" s="30"/>
      <c r="P130" s="30"/>
      <c r="U130" s="30"/>
    </row>
    <row r="131" spans="1:21" x14ac:dyDescent="0.25">
      <c r="A131" s="59" t="s">
        <v>248</v>
      </c>
      <c r="B131" s="59" t="s">
        <v>249</v>
      </c>
      <c r="C131" s="30"/>
      <c r="G131" s="30"/>
      <c r="H131" s="30"/>
      <c r="I131" s="30"/>
      <c r="J131" s="30"/>
      <c r="K131" s="30"/>
      <c r="L131" s="30"/>
      <c r="M131" s="30"/>
      <c r="N131" s="30"/>
      <c r="O131" s="30"/>
      <c r="P131" s="30"/>
      <c r="U131" s="30"/>
    </row>
    <row r="132" spans="1:21" x14ac:dyDescent="0.25">
      <c r="A132" s="59" t="s">
        <v>19</v>
      </c>
      <c r="B132" s="59">
        <v>2011</v>
      </c>
      <c r="C132" s="30"/>
      <c r="G132" s="30"/>
      <c r="H132" s="30"/>
      <c r="I132" s="30"/>
      <c r="J132" s="30"/>
      <c r="K132" s="30"/>
      <c r="L132" s="30"/>
      <c r="M132" s="30"/>
      <c r="N132" s="30"/>
      <c r="O132" s="30"/>
      <c r="P132" s="30"/>
      <c r="U132" s="30"/>
    </row>
    <row r="133" spans="1:21" x14ac:dyDescent="0.25">
      <c r="A133" s="59" t="s">
        <v>251</v>
      </c>
      <c r="B133" s="59" t="s">
        <v>252</v>
      </c>
      <c r="C133" s="30"/>
      <c r="G133" s="30"/>
      <c r="H133" s="30"/>
      <c r="I133" s="30"/>
      <c r="J133" s="30"/>
      <c r="K133" s="30"/>
      <c r="L133" s="30"/>
      <c r="M133" s="30"/>
      <c r="N133" s="30"/>
      <c r="O133" s="30"/>
      <c r="P133" s="30"/>
      <c r="U133" s="30"/>
    </row>
    <row r="134" spans="1:21" x14ac:dyDescent="0.25">
      <c r="A134" s="59" t="s">
        <v>20</v>
      </c>
      <c r="B134" s="59">
        <v>5201</v>
      </c>
      <c r="C134" s="30"/>
      <c r="G134" s="30"/>
      <c r="H134" s="30"/>
      <c r="I134" s="30"/>
      <c r="J134" s="30"/>
      <c r="K134" s="30"/>
      <c r="L134" s="30"/>
      <c r="M134" s="30"/>
      <c r="N134" s="30"/>
      <c r="O134" s="30"/>
      <c r="P134" s="30"/>
      <c r="U134" s="30"/>
    </row>
    <row r="135" spans="1:21" x14ac:dyDescent="0.25">
      <c r="A135" s="59" t="s">
        <v>253</v>
      </c>
      <c r="B135" s="59">
        <v>206124</v>
      </c>
      <c r="C135" s="30"/>
      <c r="G135" s="30"/>
      <c r="H135" s="30"/>
      <c r="I135" s="30"/>
      <c r="J135" s="30"/>
      <c r="K135" s="30"/>
      <c r="L135" s="30"/>
      <c r="M135" s="30"/>
      <c r="N135" s="30"/>
      <c r="O135" s="30"/>
      <c r="P135" s="30"/>
      <c r="U135" s="30"/>
    </row>
    <row r="136" spans="1:21" x14ac:dyDescent="0.25">
      <c r="A136" s="59" t="s">
        <v>21</v>
      </c>
      <c r="B136" s="59">
        <v>2433</v>
      </c>
      <c r="C136" s="30"/>
      <c r="G136" s="30"/>
      <c r="H136" s="30"/>
      <c r="I136" s="30"/>
      <c r="J136" s="30"/>
      <c r="K136" s="30"/>
      <c r="L136" s="30"/>
      <c r="M136" s="30"/>
      <c r="N136" s="30"/>
      <c r="O136" s="30"/>
      <c r="P136" s="30"/>
      <c r="U136" s="30"/>
    </row>
    <row r="137" spans="1:21" x14ac:dyDescent="0.25">
      <c r="A137" s="59" t="s">
        <v>22</v>
      </c>
      <c r="B137" s="59">
        <v>2432</v>
      </c>
      <c r="C137" s="30"/>
      <c r="G137" s="30"/>
      <c r="H137" s="30"/>
      <c r="I137" s="30"/>
      <c r="J137" s="30"/>
      <c r="K137" s="30"/>
      <c r="L137" s="30"/>
      <c r="M137" s="30"/>
      <c r="N137" s="30"/>
      <c r="O137" s="30"/>
      <c r="P137" s="30"/>
      <c r="U137" s="30"/>
    </row>
    <row r="138" spans="1:21" x14ac:dyDescent="0.25">
      <c r="A138" s="59" t="s">
        <v>256</v>
      </c>
      <c r="B138" s="59" t="s">
        <v>258</v>
      </c>
      <c r="C138" s="30"/>
      <c r="G138" s="30"/>
      <c r="H138" s="30"/>
      <c r="I138" s="30"/>
      <c r="J138" s="30"/>
      <c r="K138" s="30"/>
      <c r="L138" s="30"/>
      <c r="M138" s="30"/>
      <c r="N138" s="30"/>
      <c r="O138" s="30"/>
      <c r="P138" s="30"/>
      <c r="U138" s="30"/>
    </row>
    <row r="139" spans="1:21" x14ac:dyDescent="0.25">
      <c r="A139" s="59" t="s">
        <v>188</v>
      </c>
      <c r="B139" s="59">
        <v>2447</v>
      </c>
      <c r="C139" s="30"/>
      <c r="G139" s="30"/>
      <c r="H139" s="30"/>
      <c r="I139" s="30"/>
      <c r="J139" s="30"/>
      <c r="K139" s="30"/>
      <c r="L139" s="30"/>
      <c r="M139" s="30"/>
      <c r="N139" s="30"/>
      <c r="O139" s="30"/>
      <c r="P139" s="30"/>
      <c r="U139" s="30"/>
    </row>
    <row r="140" spans="1:21" x14ac:dyDescent="0.25">
      <c r="A140" s="59" t="s">
        <v>23</v>
      </c>
      <c r="B140" s="59">
        <v>2512</v>
      </c>
      <c r="C140" s="30"/>
      <c r="G140" s="30"/>
      <c r="H140" s="30"/>
      <c r="I140" s="30"/>
      <c r="J140" s="30"/>
      <c r="K140" s="30"/>
      <c r="L140" s="30"/>
      <c r="M140" s="30"/>
      <c r="N140" s="30"/>
      <c r="O140" s="30"/>
      <c r="P140" s="30"/>
      <c r="U140" s="30"/>
    </row>
    <row r="141" spans="1:21" x14ac:dyDescent="0.25">
      <c r="A141" s="59" t="s">
        <v>259</v>
      </c>
      <c r="B141" s="59">
        <v>206126</v>
      </c>
      <c r="C141" s="30"/>
      <c r="G141" s="30"/>
      <c r="H141" s="30"/>
      <c r="I141" s="30"/>
      <c r="J141" s="30"/>
      <c r="K141" s="30"/>
      <c r="L141" s="30"/>
      <c r="M141" s="30"/>
      <c r="N141" s="30"/>
      <c r="O141" s="30"/>
      <c r="P141" s="30"/>
      <c r="U141" s="30"/>
    </row>
    <row r="142" spans="1:21" x14ac:dyDescent="0.25">
      <c r="A142" s="59" t="s">
        <v>261</v>
      </c>
      <c r="B142" s="59">
        <v>206111</v>
      </c>
      <c r="C142" s="30"/>
      <c r="G142" s="30"/>
      <c r="H142" s="30"/>
      <c r="I142" s="30"/>
      <c r="J142" s="30"/>
      <c r="K142" s="30"/>
      <c r="L142" s="30"/>
      <c r="M142" s="30"/>
      <c r="N142" s="30"/>
      <c r="O142" s="30"/>
      <c r="P142" s="30"/>
      <c r="U142" s="30"/>
    </row>
    <row r="143" spans="1:21" x14ac:dyDescent="0.25">
      <c r="A143" s="59" t="s">
        <v>263</v>
      </c>
      <c r="B143" s="59">
        <v>206091</v>
      </c>
      <c r="C143" s="30"/>
      <c r="G143" s="30"/>
      <c r="H143" s="30"/>
      <c r="I143" s="30"/>
      <c r="J143" s="30"/>
      <c r="K143" s="30"/>
      <c r="L143" s="30"/>
      <c r="M143" s="30"/>
      <c r="N143" s="30"/>
      <c r="O143" s="30"/>
      <c r="P143" s="30"/>
      <c r="U143" s="30"/>
    </row>
    <row r="144" spans="1:21" x14ac:dyDescent="0.25">
      <c r="A144" s="59" t="s">
        <v>24</v>
      </c>
      <c r="B144" s="59">
        <v>2456</v>
      </c>
      <c r="C144" s="30"/>
      <c r="G144" s="30"/>
      <c r="H144" s="30"/>
      <c r="I144" s="30"/>
      <c r="J144" s="30"/>
      <c r="K144" s="30"/>
      <c r="L144" s="30"/>
      <c r="M144" s="30"/>
      <c r="N144" s="30"/>
      <c r="O144" s="30"/>
      <c r="P144" s="30"/>
      <c r="U144" s="30"/>
    </row>
    <row r="145" spans="1:21" x14ac:dyDescent="0.25">
      <c r="A145" s="59" t="s">
        <v>3</v>
      </c>
      <c r="B145" s="59">
        <v>1017</v>
      </c>
      <c r="C145" s="30"/>
      <c r="G145" s="30"/>
      <c r="H145" s="30"/>
      <c r="I145" s="30"/>
      <c r="J145" s="30"/>
      <c r="K145" s="30"/>
      <c r="L145" s="30"/>
      <c r="M145" s="30"/>
      <c r="N145" s="30"/>
      <c r="O145" s="30"/>
      <c r="P145" s="30"/>
      <c r="U145" s="30"/>
    </row>
    <row r="146" spans="1:21" x14ac:dyDescent="0.25">
      <c r="A146" s="59" t="s">
        <v>25</v>
      </c>
      <c r="B146" s="59">
        <v>2449</v>
      </c>
      <c r="C146" s="30"/>
      <c r="G146" s="30"/>
      <c r="H146" s="30"/>
      <c r="I146" s="30"/>
      <c r="J146" s="30"/>
      <c r="K146" s="30"/>
      <c r="L146" s="30"/>
      <c r="M146" s="30"/>
      <c r="N146" s="30"/>
      <c r="O146" s="30"/>
      <c r="P146" s="30"/>
      <c r="U146" s="30"/>
    </row>
    <row r="147" spans="1:21" x14ac:dyDescent="0.25">
      <c r="A147" s="59" t="s">
        <v>26</v>
      </c>
      <c r="B147" s="59">
        <v>2448</v>
      </c>
      <c r="C147" s="30"/>
      <c r="G147" s="30"/>
      <c r="H147" s="30"/>
      <c r="I147" s="30"/>
      <c r="J147" s="30"/>
      <c r="K147" s="30"/>
      <c r="L147" s="30"/>
      <c r="M147" s="30"/>
      <c r="N147" s="30"/>
      <c r="O147" s="30"/>
      <c r="P147" s="30"/>
      <c r="U147" s="30"/>
    </row>
    <row r="148" spans="1:21" x14ac:dyDescent="0.25">
      <c r="A148" s="59" t="s">
        <v>4</v>
      </c>
      <c r="B148" s="59">
        <v>1006</v>
      </c>
      <c r="C148" s="30"/>
      <c r="G148" s="30"/>
      <c r="H148" s="30"/>
      <c r="I148" s="30"/>
      <c r="J148" s="30"/>
      <c r="K148" s="30"/>
      <c r="L148" s="30"/>
      <c r="M148" s="30"/>
      <c r="N148" s="30"/>
      <c r="O148" s="30"/>
      <c r="P148" s="30"/>
      <c r="U148" s="30"/>
    </row>
    <row r="149" spans="1:21" x14ac:dyDescent="0.25">
      <c r="A149" s="59" t="s">
        <v>27</v>
      </c>
      <c r="B149" s="59">
        <v>2467</v>
      </c>
      <c r="C149" s="30"/>
      <c r="G149" s="30"/>
      <c r="H149" s="30"/>
      <c r="I149" s="30"/>
      <c r="J149" s="30"/>
      <c r="K149" s="30"/>
      <c r="L149" s="30"/>
      <c r="M149" s="30"/>
      <c r="N149" s="30"/>
      <c r="O149" s="30"/>
      <c r="P149" s="30"/>
      <c r="U149" s="30"/>
    </row>
    <row r="150" spans="1:21" x14ac:dyDescent="0.25">
      <c r="A150" s="59" t="s">
        <v>1373</v>
      </c>
      <c r="B150" s="59">
        <v>484300</v>
      </c>
      <c r="C150" s="30"/>
      <c r="G150" s="30"/>
      <c r="H150" s="30"/>
      <c r="I150" s="30"/>
      <c r="J150" s="30"/>
      <c r="K150" s="30"/>
      <c r="L150" s="30"/>
      <c r="M150" s="30"/>
      <c r="N150" s="30"/>
      <c r="O150" s="30"/>
      <c r="P150" s="30"/>
      <c r="U150" s="30"/>
    </row>
    <row r="151" spans="1:21" x14ac:dyDescent="0.25">
      <c r="A151" s="59" t="s">
        <v>75</v>
      </c>
      <c r="B151" s="59">
        <v>5402</v>
      </c>
      <c r="C151" s="30"/>
      <c r="G151" s="30"/>
      <c r="H151" s="30"/>
      <c r="I151" s="30"/>
      <c r="J151" s="30"/>
      <c r="K151" s="30"/>
      <c r="L151" s="30"/>
      <c r="M151" s="30"/>
      <c r="N151" s="30"/>
      <c r="O151" s="30"/>
      <c r="P151" s="30"/>
      <c r="U151" s="30"/>
    </row>
    <row r="152" spans="1:21" x14ac:dyDescent="0.25">
      <c r="A152" s="59" t="s">
        <v>28</v>
      </c>
      <c r="B152" s="59">
        <v>2455</v>
      </c>
      <c r="C152" s="30"/>
      <c r="G152" s="30"/>
      <c r="H152" s="30"/>
      <c r="I152" s="30"/>
      <c r="J152" s="30"/>
      <c r="K152" s="30"/>
      <c r="L152" s="30"/>
      <c r="M152" s="30"/>
      <c r="N152" s="30"/>
      <c r="O152" s="30"/>
      <c r="P152" s="30"/>
      <c r="U152" s="30"/>
    </row>
    <row r="153" spans="1:21" x14ac:dyDescent="0.25">
      <c r="A153" s="59" t="s">
        <v>29</v>
      </c>
      <c r="B153" s="59">
        <v>5203</v>
      </c>
      <c r="C153" s="30"/>
      <c r="G153" s="30"/>
      <c r="H153" s="30"/>
      <c r="I153" s="30"/>
      <c r="J153" s="30"/>
      <c r="K153" s="30"/>
      <c r="L153" s="30"/>
      <c r="M153" s="30"/>
      <c r="N153" s="30"/>
      <c r="O153" s="30"/>
      <c r="P153" s="30"/>
      <c r="U153" s="30"/>
    </row>
    <row r="154" spans="1:21" x14ac:dyDescent="0.25">
      <c r="A154" s="59" t="s">
        <v>30</v>
      </c>
      <c r="B154" s="59">
        <v>2451</v>
      </c>
      <c r="C154" s="30"/>
      <c r="G154" s="30"/>
      <c r="H154" s="30"/>
      <c r="I154" s="30"/>
      <c r="J154" s="30"/>
      <c r="K154" s="30"/>
      <c r="L154" s="30"/>
      <c r="M154" s="30"/>
      <c r="N154" s="30"/>
      <c r="O154" s="30"/>
      <c r="P154" s="30"/>
      <c r="U154" s="30"/>
    </row>
    <row r="155" spans="1:21" x14ac:dyDescent="0.25">
      <c r="A155" s="59" t="s">
        <v>265</v>
      </c>
      <c r="B155" s="59" t="s">
        <v>266</v>
      </c>
      <c r="C155" s="30"/>
      <c r="G155" s="30"/>
      <c r="H155" s="30"/>
      <c r="I155" s="30"/>
      <c r="J155" s="30"/>
      <c r="K155" s="30"/>
      <c r="L155" s="30"/>
      <c r="M155" s="30"/>
      <c r="N155" s="30"/>
      <c r="O155" s="30"/>
      <c r="P155" s="30"/>
      <c r="U155" s="30"/>
    </row>
    <row r="156" spans="1:21" x14ac:dyDescent="0.25">
      <c r="A156" s="59" t="s">
        <v>267</v>
      </c>
      <c r="B156" s="59">
        <v>206128</v>
      </c>
      <c r="C156" s="30"/>
      <c r="G156" s="30"/>
      <c r="H156" s="30"/>
      <c r="I156" s="30"/>
      <c r="J156" s="30"/>
      <c r="K156" s="30"/>
      <c r="L156" s="30"/>
      <c r="M156" s="30"/>
      <c r="N156" s="30"/>
      <c r="O156" s="30"/>
      <c r="P156" s="30"/>
      <c r="U156" s="30"/>
    </row>
    <row r="157" spans="1:21" x14ac:dyDescent="0.25">
      <c r="A157" s="59" t="s">
        <v>438</v>
      </c>
      <c r="B157" s="59">
        <v>4002</v>
      </c>
      <c r="C157" s="30"/>
      <c r="G157" s="30"/>
      <c r="H157" s="30"/>
      <c r="I157" s="30"/>
      <c r="J157" s="30"/>
      <c r="K157" s="30"/>
      <c r="L157" s="30"/>
      <c r="M157" s="30"/>
      <c r="N157" s="30"/>
      <c r="O157" s="30"/>
      <c r="P157" s="30"/>
      <c r="U157" s="30"/>
    </row>
    <row r="158" spans="1:21" x14ac:dyDescent="0.25">
      <c r="A158" s="59" t="s">
        <v>441</v>
      </c>
      <c r="B158" s="59">
        <v>2430</v>
      </c>
      <c r="C158" s="30"/>
      <c r="G158" s="30"/>
      <c r="H158" s="30"/>
      <c r="I158" s="30"/>
      <c r="J158" s="30"/>
      <c r="K158" s="30"/>
      <c r="L158" s="30"/>
      <c r="M158" s="30"/>
      <c r="N158" s="30"/>
      <c r="O158" s="30"/>
      <c r="P158" s="30"/>
      <c r="U158" s="30"/>
    </row>
    <row r="159" spans="1:21" x14ac:dyDescent="0.25">
      <c r="A159" s="59" t="s">
        <v>269</v>
      </c>
      <c r="B159" s="59" t="s">
        <v>710</v>
      </c>
      <c r="C159" s="30"/>
      <c r="G159" s="30"/>
      <c r="H159" s="30"/>
      <c r="I159" s="30"/>
      <c r="J159" s="30"/>
      <c r="K159" s="30"/>
      <c r="L159" s="30"/>
      <c r="M159" s="30"/>
      <c r="N159" s="30"/>
      <c r="O159" s="30"/>
      <c r="P159" s="30"/>
      <c r="U159" s="30"/>
    </row>
    <row r="160" spans="1:21" x14ac:dyDescent="0.25">
      <c r="A160" s="59" t="s">
        <v>711</v>
      </c>
      <c r="B160" s="59" t="s">
        <v>712</v>
      </c>
      <c r="C160" s="30"/>
      <c r="G160" s="30"/>
      <c r="H160" s="30"/>
      <c r="I160" s="30"/>
      <c r="J160" s="30"/>
      <c r="K160" s="30"/>
      <c r="L160" s="30"/>
      <c r="M160" s="30"/>
      <c r="N160" s="30"/>
      <c r="O160" s="30"/>
      <c r="P160" s="30"/>
      <c r="U160" s="30"/>
    </row>
    <row r="161" spans="1:21" x14ac:dyDescent="0.25">
      <c r="A161" s="59" t="s">
        <v>68</v>
      </c>
      <c r="B161" s="59">
        <v>4608</v>
      </c>
      <c r="C161" s="30"/>
      <c r="G161" s="30"/>
      <c r="H161" s="30"/>
      <c r="I161" s="30"/>
      <c r="J161" s="30"/>
      <c r="K161" s="30"/>
      <c r="L161" s="30"/>
      <c r="M161" s="30"/>
      <c r="N161" s="30"/>
      <c r="O161" s="30"/>
      <c r="P161" s="30"/>
      <c r="U161" s="30"/>
    </row>
    <row r="162" spans="1:21" x14ac:dyDescent="0.25">
      <c r="A162" s="59" t="s">
        <v>31</v>
      </c>
      <c r="B162" s="59">
        <v>2409</v>
      </c>
      <c r="C162" s="30"/>
      <c r="G162" s="30"/>
      <c r="H162" s="30"/>
      <c r="I162" s="30"/>
      <c r="J162" s="30"/>
      <c r="K162" s="30"/>
      <c r="L162" s="30"/>
      <c r="M162" s="30"/>
      <c r="N162" s="30"/>
      <c r="O162" s="30"/>
      <c r="P162" s="30"/>
      <c r="U162" s="30"/>
    </row>
    <row r="163" spans="1:21" x14ac:dyDescent="0.25">
      <c r="A163" s="59" t="s">
        <v>270</v>
      </c>
      <c r="B163" s="59" t="s">
        <v>271</v>
      </c>
      <c r="C163" s="30"/>
      <c r="G163" s="30"/>
      <c r="H163" s="30"/>
      <c r="I163" s="30"/>
      <c r="J163" s="30"/>
      <c r="K163" s="30"/>
      <c r="L163" s="30"/>
      <c r="M163" s="30"/>
      <c r="N163" s="30"/>
      <c r="O163" s="30"/>
      <c r="P163" s="30"/>
      <c r="U163" s="30"/>
    </row>
    <row r="164" spans="1:21" x14ac:dyDescent="0.25">
      <c r="A164" s="59" t="s">
        <v>1283</v>
      </c>
      <c r="B164" s="59" t="s">
        <v>714</v>
      </c>
      <c r="C164" s="30"/>
      <c r="G164" s="30"/>
      <c r="H164" s="30"/>
      <c r="I164" s="30"/>
      <c r="J164" s="30"/>
      <c r="K164" s="30"/>
      <c r="L164" s="30"/>
      <c r="M164" s="30"/>
      <c r="N164" s="30"/>
      <c r="O164" s="30"/>
      <c r="P164" s="30"/>
      <c r="U164" s="30"/>
    </row>
    <row r="165" spans="1:21" x14ac:dyDescent="0.25">
      <c r="A165" s="59" t="s">
        <v>525</v>
      </c>
      <c r="B165" s="59">
        <v>205921</v>
      </c>
      <c r="C165" s="30"/>
      <c r="G165" s="30"/>
      <c r="H165" s="30"/>
      <c r="I165" s="30"/>
      <c r="J165" s="30"/>
      <c r="K165" s="30"/>
      <c r="L165" s="30"/>
      <c r="M165" s="30"/>
      <c r="N165" s="30"/>
      <c r="O165" s="30"/>
      <c r="P165" s="30"/>
      <c r="U165" s="30"/>
    </row>
    <row r="166" spans="1:21" x14ac:dyDescent="0.25">
      <c r="A166" s="59" t="s">
        <v>1256</v>
      </c>
      <c r="B166" s="59" t="s">
        <v>719</v>
      </c>
      <c r="C166" s="30"/>
      <c r="G166" s="30"/>
      <c r="H166" s="30"/>
      <c r="I166" s="30"/>
      <c r="J166" s="30"/>
      <c r="K166" s="30"/>
      <c r="L166" s="30"/>
      <c r="M166" s="30"/>
      <c r="N166" s="30"/>
      <c r="O166" s="30"/>
      <c r="P166" s="30"/>
      <c r="U166" s="30"/>
    </row>
    <row r="167" spans="1:21" x14ac:dyDescent="0.25">
      <c r="A167" s="59" t="s">
        <v>1375</v>
      </c>
      <c r="B167" s="59">
        <v>398922</v>
      </c>
      <c r="C167" s="30"/>
      <c r="G167" s="30"/>
      <c r="H167" s="30"/>
      <c r="I167" s="30"/>
      <c r="J167" s="30"/>
      <c r="K167" s="30"/>
      <c r="L167" s="30"/>
      <c r="M167" s="30"/>
      <c r="N167" s="30"/>
      <c r="O167" s="30"/>
      <c r="P167" s="30"/>
      <c r="U167" s="30"/>
    </row>
    <row r="168" spans="1:21" x14ac:dyDescent="0.25">
      <c r="A168" s="59" t="s">
        <v>1374</v>
      </c>
      <c r="B168" s="59">
        <v>479804</v>
      </c>
      <c r="C168" s="30"/>
      <c r="G168" s="30"/>
      <c r="H168" s="30"/>
      <c r="I168" s="30"/>
      <c r="J168" s="30"/>
      <c r="K168" s="30"/>
      <c r="L168" s="30"/>
      <c r="M168" s="30"/>
      <c r="N168" s="30"/>
      <c r="O168" s="30"/>
      <c r="P168" s="30"/>
      <c r="U168" s="30"/>
    </row>
    <row r="169" spans="1:21" x14ac:dyDescent="0.25">
      <c r="A169" s="59" t="s">
        <v>524</v>
      </c>
      <c r="B169" s="59">
        <v>205999</v>
      </c>
      <c r="C169" s="30"/>
      <c r="G169" s="30"/>
      <c r="H169" s="30"/>
      <c r="I169" s="30"/>
      <c r="J169" s="30"/>
      <c r="K169" s="30"/>
      <c r="L169" s="30"/>
      <c r="M169" s="30"/>
      <c r="N169" s="30"/>
      <c r="O169" s="30"/>
      <c r="P169" s="30"/>
      <c r="U169" s="30"/>
    </row>
    <row r="170" spans="1:21" x14ac:dyDescent="0.25">
      <c r="A170" s="59" t="s">
        <v>523</v>
      </c>
      <c r="B170" s="59" t="s">
        <v>272</v>
      </c>
      <c r="C170" s="30"/>
      <c r="G170" s="30"/>
      <c r="H170" s="30"/>
      <c r="I170" s="30"/>
      <c r="J170" s="30"/>
      <c r="K170" s="30"/>
      <c r="L170" s="30"/>
      <c r="M170" s="30"/>
      <c r="N170" s="30"/>
      <c r="O170" s="30"/>
      <c r="P170" s="30"/>
      <c r="U170" s="30"/>
    </row>
    <row r="171" spans="1:21" x14ac:dyDescent="0.25">
      <c r="A171" s="59" t="s">
        <v>1257</v>
      </c>
      <c r="B171" s="59">
        <v>206065</v>
      </c>
      <c r="C171" s="30"/>
      <c r="G171" s="30"/>
      <c r="H171" s="30"/>
      <c r="I171" s="30"/>
      <c r="J171" s="30"/>
      <c r="K171" s="30"/>
      <c r="L171" s="30"/>
      <c r="M171" s="30"/>
      <c r="N171" s="30"/>
      <c r="O171" s="30"/>
      <c r="P171" s="30"/>
      <c r="U171" s="30"/>
    </row>
    <row r="172" spans="1:21" x14ac:dyDescent="0.25">
      <c r="A172" s="59" t="s">
        <v>1376</v>
      </c>
      <c r="B172" s="59">
        <v>314105</v>
      </c>
      <c r="C172" s="30"/>
      <c r="G172" s="30"/>
      <c r="H172" s="30"/>
      <c r="I172" s="30"/>
      <c r="J172" s="30"/>
      <c r="K172" s="30"/>
      <c r="L172" s="30"/>
      <c r="M172" s="30"/>
      <c r="N172" s="30"/>
      <c r="O172" s="30"/>
      <c r="P172" s="30"/>
      <c r="U172" s="30"/>
    </row>
    <row r="173" spans="1:21" x14ac:dyDescent="0.25">
      <c r="A173" s="59" t="s">
        <v>1400</v>
      </c>
      <c r="B173" s="59" t="s">
        <v>277</v>
      </c>
      <c r="C173" s="30"/>
      <c r="G173" s="30"/>
      <c r="H173" s="30"/>
      <c r="I173" s="30"/>
      <c r="J173" s="30"/>
      <c r="K173" s="30"/>
      <c r="L173" s="30"/>
      <c r="M173" s="30"/>
      <c r="N173" s="30"/>
      <c r="O173" s="30"/>
      <c r="P173" s="30"/>
      <c r="U173" s="30"/>
    </row>
    <row r="174" spans="1:21" x14ac:dyDescent="0.25">
      <c r="A174" s="59" t="s">
        <v>1377</v>
      </c>
      <c r="B174" s="59">
        <v>206076</v>
      </c>
      <c r="C174" s="30"/>
      <c r="G174" s="30"/>
      <c r="H174" s="30"/>
      <c r="I174" s="30"/>
      <c r="J174" s="30"/>
      <c r="K174" s="30"/>
      <c r="L174" s="30"/>
      <c r="M174" s="30"/>
      <c r="N174" s="30"/>
      <c r="O174" s="30"/>
      <c r="P174" s="30"/>
      <c r="U174" s="30"/>
    </row>
    <row r="175" spans="1:21" x14ac:dyDescent="0.25">
      <c r="A175" s="59" t="s">
        <v>561</v>
      </c>
      <c r="B175" s="59" t="s">
        <v>727</v>
      </c>
      <c r="C175" s="30"/>
      <c r="G175" s="30"/>
      <c r="H175" s="30"/>
      <c r="I175" s="30"/>
      <c r="J175" s="30"/>
      <c r="K175" s="30"/>
      <c r="L175" s="30"/>
      <c r="M175" s="30"/>
      <c r="N175" s="30"/>
      <c r="O175" s="30"/>
      <c r="P175" s="30"/>
      <c r="U175" s="30"/>
    </row>
    <row r="176" spans="1:21" x14ac:dyDescent="0.25">
      <c r="A176" s="59" t="s">
        <v>1399</v>
      </c>
      <c r="B176" s="59" t="s">
        <v>730</v>
      </c>
      <c r="C176" s="30"/>
      <c r="G176" s="30"/>
      <c r="H176" s="30"/>
      <c r="I176" s="30"/>
      <c r="J176" s="30"/>
      <c r="K176" s="30"/>
      <c r="L176" s="30"/>
      <c r="M176" s="30"/>
      <c r="N176" s="30"/>
      <c r="O176" s="30"/>
      <c r="P176" s="30"/>
      <c r="U176" s="30"/>
    </row>
    <row r="177" spans="1:21" x14ac:dyDescent="0.25">
      <c r="A177" s="59" t="s">
        <v>562</v>
      </c>
      <c r="B177" s="59" t="s">
        <v>275</v>
      </c>
      <c r="C177" s="30"/>
      <c r="G177" s="30"/>
      <c r="H177" s="30"/>
      <c r="I177" s="30"/>
      <c r="J177" s="30"/>
      <c r="K177" s="30"/>
      <c r="L177" s="30"/>
      <c r="M177" s="30"/>
      <c r="N177" s="30"/>
      <c r="O177" s="30"/>
      <c r="P177" s="30"/>
      <c r="U177" s="30"/>
    </row>
    <row r="178" spans="1:21" x14ac:dyDescent="0.25">
      <c r="A178" s="59" t="s">
        <v>1258</v>
      </c>
      <c r="B178" s="59" t="s">
        <v>724</v>
      </c>
      <c r="C178" s="30"/>
      <c r="G178" s="30"/>
      <c r="H178" s="30"/>
      <c r="I178" s="30"/>
      <c r="J178" s="30"/>
      <c r="K178" s="30"/>
      <c r="L178" s="30"/>
      <c r="M178" s="30"/>
      <c r="N178" s="30"/>
      <c r="O178" s="30"/>
      <c r="P178" s="30"/>
      <c r="U178" s="30"/>
    </row>
    <row r="179" spans="1:21" x14ac:dyDescent="0.25">
      <c r="A179" s="59" t="s">
        <v>1259</v>
      </c>
      <c r="B179" s="59">
        <v>205919</v>
      </c>
      <c r="C179" s="30"/>
      <c r="G179" s="30"/>
      <c r="H179" s="30"/>
      <c r="I179" s="30"/>
      <c r="J179" s="30"/>
      <c r="K179" s="30"/>
      <c r="L179" s="30"/>
      <c r="M179" s="30"/>
      <c r="N179" s="30"/>
      <c r="O179" s="30"/>
      <c r="P179" s="30"/>
      <c r="U179" s="30"/>
    </row>
    <row r="180" spans="1:21" x14ac:dyDescent="0.25">
      <c r="A180" s="59" t="s">
        <v>526</v>
      </c>
      <c r="B180" s="59" t="s">
        <v>276</v>
      </c>
      <c r="C180" s="30"/>
      <c r="G180" s="30"/>
      <c r="H180" s="30"/>
      <c r="I180" s="30"/>
      <c r="J180" s="30"/>
      <c r="K180" s="30"/>
      <c r="L180" s="30"/>
      <c r="M180" s="30"/>
      <c r="N180" s="30"/>
      <c r="O180" s="30"/>
      <c r="P180" s="30"/>
      <c r="U180" s="30"/>
    </row>
    <row r="181" spans="1:21" x14ac:dyDescent="0.25">
      <c r="A181" s="59" t="s">
        <v>1378</v>
      </c>
      <c r="B181" s="59">
        <v>477405</v>
      </c>
      <c r="C181" s="30"/>
      <c r="G181" s="30"/>
      <c r="H181" s="30"/>
      <c r="I181" s="30"/>
      <c r="J181" s="30"/>
      <c r="K181" s="30"/>
      <c r="L181" s="30"/>
      <c r="M181" s="30"/>
      <c r="N181" s="30"/>
      <c r="O181" s="30"/>
      <c r="P181" s="30"/>
      <c r="U181" s="30"/>
    </row>
    <row r="182" spans="1:21" x14ac:dyDescent="0.25">
      <c r="A182" s="59" t="s">
        <v>1260</v>
      </c>
      <c r="B182" s="59" t="s">
        <v>734</v>
      </c>
      <c r="C182" s="30"/>
      <c r="G182" s="30"/>
      <c r="H182" s="30"/>
      <c r="I182" s="30"/>
      <c r="J182" s="30"/>
      <c r="K182" s="30"/>
      <c r="L182" s="30"/>
      <c r="M182" s="30"/>
      <c r="N182" s="30"/>
      <c r="O182" s="30"/>
      <c r="P182" s="30"/>
      <c r="U182" s="30"/>
    </row>
    <row r="183" spans="1:21" x14ac:dyDescent="0.25">
      <c r="A183" s="59" t="s">
        <v>1379</v>
      </c>
      <c r="B183" s="59">
        <v>401536</v>
      </c>
      <c r="C183" s="30"/>
      <c r="G183" s="30"/>
      <c r="H183" s="30"/>
      <c r="I183" s="30"/>
      <c r="J183" s="30"/>
      <c r="K183" s="30"/>
      <c r="L183" s="30"/>
      <c r="M183" s="30"/>
      <c r="N183" s="30"/>
      <c r="O183" s="30"/>
      <c r="P183" s="30"/>
      <c r="U183" s="30"/>
    </row>
    <row r="184" spans="1:21" x14ac:dyDescent="0.25">
      <c r="A184" s="59" t="s">
        <v>1261</v>
      </c>
      <c r="B184" s="59" t="s">
        <v>736</v>
      </c>
      <c r="C184" s="30"/>
      <c r="G184" s="30"/>
      <c r="H184" s="30"/>
      <c r="I184" s="30"/>
      <c r="J184" s="30"/>
      <c r="K184" s="30"/>
      <c r="L184" s="30"/>
      <c r="M184" s="30"/>
      <c r="N184" s="30"/>
      <c r="O184" s="30"/>
      <c r="P184" s="30"/>
      <c r="U184" s="30"/>
    </row>
    <row r="185" spans="1:21" x14ac:dyDescent="0.25">
      <c r="A185" s="59" t="s">
        <v>1263</v>
      </c>
      <c r="B185" s="59" t="s">
        <v>739</v>
      </c>
      <c r="C185" s="30"/>
      <c r="G185" s="30"/>
      <c r="H185" s="30"/>
      <c r="I185" s="30"/>
      <c r="J185" s="30"/>
      <c r="K185" s="30"/>
      <c r="L185" s="30"/>
      <c r="M185" s="30"/>
      <c r="N185" s="30"/>
      <c r="O185" s="30"/>
      <c r="P185" s="30"/>
      <c r="U185" s="30"/>
    </row>
    <row r="186" spans="1:21" x14ac:dyDescent="0.25">
      <c r="A186" s="59" t="s">
        <v>1262</v>
      </c>
      <c r="B186" s="59">
        <v>205849</v>
      </c>
      <c r="C186" s="30"/>
      <c r="G186" s="30"/>
      <c r="H186" s="30"/>
      <c r="I186" s="30"/>
      <c r="J186" s="30"/>
      <c r="K186" s="30"/>
      <c r="L186" s="30"/>
      <c r="M186" s="30"/>
      <c r="N186" s="30"/>
      <c r="O186" s="30"/>
      <c r="P186" s="30"/>
      <c r="U186" s="30"/>
    </row>
    <row r="187" spans="1:21" x14ac:dyDescent="0.25">
      <c r="A187" s="59" t="s">
        <v>566</v>
      </c>
      <c r="B187" s="59" t="s">
        <v>273</v>
      </c>
      <c r="C187" s="30"/>
      <c r="G187" s="30"/>
      <c r="H187" s="30"/>
      <c r="I187" s="30"/>
      <c r="J187" s="30"/>
      <c r="K187" s="30"/>
      <c r="L187" s="30"/>
      <c r="M187" s="30"/>
      <c r="N187" s="30"/>
      <c r="O187" s="30"/>
      <c r="P187" s="30"/>
      <c r="U187" s="30"/>
    </row>
    <row r="188" spans="1:21" x14ac:dyDescent="0.25">
      <c r="A188" s="59" t="s">
        <v>1264</v>
      </c>
      <c r="B188" s="59" t="s">
        <v>741</v>
      </c>
      <c r="C188" s="30"/>
      <c r="G188" s="30"/>
      <c r="H188" s="30"/>
      <c r="I188" s="30"/>
      <c r="J188" s="30"/>
      <c r="K188" s="30"/>
      <c r="L188" s="30"/>
      <c r="M188" s="30"/>
      <c r="N188" s="30"/>
      <c r="O188" s="30"/>
      <c r="P188" s="30"/>
      <c r="U188" s="30"/>
    </row>
    <row r="189" spans="1:21" x14ac:dyDescent="0.25">
      <c r="A189" s="59" t="s">
        <v>1268</v>
      </c>
      <c r="B189" s="59">
        <v>205922</v>
      </c>
      <c r="C189" s="30"/>
      <c r="G189" s="30"/>
      <c r="H189" s="30"/>
      <c r="I189" s="30"/>
      <c r="J189" s="30"/>
      <c r="K189" s="30"/>
      <c r="L189" s="30"/>
      <c r="M189" s="30"/>
      <c r="N189" s="30"/>
      <c r="O189" s="30"/>
      <c r="P189" s="30"/>
      <c r="U189" s="30"/>
    </row>
    <row r="190" spans="1:21" x14ac:dyDescent="0.25">
      <c r="A190" s="59" t="s">
        <v>1267</v>
      </c>
      <c r="B190" s="59">
        <v>205881</v>
      </c>
      <c r="C190" s="30"/>
      <c r="G190" s="30"/>
      <c r="H190" s="30"/>
      <c r="I190" s="30"/>
      <c r="J190" s="30"/>
      <c r="K190" s="30"/>
      <c r="L190" s="30"/>
      <c r="M190" s="30"/>
      <c r="N190" s="30"/>
      <c r="O190" s="30"/>
      <c r="P190" s="30"/>
      <c r="U190" s="30"/>
    </row>
    <row r="191" spans="1:21" x14ac:dyDescent="0.25">
      <c r="A191" s="59" t="s">
        <v>1265</v>
      </c>
      <c r="B191" s="59" t="s">
        <v>744</v>
      </c>
      <c r="C191" s="30"/>
      <c r="G191" s="30"/>
      <c r="H191" s="30"/>
      <c r="I191" s="30"/>
      <c r="J191" s="30"/>
      <c r="K191" s="30"/>
      <c r="L191" s="30"/>
      <c r="M191" s="30"/>
      <c r="N191" s="30"/>
      <c r="O191" s="30"/>
      <c r="P191" s="30"/>
      <c r="U191" s="30"/>
    </row>
    <row r="192" spans="1:21" x14ac:dyDescent="0.25">
      <c r="A192" s="59" t="s">
        <v>527</v>
      </c>
      <c r="B192" s="59" t="s">
        <v>278</v>
      </c>
      <c r="C192" s="30"/>
      <c r="G192" s="30"/>
      <c r="H192" s="30"/>
      <c r="I192" s="30"/>
      <c r="J192" s="30"/>
      <c r="K192" s="30"/>
      <c r="L192" s="30"/>
      <c r="M192" s="30"/>
      <c r="N192" s="30"/>
      <c r="O192" s="30"/>
      <c r="P192" s="30"/>
      <c r="U192" s="30"/>
    </row>
    <row r="193" spans="1:21" x14ac:dyDescent="0.25">
      <c r="A193" s="59" t="s">
        <v>1266</v>
      </c>
      <c r="B193" s="59" t="s">
        <v>749</v>
      </c>
      <c r="C193" s="30"/>
      <c r="G193" s="30"/>
      <c r="H193" s="30"/>
      <c r="I193" s="30"/>
      <c r="J193" s="30"/>
      <c r="K193" s="30"/>
      <c r="L193" s="30"/>
      <c r="M193" s="30"/>
      <c r="N193" s="30"/>
      <c r="O193" s="30"/>
      <c r="P193" s="30"/>
      <c r="U193" s="30"/>
    </row>
    <row r="194" spans="1:21" x14ac:dyDescent="0.25">
      <c r="A194" s="59" t="s">
        <v>1380</v>
      </c>
      <c r="B194" s="59">
        <v>462623</v>
      </c>
      <c r="C194" s="30"/>
      <c r="G194" s="30"/>
      <c r="H194" s="30"/>
      <c r="I194" s="30"/>
      <c r="J194" s="30"/>
      <c r="K194" s="30"/>
      <c r="L194" s="30"/>
      <c r="M194" s="30"/>
      <c r="N194" s="30"/>
      <c r="O194" s="30"/>
      <c r="P194" s="30"/>
      <c r="U194" s="30"/>
    </row>
    <row r="195" spans="1:21" x14ac:dyDescent="0.25">
      <c r="A195" s="59" t="s">
        <v>750</v>
      </c>
      <c r="B195" s="59" t="s">
        <v>751</v>
      </c>
      <c r="C195" s="30"/>
      <c r="G195" s="30"/>
      <c r="H195" s="30"/>
      <c r="I195" s="30"/>
      <c r="J195" s="30"/>
      <c r="K195" s="30"/>
      <c r="L195" s="30"/>
      <c r="M195" s="30"/>
      <c r="N195" s="30"/>
      <c r="O195" s="30"/>
      <c r="P195" s="30"/>
      <c r="U195" s="30"/>
    </row>
    <row r="196" spans="1:21" x14ac:dyDescent="0.25">
      <c r="A196" s="59" t="s">
        <v>1269</v>
      </c>
      <c r="B196" s="59" t="s">
        <v>754</v>
      </c>
      <c r="C196" s="30"/>
      <c r="G196" s="30"/>
      <c r="H196" s="30"/>
      <c r="I196" s="30"/>
      <c r="J196" s="30"/>
      <c r="K196" s="30"/>
      <c r="L196" s="30"/>
      <c r="M196" s="30"/>
      <c r="N196" s="30"/>
      <c r="O196" s="30"/>
      <c r="P196" s="30"/>
      <c r="U196" s="30"/>
    </row>
    <row r="197" spans="1:21" x14ac:dyDescent="0.25">
      <c r="A197" s="59" t="s">
        <v>528</v>
      </c>
      <c r="B197" s="59">
        <v>2</v>
      </c>
      <c r="C197" s="30"/>
      <c r="G197" s="30"/>
      <c r="H197" s="30"/>
      <c r="I197" s="30"/>
      <c r="J197" s="30"/>
      <c r="K197" s="30"/>
      <c r="L197" s="30"/>
      <c r="M197" s="30"/>
      <c r="N197" s="30"/>
      <c r="O197" s="30"/>
      <c r="P197" s="30"/>
      <c r="U197" s="30"/>
    </row>
    <row r="198" spans="1:21" x14ac:dyDescent="0.25">
      <c r="A198" s="59" t="s">
        <v>1270</v>
      </c>
      <c r="B198" s="59" t="s">
        <v>621</v>
      </c>
      <c r="C198" s="30"/>
      <c r="G198" s="30"/>
      <c r="H198" s="30"/>
      <c r="I198" s="30"/>
      <c r="J198" s="30"/>
      <c r="K198" s="30"/>
      <c r="L198" s="30"/>
      <c r="M198" s="30"/>
      <c r="N198" s="30"/>
      <c r="O198" s="30"/>
      <c r="P198" s="30"/>
      <c r="U198" s="30"/>
    </row>
    <row r="199" spans="1:21" x14ac:dyDescent="0.25">
      <c r="A199" s="59" t="s">
        <v>1271</v>
      </c>
      <c r="B199" s="59" t="s">
        <v>639</v>
      </c>
      <c r="C199" s="30"/>
      <c r="G199" s="30"/>
      <c r="H199" s="30"/>
      <c r="I199" s="30"/>
      <c r="J199" s="30"/>
      <c r="K199" s="30"/>
      <c r="L199" s="30"/>
      <c r="M199" s="30"/>
      <c r="N199" s="30"/>
      <c r="O199" s="30"/>
      <c r="P199" s="30"/>
      <c r="U199" s="30"/>
    </row>
    <row r="200" spans="1:21" x14ac:dyDescent="0.25">
      <c r="A200" s="59" t="s">
        <v>1271</v>
      </c>
      <c r="B200" s="59">
        <v>205878</v>
      </c>
      <c r="C200" s="30"/>
      <c r="G200" s="30"/>
      <c r="H200" s="30"/>
      <c r="I200" s="30"/>
      <c r="J200" s="30"/>
      <c r="K200" s="30"/>
      <c r="L200" s="30"/>
      <c r="M200" s="30"/>
      <c r="N200" s="30"/>
      <c r="O200" s="30"/>
      <c r="P200" s="30"/>
      <c r="U200" s="30"/>
    </row>
    <row r="201" spans="1:21" x14ac:dyDescent="0.25">
      <c r="A201" s="59" t="s">
        <v>529</v>
      </c>
      <c r="B201" s="59">
        <v>205956</v>
      </c>
      <c r="C201" s="30"/>
      <c r="G201" s="30"/>
      <c r="H201" s="30"/>
      <c r="I201" s="30"/>
      <c r="J201" s="30"/>
      <c r="K201" s="30"/>
      <c r="L201" s="30"/>
      <c r="M201" s="30"/>
      <c r="N201" s="30"/>
      <c r="O201" s="30"/>
      <c r="P201" s="30"/>
      <c r="U201" s="30"/>
    </row>
    <row r="202" spans="1:21" x14ac:dyDescent="0.25">
      <c r="A202" s="59" t="s">
        <v>1273</v>
      </c>
      <c r="B202" s="59" t="s">
        <v>759</v>
      </c>
      <c r="C202" s="30"/>
      <c r="G202" s="30"/>
      <c r="H202" s="30"/>
      <c r="I202" s="30"/>
      <c r="J202" s="30"/>
      <c r="K202" s="30"/>
      <c r="L202" s="30"/>
      <c r="M202" s="30"/>
      <c r="N202" s="30"/>
      <c r="O202" s="30"/>
      <c r="P202" s="30"/>
      <c r="U202" s="30"/>
    </row>
    <row r="203" spans="1:21" x14ac:dyDescent="0.25">
      <c r="A203" s="59" t="s">
        <v>1382</v>
      </c>
      <c r="B203" s="59">
        <v>472319</v>
      </c>
      <c r="C203" s="30"/>
      <c r="G203" s="30"/>
      <c r="H203" s="30"/>
      <c r="I203" s="30"/>
      <c r="J203" s="30"/>
      <c r="K203" s="30"/>
      <c r="L203" s="30"/>
      <c r="M203" s="30"/>
      <c r="N203" s="30"/>
      <c r="O203" s="30"/>
      <c r="P203" s="30"/>
      <c r="U203" s="30"/>
    </row>
    <row r="204" spans="1:21" x14ac:dyDescent="0.25">
      <c r="A204" s="59" t="s">
        <v>1272</v>
      </c>
      <c r="B204" s="59">
        <v>260849</v>
      </c>
      <c r="C204" s="30"/>
      <c r="G204" s="30"/>
      <c r="H204" s="30"/>
      <c r="I204" s="30"/>
      <c r="J204" s="30"/>
      <c r="K204" s="30"/>
      <c r="L204" s="30"/>
      <c r="M204" s="30"/>
      <c r="N204" s="30"/>
      <c r="O204" s="30"/>
      <c r="P204" s="30"/>
      <c r="U204" s="30"/>
    </row>
    <row r="205" spans="1:21" x14ac:dyDescent="0.25">
      <c r="A205" s="59" t="s">
        <v>1383</v>
      </c>
      <c r="B205" s="59">
        <v>482805</v>
      </c>
      <c r="C205" s="30"/>
      <c r="G205" s="30"/>
      <c r="H205" s="30"/>
      <c r="I205" s="30"/>
      <c r="J205" s="30"/>
      <c r="K205" s="30"/>
      <c r="L205" s="30"/>
      <c r="M205" s="30"/>
      <c r="N205" s="30"/>
      <c r="O205" s="30"/>
      <c r="P205" s="30"/>
      <c r="U205" s="30"/>
    </row>
    <row r="206" spans="1:21" x14ac:dyDescent="0.25">
      <c r="A206" s="59" t="s">
        <v>1381</v>
      </c>
      <c r="B206" s="59">
        <v>447579</v>
      </c>
      <c r="C206" s="30"/>
      <c r="G206" s="30"/>
      <c r="H206" s="30"/>
      <c r="I206" s="30"/>
      <c r="J206" s="30"/>
      <c r="K206" s="30"/>
      <c r="L206" s="30"/>
      <c r="M206" s="30"/>
      <c r="N206" s="30"/>
      <c r="O206" s="30"/>
      <c r="P206" s="30"/>
      <c r="U206" s="30"/>
    </row>
    <row r="207" spans="1:21" x14ac:dyDescent="0.25">
      <c r="A207" s="59" t="s">
        <v>1274</v>
      </c>
      <c r="B207" s="59" t="s">
        <v>280</v>
      </c>
      <c r="C207" s="30"/>
      <c r="G207" s="30"/>
      <c r="H207" s="30"/>
      <c r="I207" s="30"/>
      <c r="J207" s="30"/>
      <c r="K207" s="30"/>
      <c r="L207" s="30"/>
      <c r="M207" s="30"/>
      <c r="N207" s="30"/>
      <c r="O207" s="30"/>
      <c r="P207" s="30"/>
      <c r="U207" s="30"/>
    </row>
    <row r="208" spans="1:21" x14ac:dyDescent="0.25">
      <c r="A208" s="59" t="s">
        <v>1275</v>
      </c>
      <c r="B208" s="59" t="s">
        <v>762</v>
      </c>
      <c r="C208" s="30"/>
      <c r="G208" s="30"/>
      <c r="H208" s="30"/>
      <c r="I208" s="30"/>
      <c r="J208" s="30"/>
      <c r="K208" s="30"/>
      <c r="L208" s="30"/>
      <c r="M208" s="30"/>
      <c r="N208" s="30"/>
      <c r="O208" s="30"/>
      <c r="P208" s="30"/>
      <c r="U208" s="30"/>
    </row>
    <row r="209" spans="1:21" x14ac:dyDescent="0.25">
      <c r="A209" s="59" t="s">
        <v>1277</v>
      </c>
      <c r="B209" s="59" t="s">
        <v>766</v>
      </c>
      <c r="C209" s="30"/>
      <c r="G209" s="30"/>
      <c r="H209" s="30"/>
      <c r="I209" s="30"/>
      <c r="J209" s="30"/>
      <c r="K209" s="30"/>
      <c r="L209" s="30"/>
      <c r="M209" s="30"/>
      <c r="N209" s="30"/>
      <c r="O209" s="30"/>
      <c r="P209" s="30"/>
      <c r="U209" s="30"/>
    </row>
    <row r="210" spans="1:21" x14ac:dyDescent="0.25">
      <c r="A210" s="59" t="s">
        <v>1276</v>
      </c>
      <c r="B210" s="59" t="s">
        <v>764</v>
      </c>
      <c r="C210" s="30"/>
      <c r="G210" s="30"/>
      <c r="H210" s="30"/>
      <c r="I210" s="30"/>
      <c r="J210" s="30"/>
      <c r="K210" s="30"/>
      <c r="L210" s="30"/>
      <c r="M210" s="30"/>
      <c r="N210" s="30"/>
      <c r="O210" s="30"/>
      <c r="P210" s="30"/>
      <c r="U210" s="30"/>
    </row>
    <row r="211" spans="1:21" x14ac:dyDescent="0.25">
      <c r="A211" s="59" t="s">
        <v>1279</v>
      </c>
      <c r="B211" s="59" t="s">
        <v>771</v>
      </c>
      <c r="C211" s="30"/>
      <c r="G211" s="30"/>
      <c r="H211" s="30"/>
      <c r="I211" s="30"/>
      <c r="J211" s="30"/>
      <c r="K211" s="30"/>
      <c r="L211" s="30"/>
      <c r="M211" s="30"/>
      <c r="N211" s="30"/>
      <c r="O211" s="30"/>
      <c r="P211" s="30"/>
      <c r="U211" s="30"/>
    </row>
    <row r="212" spans="1:21" x14ac:dyDescent="0.25">
      <c r="A212" s="437" t="s">
        <v>1278</v>
      </c>
      <c r="B212" s="529" t="s">
        <v>768</v>
      </c>
      <c r="C212" s="30"/>
      <c r="G212" s="30"/>
      <c r="H212" s="30"/>
      <c r="I212" s="30"/>
      <c r="J212" s="30"/>
      <c r="K212" s="30"/>
      <c r="L212" s="30"/>
      <c r="M212" s="30"/>
      <c r="N212" s="30"/>
      <c r="O212" s="30"/>
      <c r="P212" s="30"/>
      <c r="U212" s="30"/>
    </row>
    <row r="213" spans="1:21" x14ac:dyDescent="0.25">
      <c r="A213" s="437" t="s">
        <v>564</v>
      </c>
      <c r="B213" s="529" t="s">
        <v>281</v>
      </c>
      <c r="C213" s="30"/>
      <c r="G213" s="30"/>
      <c r="H213" s="30"/>
      <c r="I213" s="30"/>
      <c r="J213" s="30"/>
      <c r="K213" s="30"/>
      <c r="L213" s="30"/>
      <c r="M213" s="30"/>
      <c r="N213" s="30"/>
      <c r="O213" s="30"/>
      <c r="P213" s="30"/>
      <c r="U213" s="30"/>
    </row>
    <row r="214" spans="1:21" x14ac:dyDescent="0.25">
      <c r="A214" s="59" t="s">
        <v>1284</v>
      </c>
      <c r="B214" s="59" t="s">
        <v>774</v>
      </c>
      <c r="C214" s="30"/>
      <c r="G214" s="30"/>
      <c r="H214" s="30"/>
      <c r="I214" s="30"/>
      <c r="J214" s="30"/>
      <c r="K214" s="30"/>
      <c r="L214" s="30"/>
      <c r="M214" s="30"/>
      <c r="N214" s="30"/>
      <c r="O214" s="30"/>
      <c r="P214" s="30"/>
      <c r="U214" s="30"/>
    </row>
    <row r="215" spans="1:21" x14ac:dyDescent="0.25">
      <c r="A215" s="59" t="s">
        <v>1384</v>
      </c>
      <c r="B215" s="59">
        <v>484039</v>
      </c>
      <c r="C215" s="30"/>
      <c r="G215" s="30"/>
      <c r="H215" s="30"/>
      <c r="I215" s="30"/>
      <c r="J215" s="30"/>
      <c r="K215" s="30"/>
      <c r="L215" s="30"/>
      <c r="M215" s="30"/>
      <c r="N215" s="30"/>
      <c r="O215" s="30"/>
      <c r="P215" s="30"/>
      <c r="U215" s="30"/>
    </row>
    <row r="216" spans="1:21" x14ac:dyDescent="0.25">
      <c r="A216" s="59" t="s">
        <v>1285</v>
      </c>
      <c r="B216" s="59" t="s">
        <v>776</v>
      </c>
      <c r="C216" s="30"/>
      <c r="G216" s="30"/>
      <c r="H216" s="30"/>
      <c r="I216" s="30"/>
      <c r="J216" s="30"/>
      <c r="K216" s="30"/>
      <c r="L216" s="30"/>
      <c r="M216" s="30"/>
      <c r="N216" s="30"/>
      <c r="O216" s="30"/>
      <c r="P216" s="30"/>
      <c r="U216" s="30"/>
    </row>
    <row r="217" spans="1:21" x14ac:dyDescent="0.25">
      <c r="A217" s="59" t="s">
        <v>1385</v>
      </c>
      <c r="B217" s="59">
        <v>343478</v>
      </c>
      <c r="C217" s="30"/>
      <c r="G217" s="30"/>
      <c r="H217" s="30"/>
      <c r="I217" s="30"/>
      <c r="J217" s="30"/>
      <c r="K217" s="30"/>
      <c r="L217" s="30"/>
      <c r="M217" s="30"/>
      <c r="N217" s="30"/>
      <c r="O217" s="30"/>
      <c r="P217" s="30"/>
      <c r="U217" s="30"/>
    </row>
    <row r="218" spans="1:21" x14ac:dyDescent="0.25">
      <c r="A218" s="59" t="s">
        <v>532</v>
      </c>
      <c r="B218" s="59" t="s">
        <v>283</v>
      </c>
      <c r="C218" s="30"/>
      <c r="G218" s="30"/>
      <c r="H218" s="30"/>
      <c r="I218" s="30"/>
      <c r="J218" s="30"/>
      <c r="K218" s="30"/>
      <c r="L218" s="30"/>
      <c r="M218" s="30"/>
      <c r="N218" s="30"/>
      <c r="O218" s="30"/>
      <c r="P218" s="30"/>
      <c r="U218" s="30"/>
    </row>
    <row r="219" spans="1:21" x14ac:dyDescent="0.25">
      <c r="A219" s="59" t="s">
        <v>1280</v>
      </c>
      <c r="B219" s="59">
        <v>206031</v>
      </c>
      <c r="C219" s="30"/>
      <c r="G219" s="30"/>
      <c r="H219" s="30"/>
      <c r="I219" s="30"/>
      <c r="J219" s="30"/>
      <c r="K219" s="30"/>
      <c r="L219" s="30"/>
      <c r="M219" s="30"/>
      <c r="N219" s="30"/>
      <c r="O219" s="30"/>
      <c r="P219" s="30"/>
      <c r="U219" s="30"/>
    </row>
    <row r="220" spans="1:21" x14ac:dyDescent="0.25">
      <c r="A220" s="59" t="s">
        <v>531</v>
      </c>
      <c r="B220" s="59" t="s">
        <v>284</v>
      </c>
      <c r="C220" s="30"/>
      <c r="G220" s="30"/>
      <c r="H220" s="30"/>
      <c r="I220" s="30"/>
      <c r="J220" s="30"/>
      <c r="K220" s="30"/>
      <c r="L220" s="30"/>
      <c r="M220" s="30"/>
      <c r="N220" s="30"/>
      <c r="O220" s="30"/>
      <c r="P220" s="30"/>
      <c r="U220" s="30"/>
    </row>
    <row r="221" spans="1:21" x14ac:dyDescent="0.25">
      <c r="A221" s="59" t="s">
        <v>530</v>
      </c>
      <c r="B221" s="59" t="s">
        <v>282</v>
      </c>
      <c r="C221" s="30"/>
      <c r="G221" s="30"/>
      <c r="H221" s="30"/>
      <c r="I221" s="30"/>
      <c r="J221" s="30"/>
      <c r="K221" s="30"/>
      <c r="L221" s="30"/>
      <c r="M221" s="30"/>
      <c r="N221" s="30"/>
      <c r="O221" s="30"/>
      <c r="P221" s="30"/>
      <c r="U221" s="30"/>
    </row>
    <row r="222" spans="1:21" x14ac:dyDescent="0.25">
      <c r="A222" s="59" t="s">
        <v>1281</v>
      </c>
      <c r="B222" s="59" t="s">
        <v>781</v>
      </c>
      <c r="C222" s="30"/>
      <c r="G222" s="30"/>
      <c r="H222" s="30"/>
      <c r="I222" s="30"/>
      <c r="J222" s="30"/>
      <c r="K222" s="30"/>
      <c r="L222" s="30"/>
      <c r="M222" s="30"/>
      <c r="N222" s="30"/>
      <c r="O222" s="30"/>
      <c r="P222" s="30"/>
      <c r="U222" s="30"/>
    </row>
    <row r="223" spans="1:21" x14ac:dyDescent="0.25">
      <c r="A223" s="59" t="s">
        <v>1255</v>
      </c>
      <c r="B223" s="59" t="s">
        <v>285</v>
      </c>
      <c r="C223" s="30"/>
      <c r="G223" s="30"/>
      <c r="H223" s="30"/>
      <c r="I223" s="30"/>
      <c r="J223" s="30"/>
      <c r="K223" s="30"/>
      <c r="L223" s="30"/>
      <c r="M223" s="30"/>
      <c r="N223" s="30"/>
      <c r="O223" s="30"/>
      <c r="P223" s="30"/>
      <c r="U223" s="30"/>
    </row>
    <row r="224" spans="1:21" x14ac:dyDescent="0.25">
      <c r="A224" s="59" t="s">
        <v>1289</v>
      </c>
      <c r="B224" s="59">
        <v>260848</v>
      </c>
      <c r="C224" s="30"/>
      <c r="G224" s="30"/>
      <c r="H224" s="30"/>
      <c r="I224" s="30"/>
      <c r="J224" s="30"/>
      <c r="K224" s="30"/>
      <c r="L224" s="30"/>
      <c r="M224" s="30"/>
      <c r="N224" s="30"/>
      <c r="O224" s="30"/>
      <c r="P224" s="30"/>
      <c r="U224" s="30"/>
    </row>
    <row r="225" spans="1:21" x14ac:dyDescent="0.25">
      <c r="A225" s="59" t="s">
        <v>565</v>
      </c>
      <c r="B225" s="59">
        <v>206043</v>
      </c>
      <c r="C225" s="30"/>
      <c r="G225" s="30"/>
      <c r="H225" s="30"/>
      <c r="I225" s="30"/>
      <c r="J225" s="30"/>
      <c r="K225" s="30"/>
      <c r="L225" s="30"/>
      <c r="M225" s="30"/>
      <c r="N225" s="30"/>
      <c r="O225" s="30"/>
      <c r="P225" s="30"/>
      <c r="U225" s="30"/>
    </row>
    <row r="226" spans="1:21" x14ac:dyDescent="0.25">
      <c r="A226" s="59" t="s">
        <v>533</v>
      </c>
      <c r="B226" s="59" t="s">
        <v>286</v>
      </c>
      <c r="C226" s="30"/>
      <c r="G226" s="30"/>
      <c r="H226" s="30"/>
      <c r="I226" s="30"/>
      <c r="J226" s="30"/>
      <c r="K226" s="30"/>
      <c r="L226" s="30"/>
      <c r="M226" s="30"/>
      <c r="N226" s="30"/>
      <c r="O226" s="30"/>
      <c r="P226" s="30"/>
      <c r="U226" s="30"/>
    </row>
    <row r="227" spans="1:21" x14ac:dyDescent="0.25">
      <c r="A227" s="59" t="s">
        <v>533</v>
      </c>
      <c r="B227" s="59">
        <v>505502</v>
      </c>
      <c r="C227" s="30"/>
      <c r="G227" s="30"/>
      <c r="H227" s="30"/>
      <c r="I227" s="30"/>
      <c r="J227" s="30"/>
      <c r="K227" s="30"/>
      <c r="L227" s="30"/>
      <c r="M227" s="30"/>
      <c r="N227" s="30"/>
      <c r="O227" s="30"/>
      <c r="P227" s="30"/>
      <c r="U227" s="30"/>
    </row>
    <row r="228" spans="1:21" x14ac:dyDescent="0.25">
      <c r="A228" s="59" t="s">
        <v>563</v>
      </c>
      <c r="B228" s="59">
        <v>205978</v>
      </c>
      <c r="C228" s="30"/>
      <c r="G228" s="30"/>
      <c r="H228" s="30"/>
      <c r="I228" s="30"/>
      <c r="J228" s="30"/>
      <c r="K228" s="30"/>
      <c r="L228" s="30"/>
      <c r="M228" s="30"/>
      <c r="N228" s="30"/>
      <c r="O228" s="30"/>
      <c r="P228" s="30"/>
      <c r="U228" s="30"/>
    </row>
    <row r="229" spans="1:21" x14ac:dyDescent="0.25">
      <c r="A229" s="59" t="s">
        <v>1296</v>
      </c>
      <c r="B229" s="59">
        <v>435150</v>
      </c>
      <c r="C229" s="30"/>
      <c r="G229" s="30"/>
      <c r="H229" s="30"/>
      <c r="I229" s="30"/>
      <c r="J229" s="30"/>
      <c r="K229" s="30"/>
      <c r="L229" s="30"/>
      <c r="M229" s="30"/>
      <c r="N229" s="30"/>
      <c r="O229" s="30"/>
      <c r="P229" s="30"/>
      <c r="U229" s="30"/>
    </row>
    <row r="230" spans="1:21" x14ac:dyDescent="0.25">
      <c r="A230" s="59" t="s">
        <v>1288</v>
      </c>
      <c r="B230" s="59">
        <v>206067</v>
      </c>
      <c r="C230" s="30"/>
      <c r="G230" s="30"/>
      <c r="H230" s="30"/>
      <c r="I230" s="30"/>
      <c r="J230" s="30"/>
      <c r="K230" s="30"/>
      <c r="L230" s="30"/>
      <c r="M230" s="30"/>
      <c r="N230" s="30"/>
      <c r="O230" s="30"/>
      <c r="P230" s="30"/>
      <c r="U230" s="30"/>
    </row>
    <row r="231" spans="1:21" x14ac:dyDescent="0.25">
      <c r="A231" s="59" t="s">
        <v>534</v>
      </c>
      <c r="B231" s="59" t="s">
        <v>287</v>
      </c>
      <c r="C231" s="30"/>
      <c r="G231" s="30"/>
      <c r="H231" s="30"/>
      <c r="I231" s="30"/>
      <c r="J231" s="30"/>
      <c r="K231" s="30"/>
      <c r="L231" s="30"/>
      <c r="M231" s="30"/>
      <c r="N231" s="30"/>
      <c r="O231" s="30"/>
      <c r="P231" s="30"/>
      <c r="U231" s="30"/>
    </row>
    <row r="232" spans="1:21" x14ac:dyDescent="0.25">
      <c r="A232" s="59" t="s">
        <v>1282</v>
      </c>
      <c r="B232" s="59" t="s">
        <v>279</v>
      </c>
      <c r="C232" s="30"/>
      <c r="G232" s="30"/>
      <c r="H232" s="30"/>
      <c r="I232" s="30"/>
      <c r="J232" s="30"/>
      <c r="K232" s="30"/>
      <c r="L232" s="30"/>
      <c r="M232" s="30"/>
      <c r="N232" s="30"/>
      <c r="O232" s="30"/>
      <c r="P232" s="30"/>
      <c r="U232" s="30"/>
    </row>
    <row r="233" spans="1:21" x14ac:dyDescent="0.25">
      <c r="A233" s="59" t="s">
        <v>535</v>
      </c>
      <c r="B233" s="59" t="s">
        <v>288</v>
      </c>
      <c r="C233" s="30"/>
      <c r="G233" s="30"/>
      <c r="H233" s="30"/>
      <c r="I233" s="30"/>
      <c r="J233" s="30"/>
      <c r="K233" s="30"/>
      <c r="L233" s="30"/>
      <c r="M233" s="30"/>
      <c r="N233" s="30"/>
      <c r="O233" s="30"/>
      <c r="P233" s="30"/>
      <c r="U233" s="30"/>
    </row>
    <row r="234" spans="1:21" x14ac:dyDescent="0.25">
      <c r="A234" s="59" t="s">
        <v>1286</v>
      </c>
      <c r="B234" s="59" t="s">
        <v>793</v>
      </c>
      <c r="C234" s="30"/>
      <c r="G234" s="30"/>
      <c r="H234" s="30"/>
      <c r="I234" s="30"/>
      <c r="J234" s="30"/>
      <c r="K234" s="30"/>
      <c r="L234" s="30"/>
      <c r="M234" s="30"/>
      <c r="N234" s="30"/>
      <c r="O234" s="30"/>
      <c r="P234" s="30"/>
      <c r="U234" s="30"/>
    </row>
    <row r="235" spans="1:21" x14ac:dyDescent="0.25">
      <c r="A235" s="59" t="s">
        <v>1386</v>
      </c>
      <c r="B235" s="59">
        <v>414019</v>
      </c>
      <c r="C235" s="30"/>
      <c r="G235" s="30"/>
      <c r="H235" s="30"/>
      <c r="I235" s="30"/>
      <c r="J235" s="30"/>
      <c r="K235" s="30"/>
      <c r="L235" s="30"/>
      <c r="M235" s="30"/>
      <c r="N235" s="30"/>
      <c r="O235" s="30"/>
      <c r="P235" s="30"/>
      <c r="U235" s="30"/>
    </row>
    <row r="236" spans="1:21" x14ac:dyDescent="0.25">
      <c r="A236" s="59" t="s">
        <v>567</v>
      </c>
      <c r="B236" s="59" t="s">
        <v>274</v>
      </c>
      <c r="C236" s="30"/>
      <c r="G236" s="30"/>
      <c r="H236" s="30"/>
      <c r="I236" s="30"/>
      <c r="J236" s="30"/>
      <c r="K236" s="30"/>
      <c r="L236" s="30"/>
      <c r="M236" s="30"/>
      <c r="N236" s="30"/>
      <c r="O236" s="30"/>
      <c r="P236" s="30"/>
      <c r="U236" s="30"/>
    </row>
    <row r="237" spans="1:21" x14ac:dyDescent="0.25">
      <c r="A237" s="59" t="s">
        <v>1387</v>
      </c>
      <c r="B237" s="59">
        <v>458078</v>
      </c>
      <c r="C237" s="30"/>
      <c r="G237" s="30"/>
      <c r="H237" s="30"/>
      <c r="I237" s="30"/>
      <c r="J237" s="30"/>
      <c r="K237" s="30"/>
      <c r="L237" s="30"/>
      <c r="M237" s="30"/>
      <c r="N237" s="30"/>
      <c r="O237" s="30"/>
      <c r="P237" s="30"/>
      <c r="U237" s="30"/>
    </row>
    <row r="238" spans="1:21" x14ac:dyDescent="0.25">
      <c r="A238" s="59" t="s">
        <v>1287</v>
      </c>
      <c r="B238" s="59" t="s">
        <v>795</v>
      </c>
      <c r="C238" s="30"/>
      <c r="G238" s="30"/>
      <c r="H238" s="30"/>
      <c r="I238" s="30"/>
      <c r="J238" s="30"/>
      <c r="K238" s="30"/>
      <c r="L238" s="30"/>
      <c r="M238" s="30"/>
      <c r="N238" s="30"/>
      <c r="O238" s="30"/>
      <c r="P238" s="30"/>
      <c r="U238" s="30"/>
    </row>
    <row r="239" spans="1:21" x14ac:dyDescent="0.25">
      <c r="A239" s="59" t="s">
        <v>289</v>
      </c>
      <c r="B239" s="59" t="s">
        <v>290</v>
      </c>
      <c r="C239" s="30"/>
      <c r="G239" s="30"/>
      <c r="H239" s="30"/>
      <c r="I239" s="30"/>
      <c r="J239" s="30"/>
      <c r="K239" s="30"/>
      <c r="L239" s="30"/>
      <c r="M239" s="30"/>
      <c r="N239" s="30"/>
      <c r="O239" s="30"/>
      <c r="P239" s="30"/>
      <c r="U239" s="30"/>
    </row>
    <row r="240" spans="1:21" x14ac:dyDescent="0.25">
      <c r="A240" s="59" t="s">
        <v>1306</v>
      </c>
      <c r="B240" s="59">
        <v>4003</v>
      </c>
      <c r="C240" s="30"/>
      <c r="G240" s="30"/>
      <c r="H240" s="30"/>
      <c r="I240" s="30"/>
      <c r="J240" s="30"/>
      <c r="K240" s="30"/>
      <c r="L240" s="30"/>
      <c r="M240" s="30"/>
      <c r="N240" s="30"/>
      <c r="O240" s="30"/>
      <c r="P240" s="30"/>
      <c r="U240" s="30"/>
    </row>
    <row r="241" spans="1:21" x14ac:dyDescent="0.25">
      <c r="A241" s="59" t="s">
        <v>797</v>
      </c>
      <c r="B241" s="59" t="s">
        <v>798</v>
      </c>
      <c r="C241" s="30"/>
      <c r="G241" s="30"/>
      <c r="H241" s="30"/>
      <c r="I241" s="30"/>
      <c r="J241" s="30"/>
      <c r="K241" s="30"/>
      <c r="L241" s="30"/>
      <c r="M241" s="30"/>
      <c r="N241" s="30"/>
      <c r="O241" s="30"/>
      <c r="P241" s="30"/>
      <c r="U241" s="30"/>
    </row>
    <row r="242" spans="1:21" x14ac:dyDescent="0.25">
      <c r="A242" s="59" t="s">
        <v>291</v>
      </c>
      <c r="B242" s="59" t="s">
        <v>293</v>
      </c>
      <c r="C242" s="30"/>
      <c r="G242" s="30"/>
      <c r="H242" s="30"/>
      <c r="I242" s="30"/>
      <c r="J242" s="30"/>
      <c r="K242" s="30"/>
      <c r="L242" s="30"/>
      <c r="M242" s="30"/>
      <c r="N242" s="30"/>
      <c r="O242" s="30"/>
      <c r="P242" s="30"/>
      <c r="U242" s="30"/>
    </row>
    <row r="243" spans="1:21" x14ac:dyDescent="0.25">
      <c r="A243" s="59" t="s">
        <v>111</v>
      </c>
      <c r="B243" s="59">
        <v>4178</v>
      </c>
      <c r="C243" s="30"/>
      <c r="G243" s="30"/>
      <c r="H243" s="30"/>
      <c r="I243" s="30"/>
      <c r="J243" s="30"/>
      <c r="K243" s="30"/>
      <c r="L243" s="30"/>
      <c r="M243" s="30"/>
      <c r="N243" s="30"/>
      <c r="O243" s="30"/>
      <c r="P243" s="30"/>
      <c r="U243" s="30"/>
    </row>
    <row r="244" spans="1:21" x14ac:dyDescent="0.25">
      <c r="A244" s="59" t="s">
        <v>98</v>
      </c>
      <c r="B244" s="59">
        <v>3158</v>
      </c>
      <c r="C244" s="30"/>
      <c r="G244" s="30"/>
      <c r="H244" s="30"/>
      <c r="I244" s="30"/>
      <c r="J244" s="30"/>
      <c r="K244" s="30"/>
      <c r="L244" s="30"/>
      <c r="M244" s="30"/>
      <c r="N244" s="30"/>
      <c r="O244" s="30"/>
      <c r="P244" s="30"/>
      <c r="U244" s="30"/>
    </row>
    <row r="245" spans="1:21" x14ac:dyDescent="0.25">
      <c r="A245" s="59" t="s">
        <v>32</v>
      </c>
      <c r="B245" s="59">
        <v>2619</v>
      </c>
      <c r="C245" s="30"/>
      <c r="G245" s="30"/>
      <c r="H245" s="30"/>
      <c r="I245" s="30"/>
      <c r="J245" s="30"/>
      <c r="K245" s="30"/>
      <c r="L245" s="30"/>
      <c r="M245" s="30"/>
      <c r="N245" s="30"/>
      <c r="O245" s="30"/>
      <c r="P245" s="30"/>
      <c r="U245" s="30"/>
    </row>
    <row r="246" spans="1:21" x14ac:dyDescent="0.25">
      <c r="A246" s="59" t="s">
        <v>1388</v>
      </c>
      <c r="B246" s="59">
        <v>479542</v>
      </c>
      <c r="C246" s="30"/>
      <c r="G246" s="30"/>
      <c r="H246" s="30"/>
      <c r="I246" s="30"/>
      <c r="J246" s="30"/>
      <c r="K246" s="30"/>
      <c r="L246" s="30"/>
      <c r="M246" s="30"/>
      <c r="N246" s="30"/>
      <c r="O246" s="30"/>
      <c r="P246" s="30"/>
      <c r="U246" s="30"/>
    </row>
    <row r="247" spans="1:21" x14ac:dyDescent="0.25">
      <c r="A247" s="59" t="s">
        <v>1389</v>
      </c>
      <c r="B247" s="59" t="s">
        <v>1390</v>
      </c>
      <c r="C247" s="30"/>
      <c r="G247" s="30"/>
      <c r="H247" s="30"/>
      <c r="I247" s="30"/>
      <c r="J247" s="30"/>
      <c r="K247" s="30"/>
      <c r="L247" s="30"/>
      <c r="M247" s="30"/>
      <c r="N247" s="30"/>
      <c r="O247" s="30"/>
      <c r="P247" s="30"/>
      <c r="U247" s="30"/>
    </row>
    <row r="248" spans="1:21" x14ac:dyDescent="0.25">
      <c r="A248" s="59" t="s">
        <v>799</v>
      </c>
      <c r="B248" s="59" t="s">
        <v>800</v>
      </c>
      <c r="C248" s="30"/>
      <c r="G248" s="30"/>
      <c r="H248" s="30"/>
      <c r="I248" s="30"/>
      <c r="J248" s="30"/>
      <c r="K248" s="30"/>
      <c r="L248" s="30"/>
      <c r="M248" s="30"/>
      <c r="N248" s="30"/>
      <c r="O248" s="30"/>
      <c r="P248" s="30"/>
      <c r="U248" s="30"/>
    </row>
    <row r="249" spans="1:21" x14ac:dyDescent="0.25">
      <c r="A249" s="59" t="s">
        <v>1391</v>
      </c>
      <c r="B249" s="59">
        <v>487369</v>
      </c>
      <c r="C249" s="30"/>
      <c r="G249" s="30"/>
      <c r="H249" s="30"/>
      <c r="I249" s="30"/>
      <c r="J249" s="30"/>
      <c r="K249" s="30"/>
      <c r="L249" s="30"/>
      <c r="M249" s="30"/>
      <c r="N249" s="30"/>
      <c r="O249" s="30"/>
      <c r="P249" s="30"/>
      <c r="U249" s="30"/>
    </row>
    <row r="250" spans="1:21" x14ac:dyDescent="0.25">
      <c r="A250" s="59" t="s">
        <v>1392</v>
      </c>
      <c r="B250" s="59">
        <v>477763</v>
      </c>
      <c r="C250" s="30"/>
      <c r="G250" s="30"/>
      <c r="H250" s="30"/>
      <c r="I250" s="30"/>
      <c r="J250" s="30"/>
      <c r="K250" s="30"/>
      <c r="L250" s="30"/>
      <c r="M250" s="30"/>
      <c r="N250" s="30"/>
      <c r="O250" s="30"/>
      <c r="P250" s="30"/>
      <c r="U250" s="30"/>
    </row>
    <row r="251" spans="1:21" x14ac:dyDescent="0.25">
      <c r="A251" s="59" t="s">
        <v>294</v>
      </c>
      <c r="B251" s="59" t="s">
        <v>295</v>
      </c>
      <c r="C251" s="30"/>
      <c r="G251" s="30"/>
      <c r="H251" s="30"/>
      <c r="I251" s="30"/>
      <c r="J251" s="30"/>
      <c r="K251" s="30"/>
      <c r="L251" s="30"/>
      <c r="M251" s="30"/>
      <c r="N251" s="30"/>
      <c r="O251" s="30"/>
      <c r="P251" s="30"/>
      <c r="U251" s="30"/>
    </row>
    <row r="252" spans="1:21" x14ac:dyDescent="0.25">
      <c r="A252" s="59" t="s">
        <v>296</v>
      </c>
      <c r="B252" s="59">
        <v>258417</v>
      </c>
      <c r="C252" s="30"/>
      <c r="G252" s="30"/>
      <c r="H252" s="30"/>
      <c r="I252" s="30"/>
      <c r="J252" s="30"/>
      <c r="K252" s="30"/>
      <c r="L252" s="30"/>
      <c r="M252" s="30"/>
      <c r="N252" s="30"/>
      <c r="O252" s="30"/>
      <c r="P252" s="30"/>
      <c r="U252" s="30"/>
    </row>
    <row r="253" spans="1:21" x14ac:dyDescent="0.25">
      <c r="A253" s="59" t="s">
        <v>298</v>
      </c>
      <c r="B253" s="59" t="s">
        <v>300</v>
      </c>
      <c r="C253" s="30"/>
      <c r="G253" s="30"/>
      <c r="H253" s="30"/>
      <c r="I253" s="30"/>
      <c r="J253" s="30"/>
      <c r="K253" s="30"/>
      <c r="L253" s="30"/>
      <c r="M253" s="30"/>
      <c r="N253" s="30"/>
      <c r="O253" s="30"/>
      <c r="P253" s="30"/>
      <c r="U253" s="30"/>
    </row>
    <row r="254" spans="1:21" x14ac:dyDescent="0.25">
      <c r="A254" s="59" t="s">
        <v>301</v>
      </c>
      <c r="B254" s="59" t="s">
        <v>303</v>
      </c>
      <c r="C254" s="30"/>
      <c r="G254" s="30"/>
      <c r="H254" s="30"/>
      <c r="I254" s="30"/>
      <c r="J254" s="30"/>
      <c r="K254" s="30"/>
      <c r="L254" s="30"/>
      <c r="M254" s="30"/>
      <c r="N254" s="30"/>
      <c r="O254" s="30"/>
      <c r="P254" s="30"/>
      <c r="U254" s="30"/>
    </row>
    <row r="255" spans="1:21" x14ac:dyDescent="0.25">
      <c r="A255" s="59" t="s">
        <v>33</v>
      </c>
      <c r="B255" s="59">
        <v>2518</v>
      </c>
      <c r="C255" s="30"/>
      <c r="G255" s="30"/>
      <c r="H255" s="30"/>
      <c r="I255" s="30"/>
      <c r="J255" s="30"/>
      <c r="K255" s="30"/>
      <c r="L255" s="30"/>
      <c r="M255" s="30"/>
      <c r="N255" s="30"/>
      <c r="O255" s="30"/>
      <c r="P255" s="30"/>
      <c r="U255" s="30"/>
    </row>
    <row r="256" spans="1:21" x14ac:dyDescent="0.25">
      <c r="A256" s="59" t="s">
        <v>801</v>
      </c>
      <c r="B256" s="59" t="s">
        <v>802</v>
      </c>
      <c r="C256" s="30"/>
      <c r="G256" s="30"/>
      <c r="H256" s="30"/>
      <c r="I256" s="30"/>
      <c r="J256" s="30"/>
      <c r="K256" s="30"/>
      <c r="L256" s="30"/>
      <c r="M256" s="30"/>
      <c r="N256" s="30"/>
      <c r="O256" s="30"/>
      <c r="P256" s="30"/>
      <c r="U256" s="30"/>
    </row>
    <row r="257" spans="1:21" x14ac:dyDescent="0.25">
      <c r="A257" s="59" t="s">
        <v>304</v>
      </c>
      <c r="B257" s="59">
        <v>206106</v>
      </c>
      <c r="C257" s="30"/>
      <c r="G257" s="30"/>
      <c r="H257" s="30"/>
      <c r="I257" s="30"/>
      <c r="J257" s="30"/>
      <c r="K257" s="30"/>
      <c r="L257" s="30"/>
      <c r="M257" s="30"/>
      <c r="N257" s="30"/>
      <c r="O257" s="30"/>
      <c r="P257" s="30"/>
      <c r="U257" s="30"/>
    </row>
    <row r="258" spans="1:21" x14ac:dyDescent="0.25">
      <c r="A258" s="59" t="s">
        <v>306</v>
      </c>
      <c r="B258" s="59" t="s">
        <v>307</v>
      </c>
      <c r="C258" s="30"/>
      <c r="G258" s="30"/>
      <c r="H258" s="30"/>
      <c r="I258" s="30"/>
      <c r="J258" s="30"/>
      <c r="K258" s="30"/>
      <c r="L258" s="30"/>
      <c r="M258" s="30"/>
      <c r="N258" s="30"/>
      <c r="O258" s="30"/>
      <c r="P258" s="30"/>
      <c r="U258" s="30"/>
    </row>
    <row r="259" spans="1:21" x14ac:dyDescent="0.25">
      <c r="A259" s="59" t="s">
        <v>803</v>
      </c>
      <c r="B259" s="59" t="s">
        <v>804</v>
      </c>
      <c r="C259" s="30"/>
      <c r="G259" s="30"/>
      <c r="H259" s="30"/>
      <c r="I259" s="30"/>
      <c r="J259" s="30"/>
      <c r="K259" s="30"/>
      <c r="L259" s="30"/>
      <c r="M259" s="30"/>
      <c r="N259" s="30"/>
      <c r="O259" s="30"/>
      <c r="P259" s="30"/>
      <c r="U259" s="30"/>
    </row>
    <row r="260" spans="1:21" x14ac:dyDescent="0.25">
      <c r="A260" s="59" t="s">
        <v>34</v>
      </c>
      <c r="B260" s="59">
        <v>2457</v>
      </c>
      <c r="C260" s="30"/>
      <c r="G260" s="30"/>
      <c r="H260" s="30"/>
      <c r="I260" s="30"/>
      <c r="J260" s="30"/>
      <c r="K260" s="30"/>
      <c r="L260" s="30"/>
      <c r="M260" s="30"/>
      <c r="N260" s="30"/>
      <c r="O260" s="30"/>
      <c r="P260" s="30"/>
      <c r="U260" s="30"/>
    </row>
    <row r="261" spans="1:21" x14ac:dyDescent="0.25">
      <c r="A261" s="59" t="s">
        <v>99</v>
      </c>
      <c r="B261" s="59">
        <v>2010</v>
      </c>
      <c r="C261" s="30"/>
      <c r="G261" s="30"/>
      <c r="H261" s="30"/>
      <c r="I261" s="30"/>
      <c r="J261" s="30"/>
      <c r="K261" s="30"/>
      <c r="L261" s="30"/>
      <c r="M261" s="30"/>
      <c r="N261" s="30"/>
      <c r="O261" s="30"/>
      <c r="P261" s="30"/>
      <c r="U261" s="30"/>
    </row>
    <row r="262" spans="1:21" x14ac:dyDescent="0.25">
      <c r="A262" s="59" t="s">
        <v>35</v>
      </c>
      <c r="B262" s="59">
        <v>2002</v>
      </c>
      <c r="C262" s="30"/>
      <c r="G262" s="30"/>
      <c r="H262" s="30"/>
      <c r="I262" s="30"/>
      <c r="J262" s="30"/>
      <c r="K262" s="30"/>
      <c r="L262" s="30"/>
      <c r="M262" s="30"/>
      <c r="N262" s="30"/>
      <c r="O262" s="30"/>
      <c r="P262" s="30"/>
      <c r="U262" s="30"/>
    </row>
    <row r="263" spans="1:21" x14ac:dyDescent="0.25">
      <c r="A263" s="59" t="s">
        <v>36</v>
      </c>
      <c r="B263" s="59">
        <v>3544</v>
      </c>
      <c r="C263" s="30"/>
      <c r="G263" s="30"/>
      <c r="H263" s="30"/>
      <c r="I263" s="30"/>
      <c r="J263" s="30"/>
      <c r="K263" s="30"/>
      <c r="L263" s="30"/>
      <c r="M263" s="30"/>
      <c r="N263" s="30"/>
      <c r="O263" s="30"/>
      <c r="P263" s="30"/>
      <c r="U263" s="30"/>
    </row>
    <row r="264" spans="1:21" x14ac:dyDescent="0.25">
      <c r="A264" s="59" t="s">
        <v>5</v>
      </c>
      <c r="B264" s="59">
        <v>1008</v>
      </c>
      <c r="C264" s="30"/>
      <c r="G264" s="30"/>
      <c r="H264" s="30"/>
      <c r="I264" s="30"/>
      <c r="J264" s="30"/>
      <c r="K264" s="30"/>
      <c r="L264" s="30"/>
      <c r="M264" s="30"/>
      <c r="N264" s="30"/>
      <c r="O264" s="30"/>
      <c r="P264" s="30"/>
      <c r="U264" s="30"/>
    </row>
    <row r="265" spans="1:21" x14ac:dyDescent="0.25">
      <c r="A265" s="59" t="s">
        <v>308</v>
      </c>
      <c r="B265" s="59" t="s">
        <v>309</v>
      </c>
      <c r="C265" s="30"/>
      <c r="G265" s="30"/>
      <c r="H265" s="30"/>
      <c r="I265" s="30"/>
      <c r="J265" s="30"/>
      <c r="K265" s="30"/>
      <c r="L265" s="30"/>
      <c r="M265" s="30"/>
      <c r="N265" s="30"/>
      <c r="O265" s="30"/>
      <c r="P265" s="30"/>
      <c r="U265" s="30"/>
    </row>
    <row r="266" spans="1:21" x14ac:dyDescent="0.25">
      <c r="A266" s="59" t="s">
        <v>100</v>
      </c>
      <c r="B266" s="59">
        <v>2006</v>
      </c>
      <c r="C266" s="30"/>
      <c r="G266" s="30"/>
      <c r="H266" s="30"/>
      <c r="I266" s="30"/>
      <c r="J266" s="30"/>
      <c r="K266" s="30"/>
      <c r="L266" s="30"/>
      <c r="M266" s="30"/>
      <c r="N266" s="30"/>
      <c r="O266" s="30"/>
      <c r="P266" s="30"/>
      <c r="U266" s="30"/>
    </row>
    <row r="267" spans="1:21" x14ac:dyDescent="0.25">
      <c r="A267" s="59" t="s">
        <v>310</v>
      </c>
      <c r="B267" s="59" t="s">
        <v>311</v>
      </c>
      <c r="C267" s="30"/>
      <c r="G267" s="30"/>
      <c r="H267" s="30"/>
      <c r="I267" s="30"/>
      <c r="J267" s="30"/>
      <c r="K267" s="30"/>
      <c r="L267" s="30"/>
      <c r="M267" s="30"/>
      <c r="N267" s="30"/>
      <c r="O267" s="30"/>
      <c r="P267" s="30"/>
      <c r="U267" s="30"/>
    </row>
    <row r="268" spans="1:21" x14ac:dyDescent="0.25">
      <c r="A268" s="59" t="s">
        <v>312</v>
      </c>
      <c r="B268" s="59">
        <v>206133</v>
      </c>
      <c r="C268" s="30"/>
      <c r="G268" s="30"/>
      <c r="H268" s="30"/>
      <c r="I268" s="30"/>
      <c r="J268" s="30"/>
      <c r="K268" s="30"/>
      <c r="L268" s="30"/>
      <c r="M268" s="30"/>
      <c r="N268" s="30"/>
      <c r="O268" s="30"/>
      <c r="P268" s="30"/>
      <c r="U268" s="30"/>
    </row>
    <row r="269" spans="1:21" x14ac:dyDescent="0.25">
      <c r="A269" s="59" t="s">
        <v>806</v>
      </c>
      <c r="B269" s="59" t="s">
        <v>807</v>
      </c>
      <c r="C269" s="30"/>
      <c r="G269" s="30"/>
      <c r="H269" s="30"/>
      <c r="I269" s="30"/>
      <c r="J269" s="30"/>
      <c r="K269" s="30"/>
      <c r="L269" s="30"/>
      <c r="M269" s="30"/>
      <c r="N269" s="30"/>
      <c r="O269" s="30"/>
      <c r="P269" s="30"/>
      <c r="U269" s="30"/>
    </row>
    <row r="270" spans="1:21" x14ac:dyDescent="0.25">
      <c r="A270" s="59" t="s">
        <v>314</v>
      </c>
      <c r="B270" s="59" t="s">
        <v>316</v>
      </c>
      <c r="C270" s="30"/>
      <c r="G270" s="30"/>
      <c r="H270" s="30"/>
      <c r="I270" s="30"/>
      <c r="J270" s="30"/>
      <c r="K270" s="30"/>
      <c r="L270" s="30"/>
      <c r="M270" s="30"/>
      <c r="N270" s="30"/>
      <c r="O270" s="30"/>
      <c r="P270" s="30"/>
      <c r="U270" s="30"/>
    </row>
    <row r="271" spans="1:21" x14ac:dyDescent="0.25">
      <c r="A271" s="59" t="s">
        <v>317</v>
      </c>
      <c r="B271" s="59">
        <v>206134</v>
      </c>
      <c r="C271" s="30"/>
      <c r="G271" s="30"/>
      <c r="H271" s="30"/>
      <c r="I271" s="30"/>
      <c r="J271" s="30"/>
      <c r="K271" s="30"/>
      <c r="L271" s="30"/>
      <c r="M271" s="30"/>
      <c r="N271" s="30"/>
      <c r="O271" s="30"/>
      <c r="P271" s="30"/>
      <c r="U271" s="30"/>
    </row>
    <row r="272" spans="1:21" x14ac:dyDescent="0.25">
      <c r="A272" s="59" t="s">
        <v>321</v>
      </c>
      <c r="B272" s="59" t="s">
        <v>322</v>
      </c>
      <c r="C272" s="30"/>
      <c r="G272" s="30"/>
      <c r="H272" s="30"/>
      <c r="I272" s="30"/>
      <c r="J272" s="30"/>
      <c r="K272" s="30"/>
      <c r="L272" s="30"/>
      <c r="M272" s="30"/>
      <c r="N272" s="30"/>
      <c r="O272" s="30"/>
      <c r="P272" s="30"/>
      <c r="U272" s="30"/>
    </row>
    <row r="273" spans="1:21" x14ac:dyDescent="0.25">
      <c r="A273" s="59" t="s">
        <v>319</v>
      </c>
      <c r="B273" s="59" t="s">
        <v>320</v>
      </c>
      <c r="C273" s="30"/>
      <c r="G273" s="30"/>
      <c r="H273" s="30"/>
      <c r="I273" s="30"/>
      <c r="J273" s="30"/>
      <c r="K273" s="30"/>
      <c r="L273" s="30"/>
      <c r="M273" s="30"/>
      <c r="N273" s="30"/>
      <c r="O273" s="30"/>
      <c r="P273" s="30"/>
      <c r="U273" s="30"/>
    </row>
    <row r="274" spans="1:21" x14ac:dyDescent="0.25">
      <c r="A274" s="59" t="s">
        <v>323</v>
      </c>
      <c r="B274" s="59" t="s">
        <v>324</v>
      </c>
      <c r="C274" s="30"/>
      <c r="G274" s="30"/>
      <c r="H274" s="30"/>
      <c r="I274" s="30"/>
      <c r="J274" s="30"/>
      <c r="K274" s="30"/>
      <c r="L274" s="30"/>
      <c r="M274" s="30"/>
      <c r="N274" s="30"/>
      <c r="O274" s="30"/>
      <c r="P274" s="30"/>
      <c r="U274" s="30"/>
    </row>
    <row r="275" spans="1:21" x14ac:dyDescent="0.25">
      <c r="A275" s="59" t="s">
        <v>325</v>
      </c>
      <c r="B275" s="59">
        <v>206109</v>
      </c>
      <c r="C275" s="30"/>
      <c r="G275" s="30"/>
      <c r="H275" s="30"/>
      <c r="I275" s="30"/>
      <c r="J275" s="30"/>
      <c r="K275" s="30"/>
      <c r="L275" s="30"/>
      <c r="M275" s="30"/>
      <c r="N275" s="30"/>
      <c r="O275" s="30"/>
      <c r="P275" s="30"/>
      <c r="U275" s="30"/>
    </row>
    <row r="276" spans="1:21" x14ac:dyDescent="0.25">
      <c r="A276" s="59" t="s">
        <v>37</v>
      </c>
      <c r="B276" s="59">
        <v>2434</v>
      </c>
      <c r="C276" s="30"/>
      <c r="G276" s="30"/>
      <c r="H276" s="30"/>
      <c r="I276" s="30"/>
      <c r="J276" s="30"/>
      <c r="K276" s="30"/>
      <c r="L276" s="30"/>
      <c r="M276" s="30"/>
      <c r="N276" s="30"/>
      <c r="O276" s="30"/>
      <c r="P276" s="30"/>
      <c r="U276" s="30"/>
    </row>
    <row r="277" spans="1:21" x14ac:dyDescent="0.25">
      <c r="A277" s="59" t="s">
        <v>42</v>
      </c>
      <c r="B277" s="59">
        <v>2009</v>
      </c>
      <c r="C277" s="30"/>
      <c r="G277" s="30"/>
      <c r="H277" s="30"/>
      <c r="I277" s="30"/>
      <c r="J277" s="30"/>
      <c r="K277" s="30"/>
      <c r="L277" s="30"/>
      <c r="M277" s="30"/>
      <c r="N277" s="30"/>
      <c r="O277" s="30"/>
      <c r="P277" s="30"/>
      <c r="U277" s="30"/>
    </row>
    <row r="278" spans="1:21" x14ac:dyDescent="0.25">
      <c r="A278" s="59" t="s">
        <v>569</v>
      </c>
      <c r="B278" s="59">
        <v>6905</v>
      </c>
      <c r="C278" s="30"/>
      <c r="G278" s="30"/>
      <c r="H278" s="30"/>
      <c r="I278" s="30"/>
      <c r="J278" s="30"/>
      <c r="K278" s="30"/>
      <c r="L278" s="30"/>
      <c r="M278" s="30"/>
      <c r="N278" s="30"/>
      <c r="O278" s="30"/>
      <c r="P278" s="30"/>
      <c r="U278" s="30"/>
    </row>
    <row r="279" spans="1:21" x14ac:dyDescent="0.25">
      <c r="A279" s="59" t="s">
        <v>38</v>
      </c>
      <c r="B279" s="59">
        <v>2522</v>
      </c>
      <c r="C279" s="30"/>
      <c r="G279" s="30"/>
      <c r="H279" s="30"/>
      <c r="I279" s="30"/>
      <c r="J279" s="30"/>
      <c r="K279" s="30"/>
      <c r="L279" s="30"/>
      <c r="M279" s="30"/>
      <c r="N279" s="30"/>
      <c r="O279" s="30"/>
      <c r="P279" s="30"/>
      <c r="U279" s="30"/>
    </row>
    <row r="280" spans="1:21" x14ac:dyDescent="0.25">
      <c r="A280" s="59" t="s">
        <v>327</v>
      </c>
      <c r="B280" s="59">
        <v>206110</v>
      </c>
      <c r="C280" s="30"/>
      <c r="G280" s="30"/>
      <c r="H280" s="30"/>
      <c r="I280" s="30"/>
      <c r="J280" s="30"/>
      <c r="K280" s="30"/>
      <c r="L280" s="30"/>
      <c r="M280" s="30"/>
      <c r="N280" s="30"/>
      <c r="O280" s="30"/>
      <c r="P280" s="30"/>
      <c r="U280" s="30"/>
    </row>
    <row r="281" spans="1:21" x14ac:dyDescent="0.25">
      <c r="A281" s="59" t="s">
        <v>329</v>
      </c>
      <c r="B281" s="59">
        <v>206135</v>
      </c>
      <c r="C281" s="30"/>
      <c r="G281" s="30"/>
      <c r="H281" s="30"/>
      <c r="I281" s="30"/>
      <c r="J281" s="30"/>
      <c r="K281" s="30"/>
      <c r="L281" s="30"/>
      <c r="M281" s="30"/>
      <c r="N281" s="30"/>
      <c r="O281" s="30"/>
      <c r="P281" s="30"/>
      <c r="U281" s="30"/>
    </row>
    <row r="282" spans="1:21" x14ac:dyDescent="0.25">
      <c r="A282" s="59" t="s">
        <v>69</v>
      </c>
      <c r="B282" s="59">
        <v>4181</v>
      </c>
      <c r="C282" s="30"/>
      <c r="G282" s="30"/>
      <c r="H282" s="30"/>
      <c r="I282" s="30"/>
      <c r="J282" s="30"/>
      <c r="K282" s="30"/>
      <c r="L282" s="30"/>
      <c r="M282" s="30"/>
      <c r="N282" s="30"/>
      <c r="O282" s="30"/>
      <c r="P282" s="30"/>
      <c r="U282" s="30"/>
    </row>
    <row r="283" spans="1:21" x14ac:dyDescent="0.25">
      <c r="A283" s="59" t="s">
        <v>331</v>
      </c>
      <c r="B283" s="59">
        <v>509195</v>
      </c>
      <c r="C283" s="30"/>
      <c r="G283" s="30"/>
      <c r="H283" s="30"/>
      <c r="I283" s="30"/>
      <c r="J283" s="30"/>
      <c r="K283" s="30"/>
      <c r="L283" s="30"/>
      <c r="M283" s="30"/>
      <c r="N283" s="30"/>
      <c r="O283" s="30"/>
      <c r="P283" s="30"/>
      <c r="U283" s="30"/>
    </row>
    <row r="284" spans="1:21" x14ac:dyDescent="0.25">
      <c r="A284" s="59" t="s">
        <v>1393</v>
      </c>
      <c r="B284" s="59">
        <v>480857</v>
      </c>
      <c r="C284" s="30"/>
      <c r="G284" s="30"/>
      <c r="H284" s="30"/>
      <c r="I284" s="30"/>
      <c r="J284" s="30"/>
      <c r="K284" s="30"/>
      <c r="L284" s="30"/>
      <c r="M284" s="30"/>
      <c r="N284" s="30"/>
      <c r="O284" s="30"/>
      <c r="P284" s="30"/>
      <c r="U284" s="30"/>
    </row>
    <row r="285" spans="1:21" x14ac:dyDescent="0.25">
      <c r="A285" s="59" t="s">
        <v>333</v>
      </c>
      <c r="B285" s="59" t="s">
        <v>334</v>
      </c>
      <c r="C285" s="30"/>
      <c r="G285" s="30"/>
      <c r="H285" s="30"/>
      <c r="I285" s="30"/>
      <c r="J285" s="30"/>
      <c r="K285" s="30"/>
      <c r="L285" s="30"/>
      <c r="M285" s="30"/>
      <c r="N285" s="30"/>
      <c r="O285" s="30"/>
      <c r="P285" s="30"/>
      <c r="U285" s="30"/>
    </row>
    <row r="286" spans="1:21" x14ac:dyDescent="0.25">
      <c r="A286" s="59" t="s">
        <v>335</v>
      </c>
      <c r="B286" s="59" t="s">
        <v>336</v>
      </c>
      <c r="C286" s="30"/>
      <c r="G286" s="30"/>
      <c r="H286" s="30"/>
      <c r="I286" s="30"/>
      <c r="J286" s="30"/>
      <c r="K286" s="30"/>
      <c r="L286" s="30"/>
      <c r="M286" s="30"/>
      <c r="N286" s="30"/>
      <c r="O286" s="30"/>
      <c r="P286" s="30"/>
      <c r="U286" s="30"/>
    </row>
    <row r="287" spans="1:21" x14ac:dyDescent="0.25">
      <c r="A287" s="59" t="s">
        <v>1394</v>
      </c>
      <c r="B287" s="59">
        <v>492973</v>
      </c>
      <c r="C287" s="30"/>
      <c r="G287" s="30"/>
      <c r="H287" s="30"/>
      <c r="I287" s="30"/>
      <c r="J287" s="30"/>
      <c r="K287" s="30"/>
      <c r="L287" s="30"/>
      <c r="M287" s="30"/>
      <c r="N287" s="30"/>
      <c r="O287" s="30"/>
      <c r="P287" s="30"/>
      <c r="U287" s="30"/>
    </row>
    <row r="288" spans="1:21" x14ac:dyDescent="0.25">
      <c r="A288" s="59" t="s">
        <v>337</v>
      </c>
      <c r="B288" s="59" t="s">
        <v>339</v>
      </c>
      <c r="C288" s="30"/>
      <c r="G288" s="30"/>
      <c r="H288" s="30"/>
      <c r="I288" s="30"/>
      <c r="J288" s="30"/>
      <c r="K288" s="30"/>
      <c r="L288" s="30"/>
      <c r="M288" s="30"/>
      <c r="N288" s="30"/>
      <c r="O288" s="30"/>
      <c r="P288" s="30"/>
      <c r="U288" s="30"/>
    </row>
    <row r="289" spans="1:21" x14ac:dyDescent="0.25">
      <c r="A289" s="59" t="s">
        <v>340</v>
      </c>
      <c r="B289" s="59">
        <v>509199</v>
      </c>
      <c r="C289" s="30"/>
      <c r="G289" s="30"/>
      <c r="H289" s="30"/>
      <c r="I289" s="30"/>
      <c r="J289" s="30"/>
      <c r="K289" s="30"/>
      <c r="L289" s="30"/>
      <c r="M289" s="30"/>
      <c r="N289" s="30"/>
      <c r="O289" s="30"/>
      <c r="P289" s="30"/>
      <c r="U289" s="30"/>
    </row>
    <row r="290" spans="1:21" x14ac:dyDescent="0.25">
      <c r="A290" s="59" t="s">
        <v>342</v>
      </c>
      <c r="B290" s="59">
        <v>509197</v>
      </c>
      <c r="C290" s="30"/>
      <c r="G290" s="30"/>
      <c r="H290" s="30"/>
      <c r="I290" s="30"/>
      <c r="J290" s="30"/>
      <c r="K290" s="30"/>
      <c r="L290" s="30"/>
      <c r="M290" s="30"/>
      <c r="N290" s="30"/>
      <c r="O290" s="30"/>
      <c r="P290" s="30"/>
      <c r="U290" s="30"/>
    </row>
    <row r="291" spans="1:21" x14ac:dyDescent="0.25">
      <c r="A291" s="59" t="s">
        <v>808</v>
      </c>
      <c r="B291" s="59">
        <v>479383</v>
      </c>
      <c r="C291" s="30"/>
      <c r="G291" s="30"/>
      <c r="H291" s="30"/>
      <c r="I291" s="30"/>
      <c r="J291" s="30"/>
      <c r="K291" s="30"/>
      <c r="L291" s="30"/>
      <c r="M291" s="30"/>
      <c r="N291" s="30"/>
      <c r="O291" s="30"/>
      <c r="P291" s="30"/>
      <c r="U291" s="30"/>
    </row>
    <row r="292" spans="1:21" x14ac:dyDescent="0.25">
      <c r="A292" s="59" t="s">
        <v>347</v>
      </c>
      <c r="B292" s="59" t="s">
        <v>348</v>
      </c>
      <c r="C292" s="30"/>
      <c r="G292" s="30"/>
      <c r="H292" s="30"/>
      <c r="I292" s="30"/>
      <c r="J292" s="30"/>
      <c r="K292" s="30"/>
      <c r="L292" s="30"/>
      <c r="M292" s="30"/>
      <c r="N292" s="30"/>
      <c r="O292" s="30"/>
      <c r="P292" s="30"/>
      <c r="U292" s="30"/>
    </row>
    <row r="293" spans="1:21" x14ac:dyDescent="0.25">
      <c r="A293" s="59" t="s">
        <v>70</v>
      </c>
      <c r="B293" s="59">
        <v>4182</v>
      </c>
      <c r="C293" s="30"/>
      <c r="G293" s="30"/>
      <c r="H293" s="30"/>
      <c r="I293" s="30"/>
      <c r="J293" s="30"/>
      <c r="K293" s="30"/>
      <c r="L293" s="30"/>
      <c r="M293" s="30"/>
      <c r="N293" s="30"/>
      <c r="O293" s="30"/>
      <c r="P293" s="30"/>
      <c r="U293" s="30"/>
    </row>
    <row r="294" spans="1:21" x14ac:dyDescent="0.25">
      <c r="A294" s="59" t="s">
        <v>344</v>
      </c>
      <c r="B294" s="59" t="s">
        <v>346</v>
      </c>
      <c r="C294" s="30"/>
      <c r="G294" s="30"/>
      <c r="H294" s="30"/>
      <c r="I294" s="30"/>
      <c r="J294" s="30"/>
      <c r="K294" s="30"/>
      <c r="L294" s="30"/>
      <c r="M294" s="30"/>
      <c r="N294" s="30"/>
      <c r="O294" s="30"/>
      <c r="P294" s="30"/>
      <c r="U294" s="30"/>
    </row>
    <row r="295" spans="1:21" x14ac:dyDescent="0.25">
      <c r="A295" s="59" t="s">
        <v>6</v>
      </c>
      <c r="B295" s="59">
        <v>1005</v>
      </c>
      <c r="C295" s="30"/>
      <c r="G295" s="30"/>
      <c r="H295" s="30"/>
      <c r="I295" s="30"/>
      <c r="J295" s="30"/>
      <c r="K295" s="30"/>
      <c r="L295" s="30"/>
      <c r="M295" s="30"/>
      <c r="N295" s="30"/>
      <c r="O295" s="30"/>
      <c r="P295" s="30"/>
      <c r="U295" s="30"/>
    </row>
    <row r="296" spans="1:21" x14ac:dyDescent="0.25">
      <c r="A296" s="59" t="s">
        <v>809</v>
      </c>
      <c r="B296" s="59" t="s">
        <v>810</v>
      </c>
      <c r="C296" s="30"/>
      <c r="G296" s="30"/>
      <c r="H296" s="30"/>
      <c r="I296" s="30"/>
      <c r="J296" s="30"/>
      <c r="K296" s="30"/>
      <c r="L296" s="30"/>
      <c r="M296" s="30"/>
      <c r="N296" s="30"/>
      <c r="O296" s="30"/>
      <c r="P296" s="30"/>
      <c r="U296" s="30"/>
    </row>
    <row r="297" spans="1:21" x14ac:dyDescent="0.25">
      <c r="A297" s="59" t="s">
        <v>39</v>
      </c>
      <c r="B297" s="59">
        <v>2436</v>
      </c>
      <c r="C297" s="30"/>
      <c r="G297" s="30"/>
      <c r="H297" s="30"/>
      <c r="I297" s="30"/>
      <c r="J297" s="30"/>
      <c r="K297" s="30"/>
      <c r="L297" s="30"/>
      <c r="M297" s="30"/>
      <c r="N297" s="30"/>
      <c r="O297" s="30"/>
      <c r="P297" s="30"/>
      <c r="U297" s="30"/>
    </row>
    <row r="298" spans="1:21" x14ac:dyDescent="0.25">
      <c r="A298" s="59" t="s">
        <v>349</v>
      </c>
      <c r="B298" s="59">
        <v>206117</v>
      </c>
      <c r="C298" s="30"/>
      <c r="G298" s="30"/>
      <c r="H298" s="30"/>
      <c r="I298" s="30"/>
      <c r="J298" s="30"/>
      <c r="K298" s="30"/>
      <c r="L298" s="30"/>
      <c r="M298" s="30"/>
      <c r="N298" s="30"/>
      <c r="O298" s="30"/>
      <c r="P298" s="30"/>
      <c r="U298" s="30"/>
    </row>
    <row r="299" spans="1:21" x14ac:dyDescent="0.25">
      <c r="A299" s="59" t="s">
        <v>40</v>
      </c>
      <c r="B299" s="59">
        <v>2452</v>
      </c>
      <c r="C299" s="30"/>
      <c r="G299" s="30"/>
      <c r="H299" s="30"/>
      <c r="I299" s="30"/>
      <c r="J299" s="30"/>
      <c r="K299" s="30"/>
      <c r="L299" s="30"/>
      <c r="M299" s="30"/>
      <c r="N299" s="30"/>
      <c r="O299" s="30"/>
      <c r="P299" s="30"/>
      <c r="U299" s="30"/>
    </row>
    <row r="300" spans="1:21" x14ac:dyDescent="0.25">
      <c r="A300" s="59" t="s">
        <v>71</v>
      </c>
      <c r="B300" s="59">
        <v>4001</v>
      </c>
      <c r="C300" s="30"/>
      <c r="G300" s="30"/>
      <c r="H300" s="30"/>
      <c r="I300" s="30"/>
      <c r="J300" s="30"/>
      <c r="K300" s="30"/>
      <c r="L300" s="30"/>
      <c r="M300" s="30"/>
      <c r="N300" s="30"/>
      <c r="O300" s="30"/>
      <c r="P300" s="30"/>
      <c r="U300" s="30"/>
    </row>
    <row r="301" spans="1:21" x14ac:dyDescent="0.25">
      <c r="A301" s="59" t="s">
        <v>351</v>
      </c>
      <c r="B301" s="59">
        <v>206141</v>
      </c>
      <c r="C301" s="30"/>
      <c r="G301" s="30"/>
      <c r="H301" s="30"/>
      <c r="I301" s="30"/>
      <c r="J301" s="30"/>
      <c r="K301" s="30"/>
      <c r="L301" s="30"/>
      <c r="M301" s="30"/>
      <c r="N301" s="30"/>
      <c r="O301" s="30"/>
      <c r="P301" s="30"/>
      <c r="U301" s="30"/>
    </row>
    <row r="302" spans="1:21" x14ac:dyDescent="0.25">
      <c r="A302" s="59" t="s">
        <v>41</v>
      </c>
      <c r="B302" s="59">
        <v>2627</v>
      </c>
      <c r="C302" s="30"/>
      <c r="G302" s="30"/>
      <c r="H302" s="30"/>
      <c r="I302" s="30"/>
      <c r="J302" s="30"/>
      <c r="K302" s="30"/>
      <c r="L302" s="30"/>
      <c r="M302" s="30"/>
      <c r="N302" s="30"/>
      <c r="O302" s="30"/>
      <c r="P302" s="30"/>
      <c r="U302" s="30"/>
    </row>
    <row r="303" spans="1:21" x14ac:dyDescent="0.25">
      <c r="A303" s="59" t="s">
        <v>112</v>
      </c>
      <c r="B303" s="59">
        <v>5406</v>
      </c>
      <c r="C303" s="30"/>
      <c r="G303" s="30"/>
      <c r="H303" s="30"/>
      <c r="I303" s="30"/>
      <c r="J303" s="30"/>
      <c r="K303" s="30"/>
      <c r="L303" s="30"/>
      <c r="M303" s="30"/>
      <c r="N303" s="30"/>
      <c r="O303" s="30"/>
      <c r="P303" s="30"/>
      <c r="U303" s="30"/>
    </row>
    <row r="304" spans="1:21" x14ac:dyDescent="0.25">
      <c r="A304" s="59" t="s">
        <v>113</v>
      </c>
      <c r="B304" s="59">
        <v>5407</v>
      </c>
      <c r="C304" s="30"/>
      <c r="G304" s="30"/>
      <c r="H304" s="30"/>
      <c r="I304" s="30"/>
      <c r="J304" s="30"/>
      <c r="K304" s="30"/>
      <c r="L304" s="30"/>
      <c r="M304" s="30"/>
      <c r="N304" s="30"/>
      <c r="O304" s="30"/>
      <c r="P304" s="30"/>
      <c r="U304" s="30"/>
    </row>
    <row r="305" spans="1:21" x14ac:dyDescent="0.25">
      <c r="A305" s="59" t="s">
        <v>353</v>
      </c>
      <c r="B305" s="59" t="s">
        <v>355</v>
      </c>
      <c r="C305" s="30"/>
      <c r="G305" s="30"/>
      <c r="H305" s="30"/>
      <c r="I305" s="30"/>
      <c r="J305" s="30"/>
      <c r="K305" s="30"/>
      <c r="L305" s="30"/>
      <c r="M305" s="30"/>
      <c r="N305" s="30"/>
      <c r="O305" s="30"/>
      <c r="P305" s="30"/>
      <c r="U305" s="30"/>
    </row>
    <row r="306" spans="1:21" x14ac:dyDescent="0.25">
      <c r="A306" s="59" t="s">
        <v>356</v>
      </c>
      <c r="B306" s="59">
        <v>258404</v>
      </c>
      <c r="C306" s="30"/>
      <c r="G306" s="30"/>
      <c r="H306" s="30"/>
      <c r="I306" s="30"/>
      <c r="J306" s="30"/>
      <c r="K306" s="30"/>
      <c r="L306" s="30"/>
      <c r="M306" s="30"/>
      <c r="N306" s="30"/>
      <c r="O306" s="30"/>
      <c r="P306" s="30"/>
      <c r="U306" s="30"/>
    </row>
    <row r="307" spans="1:21" x14ac:dyDescent="0.25">
      <c r="A307" s="59" t="s">
        <v>101</v>
      </c>
      <c r="B307" s="59">
        <v>2473</v>
      </c>
      <c r="C307" s="30"/>
      <c r="G307" s="30"/>
      <c r="H307" s="30"/>
      <c r="I307" s="30"/>
      <c r="J307" s="30"/>
      <c r="K307" s="30"/>
      <c r="L307" s="30"/>
      <c r="M307" s="30"/>
      <c r="N307" s="30"/>
      <c r="O307" s="30"/>
      <c r="P307" s="30"/>
      <c r="U307" s="30"/>
    </row>
    <row r="308" spans="1:21" x14ac:dyDescent="0.25">
      <c r="A308" s="59" t="s">
        <v>44</v>
      </c>
      <c r="B308" s="59">
        <v>2471</v>
      </c>
      <c r="C308" s="30"/>
      <c r="G308" s="30"/>
      <c r="H308" s="30"/>
      <c r="I308" s="30"/>
      <c r="J308" s="30"/>
      <c r="K308" s="30"/>
      <c r="L308" s="30"/>
      <c r="M308" s="30"/>
      <c r="N308" s="30"/>
      <c r="O308" s="30"/>
      <c r="P308" s="30"/>
      <c r="U308" s="30"/>
    </row>
    <row r="309" spans="1:21" x14ac:dyDescent="0.25">
      <c r="A309" s="59" t="s">
        <v>358</v>
      </c>
      <c r="B309" s="59">
        <v>258405</v>
      </c>
      <c r="C309" s="30"/>
      <c r="G309" s="30"/>
      <c r="H309" s="30"/>
      <c r="I309" s="30"/>
      <c r="J309" s="30"/>
      <c r="K309" s="30"/>
      <c r="L309" s="30"/>
      <c r="M309" s="30"/>
      <c r="N309" s="30"/>
      <c r="O309" s="30"/>
      <c r="P309" s="30"/>
      <c r="U309" s="30"/>
    </row>
    <row r="310" spans="1:21" x14ac:dyDescent="0.25">
      <c r="A310" s="59" t="s">
        <v>360</v>
      </c>
      <c r="B310" s="59">
        <v>258406</v>
      </c>
      <c r="C310" s="30"/>
      <c r="G310" s="30"/>
      <c r="H310" s="30"/>
      <c r="I310" s="30"/>
      <c r="J310" s="30"/>
      <c r="K310" s="30"/>
      <c r="L310" s="30"/>
      <c r="M310" s="30"/>
      <c r="N310" s="30"/>
      <c r="O310" s="30"/>
      <c r="P310" s="30"/>
      <c r="U310" s="30"/>
    </row>
    <row r="311" spans="1:21" x14ac:dyDescent="0.25">
      <c r="A311" s="59" t="s">
        <v>1395</v>
      </c>
      <c r="B311" s="59">
        <v>206145</v>
      </c>
      <c r="C311" s="30"/>
      <c r="G311" s="30"/>
      <c r="H311" s="30"/>
      <c r="I311" s="30"/>
      <c r="J311" s="30"/>
      <c r="K311" s="30"/>
      <c r="L311" s="30"/>
      <c r="M311" s="30"/>
      <c r="N311" s="30"/>
      <c r="O311" s="30"/>
      <c r="P311" s="30"/>
      <c r="U311" s="30"/>
    </row>
    <row r="312" spans="1:21" x14ac:dyDescent="0.25">
      <c r="A312" s="59" t="s">
        <v>43</v>
      </c>
      <c r="B312" s="59">
        <v>2420</v>
      </c>
      <c r="C312" s="30"/>
      <c r="G312" s="30"/>
      <c r="H312" s="30"/>
      <c r="I312" s="30"/>
      <c r="J312" s="30"/>
      <c r="K312" s="30"/>
      <c r="L312" s="30"/>
      <c r="M312" s="30"/>
      <c r="N312" s="30"/>
      <c r="O312" s="30"/>
      <c r="P312" s="30"/>
      <c r="U312" s="30"/>
    </row>
    <row r="313" spans="1:21" x14ac:dyDescent="0.25">
      <c r="A313" s="59" t="s">
        <v>362</v>
      </c>
      <c r="B313" s="59">
        <v>206160</v>
      </c>
      <c r="C313" s="30"/>
      <c r="G313" s="30"/>
      <c r="H313" s="30"/>
      <c r="I313" s="30"/>
      <c r="J313" s="30"/>
      <c r="K313" s="30"/>
      <c r="L313" s="30"/>
      <c r="M313" s="30"/>
      <c r="N313" s="30"/>
      <c r="O313" s="30"/>
      <c r="P313" s="30"/>
      <c r="U313" s="30"/>
    </row>
    <row r="314" spans="1:21" x14ac:dyDescent="0.25">
      <c r="A314" s="59" t="s">
        <v>45</v>
      </c>
      <c r="B314" s="59">
        <v>2003</v>
      </c>
      <c r="C314" s="30"/>
      <c r="G314" s="30"/>
      <c r="H314" s="30"/>
      <c r="I314" s="30"/>
      <c r="J314" s="30"/>
      <c r="K314" s="30"/>
      <c r="L314" s="30"/>
      <c r="M314" s="30"/>
      <c r="N314" s="30"/>
      <c r="O314" s="30"/>
      <c r="P314" s="30"/>
      <c r="U314" s="30"/>
    </row>
    <row r="315" spans="1:21" x14ac:dyDescent="0.25">
      <c r="A315" s="59" t="s">
        <v>46</v>
      </c>
      <c r="B315" s="59">
        <v>2423</v>
      </c>
      <c r="C315" s="30"/>
      <c r="G315" s="30"/>
      <c r="H315" s="30"/>
      <c r="I315" s="30"/>
      <c r="J315" s="30"/>
      <c r="K315" s="30"/>
      <c r="L315" s="30"/>
      <c r="M315" s="30"/>
      <c r="N315" s="30"/>
      <c r="O315" s="30"/>
      <c r="P315" s="30"/>
      <c r="U315" s="30"/>
    </row>
    <row r="316" spans="1:21" x14ac:dyDescent="0.25">
      <c r="A316" s="59" t="s">
        <v>47</v>
      </c>
      <c r="B316" s="59">
        <v>2424</v>
      </c>
      <c r="C316" s="30"/>
      <c r="G316" s="30"/>
      <c r="H316" s="30"/>
      <c r="I316" s="30"/>
      <c r="J316" s="30"/>
      <c r="K316" s="30"/>
      <c r="L316" s="30"/>
      <c r="M316" s="30"/>
      <c r="N316" s="30"/>
      <c r="O316" s="30"/>
      <c r="P316" s="30"/>
      <c r="U316" s="30"/>
    </row>
    <row r="317" spans="1:21" x14ac:dyDescent="0.25">
      <c r="A317" s="59" t="s">
        <v>364</v>
      </c>
      <c r="B317" s="59" t="s">
        <v>366</v>
      </c>
      <c r="C317" s="30"/>
      <c r="G317" s="30"/>
      <c r="H317" s="30"/>
      <c r="I317" s="30"/>
      <c r="J317" s="30"/>
      <c r="K317" s="30"/>
      <c r="L317" s="30"/>
      <c r="M317" s="30"/>
      <c r="N317" s="30"/>
      <c r="O317" s="30"/>
      <c r="P317" s="30"/>
      <c r="U317" s="30"/>
    </row>
    <row r="318" spans="1:21" x14ac:dyDescent="0.25">
      <c r="A318" s="59" t="s">
        <v>367</v>
      </c>
      <c r="B318" s="59" t="s">
        <v>368</v>
      </c>
      <c r="C318" s="30"/>
      <c r="G318" s="30"/>
      <c r="H318" s="30"/>
      <c r="I318" s="30"/>
      <c r="J318" s="30"/>
      <c r="K318" s="30"/>
      <c r="L318" s="30"/>
      <c r="M318" s="30"/>
      <c r="N318" s="30"/>
      <c r="O318" s="30"/>
      <c r="P318" s="30"/>
      <c r="U318" s="30"/>
    </row>
    <row r="319" spans="1:21" x14ac:dyDescent="0.25">
      <c r="A319" s="59" t="s">
        <v>369</v>
      </c>
      <c r="B319" s="59" t="s">
        <v>371</v>
      </c>
      <c r="C319" s="30"/>
      <c r="G319" s="30"/>
      <c r="H319" s="30"/>
      <c r="I319" s="30"/>
      <c r="J319" s="30"/>
      <c r="K319" s="30"/>
      <c r="L319" s="30"/>
      <c r="M319" s="30"/>
      <c r="N319" s="30"/>
      <c r="O319" s="30"/>
      <c r="P319" s="30"/>
      <c r="U319" s="30"/>
    </row>
    <row r="320" spans="1:21" x14ac:dyDescent="0.25">
      <c r="A320" s="59" t="s">
        <v>811</v>
      </c>
      <c r="B320" s="59" t="s">
        <v>812</v>
      </c>
      <c r="C320" s="30"/>
      <c r="G320" s="30"/>
      <c r="H320" s="30"/>
      <c r="I320" s="30"/>
      <c r="J320" s="30"/>
      <c r="K320" s="30"/>
      <c r="L320" s="30"/>
      <c r="M320" s="30"/>
      <c r="N320" s="30"/>
      <c r="O320" s="30"/>
      <c r="P320" s="30"/>
      <c r="U320" s="30"/>
    </row>
    <row r="321" spans="1:21" x14ac:dyDescent="0.25">
      <c r="A321" s="59" t="s">
        <v>372</v>
      </c>
      <c r="B321" s="59">
        <v>206146</v>
      </c>
      <c r="C321" s="30"/>
      <c r="G321" s="30"/>
      <c r="H321" s="30"/>
      <c r="I321" s="30"/>
      <c r="J321" s="30"/>
      <c r="K321" s="30"/>
      <c r="L321" s="30"/>
      <c r="M321" s="30"/>
      <c r="N321" s="30"/>
      <c r="O321" s="30"/>
      <c r="P321" s="30"/>
      <c r="U321" s="30"/>
    </row>
    <row r="322" spans="1:21" x14ac:dyDescent="0.25">
      <c r="A322" s="59" t="s">
        <v>48</v>
      </c>
      <c r="B322" s="59">
        <v>2439</v>
      </c>
      <c r="C322" s="30"/>
      <c r="G322" s="30"/>
      <c r="H322" s="30"/>
      <c r="I322" s="30"/>
      <c r="J322" s="30"/>
      <c r="K322" s="30"/>
      <c r="L322" s="30"/>
      <c r="M322" s="30"/>
      <c r="N322" s="30"/>
      <c r="O322" s="30"/>
      <c r="P322" s="30"/>
      <c r="U322" s="30"/>
    </row>
    <row r="323" spans="1:21" x14ac:dyDescent="0.25">
      <c r="A323" s="59" t="s">
        <v>49</v>
      </c>
      <c r="B323" s="59">
        <v>2440</v>
      </c>
      <c r="C323" s="30"/>
      <c r="G323" s="30"/>
      <c r="H323" s="30"/>
      <c r="I323" s="30"/>
      <c r="J323" s="30"/>
      <c r="K323" s="30"/>
      <c r="L323" s="30"/>
      <c r="M323" s="30"/>
      <c r="N323" s="30"/>
      <c r="O323" s="30"/>
      <c r="P323" s="30"/>
      <c r="U323" s="30"/>
    </row>
    <row r="324" spans="1:21" x14ac:dyDescent="0.25">
      <c r="A324" s="59" t="s">
        <v>374</v>
      </c>
      <c r="B324" s="59" t="s">
        <v>375</v>
      </c>
      <c r="C324" s="30"/>
      <c r="G324" s="30"/>
      <c r="H324" s="30"/>
      <c r="I324" s="30"/>
      <c r="J324" s="30"/>
      <c r="K324" s="30"/>
      <c r="L324" s="30"/>
      <c r="M324" s="30"/>
      <c r="N324" s="30"/>
      <c r="O324" s="30"/>
      <c r="P324" s="30"/>
      <c r="U324" s="30"/>
    </row>
    <row r="325" spans="1:21" x14ac:dyDescent="0.25">
      <c r="A325" s="59" t="s">
        <v>813</v>
      </c>
      <c r="B325" s="59" t="s">
        <v>814</v>
      </c>
      <c r="C325" s="30"/>
      <c r="G325" s="30"/>
      <c r="H325" s="30"/>
      <c r="I325" s="30"/>
      <c r="J325" s="30"/>
      <c r="K325" s="30"/>
      <c r="L325" s="30"/>
      <c r="M325" s="30"/>
      <c r="N325" s="30"/>
      <c r="O325" s="30"/>
      <c r="P325" s="30"/>
      <c r="U325" s="30"/>
    </row>
    <row r="326" spans="1:21" x14ac:dyDescent="0.25">
      <c r="A326" s="59" t="s">
        <v>815</v>
      </c>
      <c r="B326" s="59" t="s">
        <v>816</v>
      </c>
      <c r="C326" s="30"/>
      <c r="G326" s="30"/>
      <c r="H326" s="30"/>
      <c r="I326" s="30"/>
      <c r="J326" s="30"/>
      <c r="K326" s="30"/>
      <c r="L326" s="30"/>
      <c r="M326" s="30"/>
      <c r="N326" s="30"/>
      <c r="O326" s="30"/>
      <c r="P326" s="30"/>
      <c r="U326" s="30"/>
    </row>
    <row r="327" spans="1:21" x14ac:dyDescent="0.25">
      <c r="A327" s="67" t="s">
        <v>377</v>
      </c>
      <c r="B327" s="67" t="s">
        <v>378</v>
      </c>
      <c r="C327" s="30"/>
      <c r="G327" s="30"/>
      <c r="H327" s="30"/>
      <c r="I327" s="30"/>
      <c r="J327" s="30"/>
      <c r="K327" s="30"/>
      <c r="L327" s="30"/>
      <c r="M327" s="30"/>
      <c r="N327" s="30"/>
      <c r="O327" s="30"/>
      <c r="P327" s="30"/>
      <c r="U327" s="30"/>
    </row>
    <row r="328" spans="1:21" x14ac:dyDescent="0.25">
      <c r="A328" s="105" t="s">
        <v>377</v>
      </c>
      <c r="B328" s="110" t="s">
        <v>817</v>
      </c>
      <c r="C328" s="30"/>
      <c r="G328" s="30"/>
      <c r="H328" s="30"/>
      <c r="I328" s="30"/>
      <c r="J328" s="30"/>
      <c r="K328" s="30"/>
      <c r="L328" s="30"/>
      <c r="M328" s="30"/>
      <c r="N328" s="30"/>
      <c r="O328" s="30"/>
      <c r="P328" s="30"/>
      <c r="U328" s="30"/>
    </row>
    <row r="329" spans="1:21" x14ac:dyDescent="0.25">
      <c r="A329" s="105" t="s">
        <v>102</v>
      </c>
      <c r="B329" s="110">
        <v>2462</v>
      </c>
      <c r="C329" s="30"/>
      <c r="G329" s="30"/>
      <c r="H329" s="30"/>
      <c r="I329" s="30"/>
      <c r="J329" s="30"/>
      <c r="K329" s="30"/>
      <c r="L329" s="30"/>
      <c r="M329" s="30"/>
      <c r="N329" s="30"/>
      <c r="O329" s="30"/>
      <c r="P329" s="30"/>
      <c r="U329" s="30"/>
    </row>
    <row r="330" spans="1:21" x14ac:dyDescent="0.25">
      <c r="A330" s="105" t="s">
        <v>50</v>
      </c>
      <c r="B330" s="110">
        <v>2463</v>
      </c>
      <c r="C330" s="30"/>
      <c r="G330" s="30"/>
      <c r="H330" s="30"/>
      <c r="I330" s="30"/>
      <c r="J330" s="30"/>
      <c r="K330" s="30"/>
      <c r="L330" s="30"/>
      <c r="M330" s="30"/>
      <c r="N330" s="30"/>
      <c r="O330" s="30"/>
      <c r="P330" s="30"/>
      <c r="U330" s="30"/>
    </row>
    <row r="331" spans="1:21" x14ac:dyDescent="0.25">
      <c r="A331" s="105" t="s">
        <v>51</v>
      </c>
      <c r="B331" s="67">
        <v>2505</v>
      </c>
      <c r="C331" s="30"/>
      <c r="G331" s="30"/>
      <c r="H331" s="30"/>
      <c r="I331" s="30"/>
      <c r="J331" s="30"/>
      <c r="K331" s="30"/>
      <c r="L331" s="30"/>
      <c r="M331" s="30"/>
      <c r="N331" s="30"/>
      <c r="O331" s="30"/>
      <c r="P331" s="30"/>
      <c r="U331" s="30"/>
    </row>
    <row r="332" spans="1:21" x14ac:dyDescent="0.25">
      <c r="A332" s="105" t="s">
        <v>1304</v>
      </c>
      <c r="B332" s="110">
        <v>2000</v>
      </c>
      <c r="C332" s="30"/>
      <c r="G332" s="30"/>
      <c r="H332" s="30"/>
      <c r="I332" s="30"/>
      <c r="J332" s="30"/>
      <c r="K332" s="30"/>
      <c r="L332" s="30"/>
      <c r="M332" s="30"/>
      <c r="N332" s="30"/>
      <c r="O332" s="30"/>
      <c r="P332" s="30"/>
      <c r="U332" s="30"/>
    </row>
    <row r="333" spans="1:21" x14ac:dyDescent="0.25">
      <c r="A333" s="105" t="s">
        <v>53</v>
      </c>
      <c r="B333" s="67">
        <v>2458</v>
      </c>
      <c r="C333" s="30"/>
      <c r="G333" s="30"/>
      <c r="H333" s="30"/>
      <c r="I333" s="30"/>
      <c r="J333" s="30"/>
      <c r="K333" s="30"/>
      <c r="L333" s="30"/>
      <c r="M333" s="30"/>
      <c r="N333" s="30"/>
      <c r="O333" s="30"/>
      <c r="P333" s="30"/>
      <c r="U333" s="30"/>
    </row>
    <row r="334" spans="1:21" x14ac:dyDescent="0.25">
      <c r="A334" s="105" t="s">
        <v>379</v>
      </c>
      <c r="B334" s="67" t="s">
        <v>381</v>
      </c>
      <c r="C334" s="30"/>
      <c r="G334" s="30"/>
      <c r="H334" s="30"/>
      <c r="I334" s="30"/>
      <c r="J334" s="30"/>
      <c r="K334" s="30"/>
      <c r="L334" s="30"/>
      <c r="M334" s="30"/>
      <c r="N334" s="30"/>
      <c r="O334" s="30"/>
      <c r="P334" s="30"/>
      <c r="U334" s="30"/>
    </row>
    <row r="335" spans="1:21" x14ac:dyDescent="0.25">
      <c r="A335" s="105" t="s">
        <v>54</v>
      </c>
      <c r="B335" s="67">
        <v>2001</v>
      </c>
      <c r="C335" s="30"/>
      <c r="G335" s="30"/>
      <c r="H335" s="30"/>
      <c r="I335" s="30"/>
      <c r="J335" s="30"/>
      <c r="K335" s="30"/>
      <c r="L335" s="30"/>
      <c r="M335" s="30"/>
      <c r="N335" s="30"/>
      <c r="O335" s="30"/>
      <c r="P335" s="30"/>
      <c r="U335" s="30"/>
    </row>
    <row r="336" spans="1:21" x14ac:dyDescent="0.25">
      <c r="A336" s="105" t="s">
        <v>382</v>
      </c>
      <c r="B336" s="67" t="s">
        <v>383</v>
      </c>
      <c r="C336" s="30"/>
      <c r="G336" s="30"/>
      <c r="H336" s="30"/>
      <c r="I336" s="30"/>
      <c r="J336" s="30"/>
      <c r="K336" s="30"/>
      <c r="L336" s="30"/>
      <c r="M336" s="30"/>
      <c r="N336" s="30"/>
      <c r="O336" s="30"/>
      <c r="P336" s="30"/>
      <c r="U336" s="30"/>
    </row>
    <row r="337" spans="1:21" x14ac:dyDescent="0.25">
      <c r="A337" s="105" t="s">
        <v>55</v>
      </c>
      <c r="B337" s="67">
        <v>2429</v>
      </c>
      <c r="C337" s="30"/>
      <c r="G337" s="30"/>
      <c r="H337" s="30"/>
      <c r="I337" s="30"/>
      <c r="J337" s="30"/>
      <c r="K337" s="30"/>
      <c r="L337" s="30"/>
      <c r="M337" s="30"/>
      <c r="N337" s="30"/>
      <c r="O337" s="30"/>
      <c r="P337" s="30"/>
      <c r="U337" s="30"/>
    </row>
    <row r="338" spans="1:21" x14ac:dyDescent="0.25">
      <c r="A338" s="105" t="s">
        <v>384</v>
      </c>
      <c r="B338" s="67">
        <v>113044</v>
      </c>
      <c r="C338" s="30"/>
      <c r="G338" s="30"/>
      <c r="H338" s="30"/>
      <c r="I338" s="30"/>
      <c r="J338" s="30"/>
      <c r="K338" s="30"/>
      <c r="L338" s="30"/>
      <c r="M338" s="30"/>
      <c r="N338" s="30"/>
      <c r="O338" s="30"/>
      <c r="P338" s="30"/>
      <c r="U338" s="30"/>
    </row>
    <row r="339" spans="1:21" x14ac:dyDescent="0.25">
      <c r="A339" s="105" t="s">
        <v>386</v>
      </c>
      <c r="B339" s="67" t="s">
        <v>388</v>
      </c>
      <c r="C339" s="30"/>
      <c r="G339" s="30"/>
      <c r="H339" s="30"/>
      <c r="I339" s="30"/>
      <c r="J339" s="30"/>
      <c r="K339" s="30"/>
      <c r="L339" s="30"/>
      <c r="M339" s="30"/>
      <c r="N339" s="30"/>
      <c r="O339" s="30"/>
      <c r="P339" s="30"/>
      <c r="U339" s="30"/>
    </row>
    <row r="340" spans="1:21" x14ac:dyDescent="0.25">
      <c r="A340" s="105" t="s">
        <v>72</v>
      </c>
      <c r="B340" s="67">
        <v>4607</v>
      </c>
      <c r="C340" s="30"/>
      <c r="G340" s="30"/>
      <c r="H340" s="30"/>
      <c r="I340" s="30"/>
      <c r="J340" s="30"/>
      <c r="K340" s="30"/>
      <c r="L340" s="30"/>
      <c r="M340" s="30"/>
      <c r="N340" s="30"/>
      <c r="O340" s="30"/>
      <c r="P340" s="30"/>
      <c r="U340" s="30"/>
    </row>
    <row r="341" spans="1:21" x14ac:dyDescent="0.25">
      <c r="A341" s="105" t="s">
        <v>818</v>
      </c>
      <c r="B341" s="67" t="s">
        <v>819</v>
      </c>
      <c r="C341" s="30"/>
      <c r="G341" s="30"/>
      <c r="H341" s="30"/>
      <c r="I341" s="30"/>
      <c r="J341" s="30"/>
      <c r="K341" s="30"/>
      <c r="L341" s="30"/>
      <c r="M341" s="30"/>
      <c r="N341" s="30"/>
      <c r="O341" s="30"/>
      <c r="P341" s="30"/>
      <c r="U341" s="30"/>
    </row>
    <row r="342" spans="1:21" x14ac:dyDescent="0.25">
      <c r="A342" s="105" t="s">
        <v>820</v>
      </c>
      <c r="B342" s="67" t="s">
        <v>821</v>
      </c>
      <c r="C342" s="30"/>
      <c r="G342" s="30"/>
      <c r="H342" s="30"/>
      <c r="I342" s="30"/>
      <c r="J342" s="30"/>
      <c r="K342" s="30"/>
      <c r="L342" s="30"/>
      <c r="M342" s="30"/>
      <c r="N342" s="30"/>
      <c r="O342" s="30"/>
      <c r="P342" s="30"/>
      <c r="U342" s="30"/>
    </row>
    <row r="343" spans="1:21" x14ac:dyDescent="0.25">
      <c r="A343" s="105" t="s">
        <v>56</v>
      </c>
      <c r="B343" s="67">
        <v>2444</v>
      </c>
      <c r="C343" s="30"/>
      <c r="G343" s="30"/>
      <c r="H343" s="30"/>
      <c r="I343" s="30"/>
      <c r="J343" s="30"/>
      <c r="K343" s="30"/>
      <c r="L343" s="30"/>
      <c r="M343" s="30"/>
      <c r="N343" s="30"/>
      <c r="O343" s="30"/>
      <c r="P343" s="30"/>
      <c r="U343" s="30"/>
    </row>
    <row r="344" spans="1:21" x14ac:dyDescent="0.25">
      <c r="A344" s="105" t="s">
        <v>57</v>
      </c>
      <c r="B344" s="67">
        <v>5209</v>
      </c>
      <c r="C344" s="30"/>
      <c r="G344" s="30"/>
      <c r="H344" s="30"/>
      <c r="I344" s="30"/>
      <c r="J344" s="30"/>
      <c r="K344" s="30"/>
      <c r="L344" s="30"/>
      <c r="M344" s="30"/>
      <c r="N344" s="30"/>
      <c r="O344" s="30"/>
      <c r="P344" s="30"/>
      <c r="U344" s="30"/>
    </row>
    <row r="345" spans="1:21" x14ac:dyDescent="0.25">
      <c r="A345" s="105" t="s">
        <v>389</v>
      </c>
      <c r="B345" s="67" t="s">
        <v>391</v>
      </c>
      <c r="C345" s="30"/>
      <c r="G345" s="30"/>
      <c r="H345" s="30"/>
      <c r="I345" s="30"/>
      <c r="J345" s="30"/>
      <c r="K345" s="30"/>
      <c r="L345" s="30"/>
      <c r="M345" s="30"/>
      <c r="N345" s="30"/>
      <c r="O345" s="30"/>
      <c r="P345" s="30"/>
      <c r="U345" s="30"/>
    </row>
    <row r="346" spans="1:21" x14ac:dyDescent="0.25">
      <c r="A346" s="105" t="s">
        <v>392</v>
      </c>
      <c r="B346" s="67" t="s">
        <v>394</v>
      </c>
      <c r="C346" s="30"/>
      <c r="G346" s="30"/>
      <c r="H346" s="30"/>
      <c r="I346" s="30"/>
      <c r="J346" s="30"/>
      <c r="K346" s="30"/>
      <c r="L346" s="30"/>
      <c r="M346" s="30"/>
      <c r="N346" s="30"/>
      <c r="O346" s="30"/>
      <c r="P346" s="30"/>
      <c r="U346" s="30"/>
    </row>
    <row r="347" spans="1:21" x14ac:dyDescent="0.25">
      <c r="A347" s="105" t="s">
        <v>58</v>
      </c>
      <c r="B347" s="67">
        <v>2469</v>
      </c>
      <c r="C347" s="30"/>
      <c r="G347" s="30"/>
      <c r="H347" s="30"/>
      <c r="I347" s="30"/>
      <c r="J347" s="30"/>
      <c r="K347" s="30"/>
      <c r="L347" s="30"/>
      <c r="M347" s="30"/>
      <c r="N347" s="30"/>
      <c r="O347" s="30"/>
      <c r="P347" s="30"/>
      <c r="U347" s="30"/>
    </row>
    <row r="348" spans="1:21" x14ac:dyDescent="0.25">
      <c r="A348" s="105" t="s">
        <v>395</v>
      </c>
      <c r="B348" s="110" t="s">
        <v>397</v>
      </c>
      <c r="C348" s="30"/>
      <c r="G348" s="30"/>
      <c r="H348" s="30"/>
      <c r="I348" s="30"/>
      <c r="J348" s="30"/>
      <c r="K348" s="30"/>
      <c r="L348" s="30"/>
      <c r="M348" s="30"/>
      <c r="N348" s="30"/>
      <c r="O348" s="30"/>
      <c r="P348" s="30"/>
      <c r="U348" s="30"/>
    </row>
    <row r="349" spans="1:21" x14ac:dyDescent="0.25">
      <c r="A349" s="105" t="s">
        <v>398</v>
      </c>
      <c r="B349" s="67" t="s">
        <v>399</v>
      </c>
      <c r="C349" s="30"/>
      <c r="G349" s="30"/>
      <c r="H349" s="30"/>
      <c r="I349" s="30"/>
      <c r="J349" s="30"/>
      <c r="K349" s="30"/>
      <c r="L349" s="30"/>
      <c r="M349" s="30"/>
      <c r="N349" s="30"/>
      <c r="O349" s="30"/>
      <c r="P349" s="30"/>
      <c r="U349" s="30"/>
    </row>
    <row r="350" spans="1:21" x14ac:dyDescent="0.25">
      <c r="A350" s="59" t="s">
        <v>59</v>
      </c>
      <c r="B350" s="59">
        <v>2466</v>
      </c>
      <c r="C350" s="30"/>
      <c r="G350" s="30"/>
      <c r="H350" s="30"/>
      <c r="I350" s="30"/>
      <c r="J350" s="30"/>
      <c r="K350" s="30"/>
      <c r="L350" s="30"/>
      <c r="M350" s="30"/>
      <c r="N350" s="30"/>
      <c r="O350" s="30"/>
      <c r="P350" s="30"/>
      <c r="U350" s="30"/>
    </row>
    <row r="351" spans="1:21" x14ac:dyDescent="0.25">
      <c r="A351" s="59" t="s">
        <v>60</v>
      </c>
      <c r="B351" s="59">
        <v>3543</v>
      </c>
      <c r="C351" s="30"/>
      <c r="G351" s="30"/>
      <c r="H351" s="30"/>
      <c r="I351" s="30"/>
      <c r="J351" s="30"/>
      <c r="K351" s="30"/>
      <c r="L351" s="30"/>
      <c r="M351" s="30"/>
      <c r="N351" s="30"/>
      <c r="O351" s="30"/>
      <c r="P351" s="30"/>
      <c r="U351" s="30"/>
    </row>
    <row r="352" spans="1:21" x14ac:dyDescent="0.25">
      <c r="A352" s="59" t="s">
        <v>400</v>
      </c>
      <c r="B352" s="59">
        <v>206152</v>
      </c>
      <c r="C352" s="30"/>
      <c r="G352" s="30"/>
      <c r="H352" s="30"/>
      <c r="I352" s="30"/>
      <c r="J352" s="30"/>
      <c r="K352" s="30"/>
      <c r="L352" s="30"/>
      <c r="M352" s="30"/>
      <c r="N352" s="30"/>
      <c r="O352" s="30"/>
      <c r="P352" s="30"/>
      <c r="U352" s="30"/>
    </row>
    <row r="353" spans="1:2" x14ac:dyDescent="0.25">
      <c r="A353" s="59" t="s">
        <v>402</v>
      </c>
      <c r="B353" s="59">
        <v>206153</v>
      </c>
    </row>
    <row r="354" spans="1:2" x14ac:dyDescent="0.25">
      <c r="A354" s="59" t="s">
        <v>62</v>
      </c>
      <c r="B354" s="59">
        <v>3531</v>
      </c>
    </row>
    <row r="355" spans="1:2" x14ac:dyDescent="0.25">
      <c r="A355" s="59" t="s">
        <v>63</v>
      </c>
      <c r="B355" s="59">
        <v>3526</v>
      </c>
    </row>
    <row r="356" spans="1:2" x14ac:dyDescent="0.25">
      <c r="A356" s="59" t="s">
        <v>104</v>
      </c>
      <c r="B356" s="59">
        <v>3535</v>
      </c>
    </row>
    <row r="357" spans="1:2" x14ac:dyDescent="0.25">
      <c r="A357" s="59" t="s">
        <v>64</v>
      </c>
      <c r="B357" s="59">
        <v>2008</v>
      </c>
    </row>
    <row r="358" spans="1:2" x14ac:dyDescent="0.25">
      <c r="A358" s="59" t="s">
        <v>105</v>
      </c>
      <c r="B358" s="59">
        <v>3542</v>
      </c>
    </row>
    <row r="359" spans="1:2" x14ac:dyDescent="0.25">
      <c r="A359" s="59" t="s">
        <v>404</v>
      </c>
      <c r="B359" s="59">
        <v>206154</v>
      </c>
    </row>
    <row r="360" spans="1:2" x14ac:dyDescent="0.25">
      <c r="A360" s="59" t="s">
        <v>106</v>
      </c>
      <c r="B360" s="59">
        <v>3528</v>
      </c>
    </row>
    <row r="361" spans="1:2" x14ac:dyDescent="0.25">
      <c r="A361" s="59" t="s">
        <v>406</v>
      </c>
      <c r="B361" s="59" t="s">
        <v>407</v>
      </c>
    </row>
    <row r="362" spans="1:2" x14ac:dyDescent="0.25">
      <c r="A362" s="59" t="s">
        <v>107</v>
      </c>
      <c r="B362" s="59">
        <v>3534</v>
      </c>
    </row>
    <row r="363" spans="1:2" x14ac:dyDescent="0.25">
      <c r="A363" s="59" t="s">
        <v>108</v>
      </c>
      <c r="B363" s="59">
        <v>3532</v>
      </c>
    </row>
    <row r="364" spans="1:2" x14ac:dyDescent="0.25">
      <c r="A364" s="59" t="s">
        <v>7</v>
      </c>
      <c r="B364" s="59">
        <v>1010</v>
      </c>
    </row>
    <row r="365" spans="1:2" x14ac:dyDescent="0.25">
      <c r="A365" s="59" t="s">
        <v>1396</v>
      </c>
      <c r="B365" s="59">
        <v>484523</v>
      </c>
    </row>
    <row r="366" spans="1:2" x14ac:dyDescent="0.25">
      <c r="A366" s="59" t="s">
        <v>408</v>
      </c>
      <c r="B366" s="59" t="s">
        <v>410</v>
      </c>
    </row>
    <row r="367" spans="1:2" x14ac:dyDescent="0.25">
      <c r="A367" s="59" t="s">
        <v>114</v>
      </c>
      <c r="B367" s="59">
        <v>4177</v>
      </c>
    </row>
    <row r="368" spans="1:2" x14ac:dyDescent="0.25">
      <c r="A368" s="59" t="s">
        <v>822</v>
      </c>
      <c r="B368" s="59" t="s">
        <v>824</v>
      </c>
    </row>
    <row r="369" spans="1:2" x14ac:dyDescent="0.25">
      <c r="A369" s="59" t="s">
        <v>411</v>
      </c>
      <c r="B369" s="59" t="s">
        <v>413</v>
      </c>
    </row>
    <row r="370" spans="1:2" x14ac:dyDescent="0.25">
      <c r="A370" s="59" t="s">
        <v>414</v>
      </c>
      <c r="B370" s="59">
        <v>206103</v>
      </c>
    </row>
    <row r="371" spans="1:2" x14ac:dyDescent="0.25">
      <c r="A371" s="59" t="s">
        <v>415</v>
      </c>
      <c r="B371" s="59" t="s">
        <v>417</v>
      </c>
    </row>
    <row r="372" spans="1:2" x14ac:dyDescent="0.25">
      <c r="A372" s="59" t="s">
        <v>418</v>
      </c>
      <c r="B372" s="59" t="s">
        <v>420</v>
      </c>
    </row>
    <row r="373" spans="1:2" x14ac:dyDescent="0.25">
      <c r="A373" s="59" t="s">
        <v>421</v>
      </c>
      <c r="B373" s="59">
        <v>258420</v>
      </c>
    </row>
    <row r="374" spans="1:2" x14ac:dyDescent="0.25">
      <c r="A374" s="59" t="s">
        <v>423</v>
      </c>
      <c r="B374" s="59">
        <v>258424</v>
      </c>
    </row>
    <row r="375" spans="1:2" x14ac:dyDescent="0.25">
      <c r="A375" s="59" t="s">
        <v>1397</v>
      </c>
      <c r="B375" s="59">
        <v>482634</v>
      </c>
    </row>
    <row r="376" spans="1:2" x14ac:dyDescent="0.25">
      <c r="A376" s="59" t="s">
        <v>425</v>
      </c>
      <c r="B376" s="59" t="s">
        <v>426</v>
      </c>
    </row>
    <row r="377" spans="1:2" x14ac:dyDescent="0.25">
      <c r="A377" s="59" t="s">
        <v>65</v>
      </c>
      <c r="B377" s="59">
        <v>3546</v>
      </c>
    </row>
    <row r="378" spans="1:2" x14ac:dyDescent="0.25">
      <c r="A378" s="59" t="s">
        <v>8</v>
      </c>
      <c r="B378" s="59">
        <v>1009</v>
      </c>
    </row>
    <row r="379" spans="1:2" x14ac:dyDescent="0.25">
      <c r="A379" s="59" t="s">
        <v>1398</v>
      </c>
      <c r="B379" s="59">
        <v>476554</v>
      </c>
    </row>
    <row r="380" spans="1:2" x14ac:dyDescent="0.25">
      <c r="A380" s="59" t="s">
        <v>66</v>
      </c>
      <c r="B380" s="59">
        <v>3530</v>
      </c>
    </row>
    <row r="381" spans="1:2" x14ac:dyDescent="0.25">
      <c r="A381" s="59" t="s">
        <v>74</v>
      </c>
      <c r="B381" s="59">
        <v>5412</v>
      </c>
    </row>
    <row r="382" spans="1:2" x14ac:dyDescent="0.25">
      <c r="A382" s="59" t="s">
        <v>432</v>
      </c>
      <c r="B382" s="59" t="s">
        <v>433</v>
      </c>
    </row>
    <row r="383" spans="1:2" x14ac:dyDescent="0.25">
      <c r="A383" s="59" t="s">
        <v>427</v>
      </c>
      <c r="B383" s="59" t="s">
        <v>429</v>
      </c>
    </row>
    <row r="384" spans="1:2" x14ac:dyDescent="0.25">
      <c r="A384" s="59" t="s">
        <v>9</v>
      </c>
      <c r="B384" s="59">
        <v>1015</v>
      </c>
    </row>
    <row r="385" spans="1:2" x14ac:dyDescent="0.25">
      <c r="A385" s="59" t="s">
        <v>430</v>
      </c>
      <c r="B385" s="59" t="s">
        <v>431</v>
      </c>
    </row>
    <row r="386" spans="1:2" x14ac:dyDescent="0.25">
      <c r="A386" s="59" t="s">
        <v>434</v>
      </c>
      <c r="B386" s="59">
        <v>509204</v>
      </c>
    </row>
    <row r="387" spans="1:2" x14ac:dyDescent="0.25">
      <c r="A387" s="59" t="s">
        <v>434</v>
      </c>
      <c r="B387" s="59" t="s">
        <v>825</v>
      </c>
    </row>
    <row r="388" spans="1:2" x14ac:dyDescent="0.25">
      <c r="A388" s="59" t="s">
        <v>67</v>
      </c>
      <c r="B388" s="59">
        <v>2459</v>
      </c>
    </row>
    <row r="389" spans="1:2" x14ac:dyDescent="0.25">
      <c r="A389" s="59" t="s">
        <v>96</v>
      </c>
      <c r="B389" s="59">
        <v>2007</v>
      </c>
    </row>
    <row r="390" spans="1:2" x14ac:dyDescent="0.25">
      <c r="A390" s="11"/>
      <c r="B390" s="2"/>
    </row>
    <row r="391" spans="1:2" x14ac:dyDescent="0.25">
      <c r="A391" s="11"/>
      <c r="B391" s="2"/>
    </row>
  </sheetData>
  <sheetProtection password="EF5C" sheet="1" objects="1" scenarios="1"/>
  <mergeCells count="4">
    <mergeCell ref="H1:H5"/>
    <mergeCell ref="N1:N5"/>
    <mergeCell ref="T1:T5"/>
    <mergeCell ref="E2:F2"/>
  </mergeCells>
  <pageMargins left="0.7" right="0.7" top="0.75" bottom="0.75" header="0.3" footer="0.3"/>
  <pageSetup paperSize="9" orientation="portrait"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A1:E395"/>
  <sheetViews>
    <sheetView workbookViewId="0">
      <pane xSplit="2" ySplit="6" topLeftCell="C10" activePane="bottomRight" state="frozen"/>
      <selection activeCell="C118" sqref="C118"/>
      <selection pane="topRight" activeCell="C118" sqref="C118"/>
      <selection pane="bottomLeft" activeCell="C118" sqref="C118"/>
      <selection pane="bottomRight" activeCell="G23" sqref="G23"/>
    </sheetView>
  </sheetViews>
  <sheetFormatPr defaultRowHeight="13.2" x14ac:dyDescent="0.25"/>
  <cols>
    <col min="1" max="1" width="52.44140625" style="22" bestFit="1" customWidth="1"/>
    <col min="2" max="2" width="17.109375" style="22" bestFit="1" customWidth="1"/>
    <col min="3" max="3" width="13.33203125" customWidth="1"/>
    <col min="4" max="4" width="12.44140625" customWidth="1"/>
    <col min="5" max="5" width="12.33203125" bestFit="1" customWidth="1"/>
  </cols>
  <sheetData>
    <row r="1" spans="1:4" ht="12.75" customHeight="1" x14ac:dyDescent="0.25">
      <c r="A1" s="24" t="s">
        <v>958</v>
      </c>
      <c r="B1" s="926"/>
      <c r="C1" s="928"/>
      <c r="D1" s="949">
        <v>0</v>
      </c>
    </row>
    <row r="2" spans="1:4" x14ac:dyDescent="0.25">
      <c r="A2" s="24" t="s">
        <v>77</v>
      </c>
      <c r="B2" s="927" t="s">
        <v>833</v>
      </c>
      <c r="C2" s="928"/>
      <c r="D2" s="949">
        <f>927.15-67.99</f>
        <v>859.16</v>
      </c>
    </row>
    <row r="3" spans="1:4" x14ac:dyDescent="0.25">
      <c r="A3" s="24" t="s">
        <v>78</v>
      </c>
      <c r="B3" s="926"/>
      <c r="C3" s="928"/>
      <c r="D3" s="928"/>
    </row>
    <row r="4" spans="1:4" x14ac:dyDescent="0.25">
      <c r="A4" s="24" t="s">
        <v>79</v>
      </c>
      <c r="B4" s="926"/>
      <c r="C4" s="928"/>
      <c r="D4" s="928"/>
    </row>
    <row r="5" spans="1:4" ht="12.75" x14ac:dyDescent="0.2">
      <c r="A5" s="24" t="s">
        <v>80</v>
      </c>
      <c r="B5" s="926"/>
      <c r="C5" s="928"/>
      <c r="D5" s="928"/>
    </row>
    <row r="6" spans="1:4" ht="105.6" x14ac:dyDescent="0.25">
      <c r="A6" s="938" t="s">
        <v>118</v>
      </c>
      <c r="B6" s="940" t="s">
        <v>81</v>
      </c>
      <c r="C6" s="950" t="s">
        <v>982</v>
      </c>
      <c r="D6" s="950" t="s">
        <v>983</v>
      </c>
    </row>
    <row r="7" spans="1:4" ht="12.75" x14ac:dyDescent="0.2">
      <c r="A7" s="25" t="s">
        <v>1301</v>
      </c>
      <c r="B7" s="26">
        <v>2014</v>
      </c>
      <c r="C7" s="925"/>
      <c r="D7" s="951">
        <f>D$1*C7</f>
        <v>0</v>
      </c>
    </row>
    <row r="8" spans="1:4" ht="12.75" x14ac:dyDescent="0.2">
      <c r="A8" s="25" t="s">
        <v>10</v>
      </c>
      <c r="B8" s="26">
        <v>2012</v>
      </c>
      <c r="C8" s="925"/>
      <c r="D8" s="951">
        <f>D$1*C8</f>
        <v>0</v>
      </c>
    </row>
    <row r="9" spans="1:4" ht="12.75" x14ac:dyDescent="0.2">
      <c r="A9" s="25" t="s">
        <v>11</v>
      </c>
      <c r="B9" s="26">
        <v>2443</v>
      </c>
      <c r="C9" s="925"/>
      <c r="D9" s="951">
        <f t="shared" ref="D9:D72" si="0">D$1*C9</f>
        <v>0</v>
      </c>
    </row>
    <row r="10" spans="1:4" ht="12.75" x14ac:dyDescent="0.2">
      <c r="A10" s="25" t="s">
        <v>94</v>
      </c>
      <c r="B10" s="26">
        <v>2442</v>
      </c>
      <c r="C10" s="925"/>
      <c r="D10" s="951">
        <f t="shared" si="0"/>
        <v>0</v>
      </c>
    </row>
    <row r="11" spans="1:4" ht="12.75" x14ac:dyDescent="0.2">
      <c r="A11" s="25" t="s">
        <v>13</v>
      </c>
      <c r="B11" s="26">
        <v>2629</v>
      </c>
      <c r="C11" s="925"/>
      <c r="D11" s="951">
        <f t="shared" si="0"/>
        <v>0</v>
      </c>
    </row>
    <row r="12" spans="1:4" ht="12.75" x14ac:dyDescent="0.2">
      <c r="A12" s="25" t="s">
        <v>14</v>
      </c>
      <c r="B12" s="26">
        <v>2509</v>
      </c>
      <c r="C12" s="925"/>
      <c r="D12" s="951">
        <f t="shared" si="0"/>
        <v>0</v>
      </c>
    </row>
    <row r="13" spans="1:4" ht="12.75" x14ac:dyDescent="0.2">
      <c r="A13" s="25" t="s">
        <v>15</v>
      </c>
      <c r="B13" s="26">
        <v>2005</v>
      </c>
      <c r="C13" s="925"/>
      <c r="D13" s="951">
        <f t="shared" si="0"/>
        <v>0</v>
      </c>
    </row>
    <row r="14" spans="1:4" ht="12.75" x14ac:dyDescent="0.2">
      <c r="A14" s="25" t="s">
        <v>16</v>
      </c>
      <c r="B14" s="26">
        <v>2464</v>
      </c>
      <c r="C14" s="925"/>
      <c r="D14" s="951">
        <f t="shared" si="0"/>
        <v>0</v>
      </c>
    </row>
    <row r="15" spans="1:4" ht="12.75" x14ac:dyDescent="0.2">
      <c r="A15" s="25" t="s">
        <v>17</v>
      </c>
      <c r="B15" s="26">
        <v>2004</v>
      </c>
      <c r="C15" s="925"/>
      <c r="D15" s="951">
        <f t="shared" si="0"/>
        <v>0</v>
      </c>
    </row>
    <row r="16" spans="1:4" ht="12.75" x14ac:dyDescent="0.2">
      <c r="A16" s="25" t="s">
        <v>18</v>
      </c>
      <c r="B16" s="26">
        <v>2405</v>
      </c>
      <c r="C16" s="925"/>
      <c r="D16" s="951">
        <f t="shared" si="0"/>
        <v>0</v>
      </c>
    </row>
    <row r="17" spans="1:4" ht="12.75" x14ac:dyDescent="0.2">
      <c r="A17" s="25" t="s">
        <v>95</v>
      </c>
      <c r="B17" s="26">
        <v>2011</v>
      </c>
      <c r="C17" s="925"/>
      <c r="D17" s="951">
        <f t="shared" si="0"/>
        <v>0</v>
      </c>
    </row>
    <row r="18" spans="1:4" ht="12.75" x14ac:dyDescent="0.2">
      <c r="A18" s="25" t="s">
        <v>20</v>
      </c>
      <c r="B18" s="26">
        <v>5201</v>
      </c>
      <c r="C18" s="925"/>
      <c r="D18" s="951">
        <f t="shared" si="0"/>
        <v>0</v>
      </c>
    </row>
    <row r="19" spans="1:4" ht="12.75" x14ac:dyDescent="0.2">
      <c r="A19" s="25" t="s">
        <v>96</v>
      </c>
      <c r="B19" s="26">
        <v>2007</v>
      </c>
      <c r="C19" s="925"/>
      <c r="D19" s="951">
        <f t="shared" si="0"/>
        <v>0</v>
      </c>
    </row>
    <row r="20" spans="1:4" ht="12.75" x14ac:dyDescent="0.2">
      <c r="A20" s="25" t="s">
        <v>21</v>
      </c>
      <c r="B20" s="26">
        <v>2433</v>
      </c>
      <c r="C20" s="925"/>
      <c r="D20" s="951">
        <f t="shared" si="0"/>
        <v>0</v>
      </c>
    </row>
    <row r="21" spans="1:4" ht="12.75" x14ac:dyDescent="0.2">
      <c r="A21" s="25" t="s">
        <v>22</v>
      </c>
      <c r="B21" s="26">
        <v>2432</v>
      </c>
      <c r="C21" s="925"/>
      <c r="D21" s="951">
        <f t="shared" si="0"/>
        <v>0</v>
      </c>
    </row>
    <row r="22" spans="1:4" ht="12.75" x14ac:dyDescent="0.2">
      <c r="A22" s="25" t="s">
        <v>949</v>
      </c>
      <c r="B22" s="26">
        <v>2447</v>
      </c>
      <c r="C22" s="925"/>
      <c r="D22" s="951">
        <f t="shared" si="0"/>
        <v>0</v>
      </c>
    </row>
    <row r="23" spans="1:4" ht="12.75" x14ac:dyDescent="0.2">
      <c r="A23" s="25" t="s">
        <v>23</v>
      </c>
      <c r="B23" s="26">
        <v>2512</v>
      </c>
      <c r="C23" s="925"/>
      <c r="D23" s="951">
        <f t="shared" si="0"/>
        <v>0</v>
      </c>
    </row>
    <row r="24" spans="1:4" ht="12.75" x14ac:dyDescent="0.2">
      <c r="A24" s="25" t="s">
        <v>24</v>
      </c>
      <c r="B24" s="26">
        <v>2456</v>
      </c>
      <c r="C24" s="925"/>
      <c r="D24" s="951">
        <f t="shared" si="0"/>
        <v>0</v>
      </c>
    </row>
    <row r="25" spans="1:4" ht="12.75" x14ac:dyDescent="0.2">
      <c r="A25" s="25" t="s">
        <v>25</v>
      </c>
      <c r="B25" s="26">
        <v>2449</v>
      </c>
      <c r="C25" s="925"/>
      <c r="D25" s="951">
        <f t="shared" si="0"/>
        <v>0</v>
      </c>
    </row>
    <row r="26" spans="1:4" ht="12.75" x14ac:dyDescent="0.2">
      <c r="A26" s="25" t="s">
        <v>26</v>
      </c>
      <c r="B26" s="26">
        <v>2448</v>
      </c>
      <c r="C26" s="925"/>
      <c r="D26" s="951">
        <f t="shared" si="0"/>
        <v>0</v>
      </c>
    </row>
    <row r="27" spans="1:4" ht="12.75" x14ac:dyDescent="0.2">
      <c r="A27" s="25" t="s">
        <v>126</v>
      </c>
      <c r="B27" s="26">
        <v>2467</v>
      </c>
      <c r="C27" s="925"/>
      <c r="D27" s="951">
        <f t="shared" si="0"/>
        <v>0</v>
      </c>
    </row>
    <row r="28" spans="1:4" ht="12.75" x14ac:dyDescent="0.2">
      <c r="A28" s="25" t="s">
        <v>28</v>
      </c>
      <c r="B28" s="26">
        <v>2455</v>
      </c>
      <c r="C28" s="925"/>
      <c r="D28" s="951">
        <f t="shared" si="0"/>
        <v>0</v>
      </c>
    </row>
    <row r="29" spans="1:4" ht="12.75" x14ac:dyDescent="0.2">
      <c r="A29" s="25" t="s">
        <v>29</v>
      </c>
      <c r="B29" s="26">
        <v>5203</v>
      </c>
      <c r="C29" s="925"/>
      <c r="D29" s="951">
        <f t="shared" si="0"/>
        <v>0</v>
      </c>
    </row>
    <row r="30" spans="1:4" ht="12.75" x14ac:dyDescent="0.2">
      <c r="A30" s="25" t="s">
        <v>30</v>
      </c>
      <c r="B30" s="26">
        <v>2451</v>
      </c>
      <c r="C30" s="925"/>
      <c r="D30" s="951">
        <f t="shared" si="0"/>
        <v>0</v>
      </c>
    </row>
    <row r="31" spans="1:4" ht="12.75" x14ac:dyDescent="0.2">
      <c r="A31" s="25" t="s">
        <v>31</v>
      </c>
      <c r="B31" s="26">
        <v>2409</v>
      </c>
      <c r="C31" s="925"/>
      <c r="D31" s="951">
        <f t="shared" si="0"/>
        <v>0</v>
      </c>
    </row>
    <row r="32" spans="1:4" ht="12.75" x14ac:dyDescent="0.2">
      <c r="A32" s="25" t="s">
        <v>98</v>
      </c>
      <c r="B32" s="26">
        <v>3158</v>
      </c>
      <c r="C32" s="925"/>
      <c r="D32" s="951">
        <f t="shared" si="0"/>
        <v>0</v>
      </c>
    </row>
    <row r="33" spans="1:4" x14ac:dyDescent="0.25">
      <c r="A33" s="25" t="s">
        <v>32</v>
      </c>
      <c r="B33" s="26">
        <v>2619</v>
      </c>
      <c r="C33" s="925"/>
      <c r="D33" s="951">
        <f t="shared" si="0"/>
        <v>0</v>
      </c>
    </row>
    <row r="34" spans="1:4" x14ac:dyDescent="0.25">
      <c r="A34" s="25" t="s">
        <v>33</v>
      </c>
      <c r="B34" s="26">
        <v>2518</v>
      </c>
      <c r="C34" s="925"/>
      <c r="D34" s="951">
        <f t="shared" si="0"/>
        <v>0</v>
      </c>
    </row>
    <row r="35" spans="1:4" x14ac:dyDescent="0.25">
      <c r="A35" s="25" t="s">
        <v>34</v>
      </c>
      <c r="B35" s="26">
        <v>2457</v>
      </c>
      <c r="C35" s="925"/>
      <c r="D35" s="951">
        <f t="shared" si="0"/>
        <v>0</v>
      </c>
    </row>
    <row r="36" spans="1:4" x14ac:dyDescent="0.25">
      <c r="A36" s="25" t="s">
        <v>99</v>
      </c>
      <c r="B36" s="26">
        <v>2010</v>
      </c>
      <c r="C36" s="925"/>
      <c r="D36" s="951">
        <f t="shared" si="0"/>
        <v>0</v>
      </c>
    </row>
    <row r="37" spans="1:4" x14ac:dyDescent="0.25">
      <c r="A37" s="25" t="s">
        <v>35</v>
      </c>
      <c r="B37" s="26">
        <v>2002</v>
      </c>
      <c r="C37" s="925"/>
      <c r="D37" s="951">
        <f t="shared" si="0"/>
        <v>0</v>
      </c>
    </row>
    <row r="38" spans="1:4" x14ac:dyDescent="0.25">
      <c r="A38" s="25" t="s">
        <v>36</v>
      </c>
      <c r="B38" s="26">
        <v>3544</v>
      </c>
      <c r="C38" s="925"/>
      <c r="D38" s="951">
        <f t="shared" si="0"/>
        <v>0</v>
      </c>
    </row>
    <row r="39" spans="1:4" x14ac:dyDescent="0.25">
      <c r="A39" s="25" t="s">
        <v>100</v>
      </c>
      <c r="B39" s="26">
        <v>2006</v>
      </c>
      <c r="C39" s="925"/>
      <c r="D39" s="951">
        <f t="shared" si="0"/>
        <v>0</v>
      </c>
    </row>
    <row r="40" spans="1:4" x14ac:dyDescent="0.25">
      <c r="A40" s="25" t="s">
        <v>37</v>
      </c>
      <c r="B40" s="26">
        <v>2434</v>
      </c>
      <c r="C40" s="925"/>
      <c r="D40" s="951">
        <f t="shared" si="0"/>
        <v>0</v>
      </c>
    </row>
    <row r="41" spans="1:4" x14ac:dyDescent="0.25">
      <c r="A41" s="25" t="s">
        <v>38</v>
      </c>
      <c r="B41" s="26">
        <v>2522</v>
      </c>
      <c r="C41" s="925"/>
      <c r="D41" s="951">
        <f t="shared" si="0"/>
        <v>0</v>
      </c>
    </row>
    <row r="42" spans="1:4" x14ac:dyDescent="0.25">
      <c r="A42" s="25" t="s">
        <v>39</v>
      </c>
      <c r="B42" s="26">
        <v>2436</v>
      </c>
      <c r="C42" s="925"/>
      <c r="D42" s="951">
        <f t="shared" si="0"/>
        <v>0</v>
      </c>
    </row>
    <row r="43" spans="1:4" x14ac:dyDescent="0.25">
      <c r="A43" s="25" t="s">
        <v>40</v>
      </c>
      <c r="B43" s="26">
        <v>2452</v>
      </c>
      <c r="C43" s="925"/>
      <c r="D43" s="951">
        <f t="shared" si="0"/>
        <v>0</v>
      </c>
    </row>
    <row r="44" spans="1:4" x14ac:dyDescent="0.25">
      <c r="A44" s="25" t="s">
        <v>41</v>
      </c>
      <c r="B44" s="26">
        <v>2627</v>
      </c>
      <c r="C44" s="925"/>
      <c r="D44" s="951">
        <f t="shared" si="0"/>
        <v>0</v>
      </c>
    </row>
    <row r="45" spans="1:4" x14ac:dyDescent="0.25">
      <c r="A45" s="25" t="s">
        <v>42</v>
      </c>
      <c r="B45" s="26">
        <v>2009</v>
      </c>
      <c r="C45" s="925"/>
      <c r="D45" s="951">
        <f t="shared" si="0"/>
        <v>0</v>
      </c>
    </row>
    <row r="46" spans="1:4" x14ac:dyDescent="0.25">
      <c r="A46" s="25" t="s">
        <v>101</v>
      </c>
      <c r="B46" s="26">
        <v>2473</v>
      </c>
      <c r="C46" s="925"/>
      <c r="D46" s="951">
        <f t="shared" si="0"/>
        <v>0</v>
      </c>
    </row>
    <row r="47" spans="1:4" x14ac:dyDescent="0.25">
      <c r="A47" s="25" t="s">
        <v>44</v>
      </c>
      <c r="B47" s="26">
        <v>2471</v>
      </c>
      <c r="C47" s="925"/>
      <c r="D47" s="951">
        <f t="shared" si="0"/>
        <v>0</v>
      </c>
    </row>
    <row r="48" spans="1:4" x14ac:dyDescent="0.25">
      <c r="A48" s="25" t="s">
        <v>43</v>
      </c>
      <c r="B48" s="26">
        <v>2420</v>
      </c>
      <c r="C48" s="925"/>
      <c r="D48" s="951">
        <f t="shared" si="0"/>
        <v>0</v>
      </c>
    </row>
    <row r="49" spans="1:4" x14ac:dyDescent="0.25">
      <c r="A49" s="25" t="s">
        <v>45</v>
      </c>
      <c r="B49" s="26">
        <v>2003</v>
      </c>
      <c r="C49" s="925"/>
      <c r="D49" s="951">
        <f t="shared" si="0"/>
        <v>0</v>
      </c>
    </row>
    <row r="50" spans="1:4" x14ac:dyDescent="0.25">
      <c r="A50" s="25" t="s">
        <v>46</v>
      </c>
      <c r="B50" s="26">
        <v>2423</v>
      </c>
      <c r="C50" s="925"/>
      <c r="D50" s="951">
        <f t="shared" si="0"/>
        <v>0</v>
      </c>
    </row>
    <row r="51" spans="1:4" x14ac:dyDescent="0.25">
      <c r="A51" s="25" t="s">
        <v>47</v>
      </c>
      <c r="B51" s="26">
        <v>2424</v>
      </c>
      <c r="C51" s="925"/>
      <c r="D51" s="951">
        <f t="shared" si="0"/>
        <v>0</v>
      </c>
    </row>
    <row r="52" spans="1:4" x14ac:dyDescent="0.25">
      <c r="A52" s="25" t="s">
        <v>48</v>
      </c>
      <c r="B52" s="26">
        <v>2439</v>
      </c>
      <c r="C52" s="925"/>
      <c r="D52" s="951">
        <f t="shared" si="0"/>
        <v>0</v>
      </c>
    </row>
    <row r="53" spans="1:4" x14ac:dyDescent="0.25">
      <c r="A53" s="25" t="s">
        <v>49</v>
      </c>
      <c r="B53" s="26">
        <v>2440</v>
      </c>
      <c r="C53" s="925"/>
      <c r="D53" s="951">
        <f t="shared" si="0"/>
        <v>0</v>
      </c>
    </row>
    <row r="54" spans="1:4" x14ac:dyDescent="0.25">
      <c r="A54" s="25" t="s">
        <v>102</v>
      </c>
      <c r="B54" s="26">
        <v>2462</v>
      </c>
      <c r="C54" s="925"/>
      <c r="D54" s="951">
        <f t="shared" si="0"/>
        <v>0</v>
      </c>
    </row>
    <row r="55" spans="1:4" x14ac:dyDescent="0.25">
      <c r="A55" s="25" t="s">
        <v>50</v>
      </c>
      <c r="B55" s="26">
        <v>2463</v>
      </c>
      <c r="C55" s="925"/>
      <c r="D55" s="951">
        <f t="shared" si="0"/>
        <v>0</v>
      </c>
    </row>
    <row r="56" spans="1:4" x14ac:dyDescent="0.25">
      <c r="A56" s="25" t="s">
        <v>51</v>
      </c>
      <c r="B56" s="26">
        <v>2505</v>
      </c>
      <c r="C56" s="925"/>
      <c r="D56" s="951">
        <f t="shared" si="0"/>
        <v>0</v>
      </c>
    </row>
    <row r="57" spans="1:4" x14ac:dyDescent="0.25">
      <c r="A57" s="9" t="s">
        <v>1304</v>
      </c>
      <c r="B57" s="26">
        <v>2000</v>
      </c>
      <c r="C57" s="925"/>
      <c r="D57" s="951">
        <f t="shared" si="0"/>
        <v>0</v>
      </c>
    </row>
    <row r="58" spans="1:4" x14ac:dyDescent="0.25">
      <c r="A58" s="25" t="s">
        <v>53</v>
      </c>
      <c r="B58" s="26">
        <v>2458</v>
      </c>
      <c r="C58" s="925"/>
      <c r="D58" s="951">
        <f t="shared" si="0"/>
        <v>0</v>
      </c>
    </row>
    <row r="59" spans="1:4" x14ac:dyDescent="0.25">
      <c r="A59" s="25" t="s">
        <v>54</v>
      </c>
      <c r="B59" s="26">
        <v>2001</v>
      </c>
      <c r="C59" s="925"/>
      <c r="D59" s="951">
        <f t="shared" si="0"/>
        <v>0</v>
      </c>
    </row>
    <row r="60" spans="1:4" x14ac:dyDescent="0.25">
      <c r="A60" s="25" t="s">
        <v>55</v>
      </c>
      <c r="B60" s="26">
        <v>2429</v>
      </c>
      <c r="C60" s="925"/>
      <c r="D60" s="951">
        <f t="shared" si="0"/>
        <v>0</v>
      </c>
    </row>
    <row r="61" spans="1:4" x14ac:dyDescent="0.25">
      <c r="A61" s="25" t="s">
        <v>56</v>
      </c>
      <c r="B61" s="26">
        <v>2444</v>
      </c>
      <c r="C61" s="925"/>
      <c r="D61" s="951">
        <f t="shared" si="0"/>
        <v>0</v>
      </c>
    </row>
    <row r="62" spans="1:4" x14ac:dyDescent="0.25">
      <c r="A62" s="25" t="s">
        <v>57</v>
      </c>
      <c r="B62" s="26">
        <v>5209</v>
      </c>
      <c r="C62" s="925"/>
      <c r="D62" s="951">
        <f t="shared" si="0"/>
        <v>0</v>
      </c>
    </row>
    <row r="63" spans="1:4" x14ac:dyDescent="0.25">
      <c r="A63" s="25" t="s">
        <v>58</v>
      </c>
      <c r="B63" s="26">
        <v>2469</v>
      </c>
      <c r="C63" s="925"/>
      <c r="D63" s="951">
        <f t="shared" si="0"/>
        <v>0</v>
      </c>
    </row>
    <row r="64" spans="1:4" x14ac:dyDescent="0.25">
      <c r="A64" s="22" t="s">
        <v>437</v>
      </c>
      <c r="B64" s="26">
        <v>2430</v>
      </c>
      <c r="C64" s="925"/>
      <c r="D64" s="951">
        <f t="shared" si="0"/>
        <v>0</v>
      </c>
    </row>
    <row r="65" spans="1:4" x14ac:dyDescent="0.25">
      <c r="A65" s="25" t="s">
        <v>59</v>
      </c>
      <c r="B65" s="26">
        <v>2466</v>
      </c>
      <c r="C65" s="925"/>
      <c r="D65" s="951">
        <f t="shared" si="0"/>
        <v>0</v>
      </c>
    </row>
    <row r="66" spans="1:4" x14ac:dyDescent="0.25">
      <c r="A66" s="25" t="s">
        <v>60</v>
      </c>
      <c r="B66" s="26">
        <v>3543</v>
      </c>
      <c r="C66" s="925"/>
      <c r="D66" s="951">
        <f t="shared" si="0"/>
        <v>0</v>
      </c>
    </row>
    <row r="67" spans="1:4" x14ac:dyDescent="0.25">
      <c r="A67" s="25" t="s">
        <v>62</v>
      </c>
      <c r="B67" s="26">
        <v>3531</v>
      </c>
      <c r="C67" s="925"/>
      <c r="D67" s="951">
        <f t="shared" si="0"/>
        <v>0</v>
      </c>
    </row>
    <row r="68" spans="1:4" x14ac:dyDescent="0.25">
      <c r="A68" s="25" t="s">
        <v>103</v>
      </c>
      <c r="B68" s="26">
        <v>3526</v>
      </c>
      <c r="C68" s="925"/>
      <c r="D68" s="951">
        <f t="shared" si="0"/>
        <v>0</v>
      </c>
    </row>
    <row r="69" spans="1:4" x14ac:dyDescent="0.25">
      <c r="A69" s="25" t="s">
        <v>104</v>
      </c>
      <c r="B69" s="26">
        <v>3535</v>
      </c>
      <c r="C69" s="925"/>
      <c r="D69" s="951">
        <f t="shared" si="0"/>
        <v>0</v>
      </c>
    </row>
    <row r="70" spans="1:4" x14ac:dyDescent="0.25">
      <c r="A70" s="945" t="s">
        <v>64</v>
      </c>
      <c r="B70" s="26">
        <v>2008</v>
      </c>
      <c r="C70" s="925"/>
      <c r="D70" s="951">
        <f t="shared" si="0"/>
        <v>0</v>
      </c>
    </row>
    <row r="71" spans="1:4" x14ac:dyDescent="0.25">
      <c r="A71" s="25" t="s">
        <v>105</v>
      </c>
      <c r="B71" s="26">
        <v>3542</v>
      </c>
      <c r="C71" s="925"/>
      <c r="D71" s="951">
        <f t="shared" si="0"/>
        <v>0</v>
      </c>
    </row>
    <row r="72" spans="1:4" x14ac:dyDescent="0.25">
      <c r="A72" s="25" t="s">
        <v>106</v>
      </c>
      <c r="B72" s="26">
        <v>3528</v>
      </c>
      <c r="C72" s="925"/>
      <c r="D72" s="951">
        <f t="shared" si="0"/>
        <v>0</v>
      </c>
    </row>
    <row r="73" spans="1:4" x14ac:dyDescent="0.25">
      <c r="A73" s="25" t="s">
        <v>107</v>
      </c>
      <c r="B73" s="26">
        <v>3534</v>
      </c>
      <c r="C73" s="925"/>
      <c r="D73" s="951">
        <f t="shared" ref="D73:D78" si="1">D$1*C73</f>
        <v>0</v>
      </c>
    </row>
    <row r="74" spans="1:4" x14ac:dyDescent="0.25">
      <c r="A74" s="25" t="s">
        <v>108</v>
      </c>
      <c r="B74" s="26">
        <v>3532</v>
      </c>
      <c r="C74" s="925"/>
      <c r="D74" s="951">
        <f t="shared" si="1"/>
        <v>0</v>
      </c>
    </row>
    <row r="75" spans="1:4" x14ac:dyDescent="0.25">
      <c r="A75" s="25" t="s">
        <v>65</v>
      </c>
      <c r="B75" s="26">
        <v>3546</v>
      </c>
      <c r="C75" s="925"/>
      <c r="D75" s="951">
        <f t="shared" si="1"/>
        <v>0</v>
      </c>
    </row>
    <row r="76" spans="1:4" x14ac:dyDescent="0.25">
      <c r="A76" s="25" t="s">
        <v>109</v>
      </c>
      <c r="B76" s="26">
        <v>3530</v>
      </c>
      <c r="C76" s="925"/>
      <c r="D76" s="951">
        <f t="shared" si="1"/>
        <v>0</v>
      </c>
    </row>
    <row r="77" spans="1:4" x14ac:dyDescent="0.25">
      <c r="A77" s="25" t="s">
        <v>67</v>
      </c>
      <c r="B77" s="26">
        <v>2459</v>
      </c>
      <c r="C77" s="925"/>
      <c r="D77" s="951">
        <f t="shared" si="1"/>
        <v>0</v>
      </c>
    </row>
    <row r="78" spans="1:4" x14ac:dyDescent="0.25">
      <c r="A78" s="9" t="s">
        <v>846</v>
      </c>
      <c r="B78" s="10">
        <v>4000</v>
      </c>
      <c r="C78" s="925"/>
      <c r="D78" s="951">
        <f t="shared" si="1"/>
        <v>0</v>
      </c>
    </row>
    <row r="79" spans="1:4" x14ac:dyDescent="0.25">
      <c r="A79" s="25"/>
      <c r="B79" s="26"/>
      <c r="C79" s="23"/>
      <c r="D79" s="952"/>
    </row>
    <row r="80" spans="1:4" x14ac:dyDescent="0.25">
      <c r="A80" s="24" t="s">
        <v>110</v>
      </c>
      <c r="B80" s="24" t="s">
        <v>110</v>
      </c>
      <c r="C80" s="29">
        <f>SUM(C7:C78)</f>
        <v>0</v>
      </c>
      <c r="D80" s="935">
        <f>SUM(D7:D78)</f>
        <v>0</v>
      </c>
    </row>
    <row r="81" spans="1:4" x14ac:dyDescent="0.25">
      <c r="A81" s="25"/>
      <c r="B81" s="26"/>
      <c r="C81" s="23"/>
      <c r="D81" s="952"/>
    </row>
    <row r="82" spans="1:4" x14ac:dyDescent="0.25">
      <c r="A82" s="25" t="s">
        <v>75</v>
      </c>
      <c r="B82" s="26">
        <v>5402</v>
      </c>
      <c r="C82" s="23">
        <v>179.11547525530258</v>
      </c>
      <c r="D82" s="951">
        <f>D$2*C82</f>
        <v>153888.85172034576</v>
      </c>
    </row>
    <row r="83" spans="1:4" x14ac:dyDescent="0.25">
      <c r="A83" s="25" t="s">
        <v>68</v>
      </c>
      <c r="B83" s="26">
        <v>4608</v>
      </c>
      <c r="C83" s="23">
        <v>174.66480446927383</v>
      </c>
      <c r="D83" s="951">
        <f t="shared" ref="D83:D96" si="2">D$2*C83</f>
        <v>150065.0134078213</v>
      </c>
    </row>
    <row r="84" spans="1:4" x14ac:dyDescent="0.25">
      <c r="A84" s="25" t="s">
        <v>111</v>
      </c>
      <c r="B84" s="26">
        <v>4178</v>
      </c>
      <c r="C84" s="23">
        <v>311.85336538461479</v>
      </c>
      <c r="D84" s="951">
        <f t="shared" si="2"/>
        <v>267931.93740384566</v>
      </c>
    </row>
    <row r="85" spans="1:4" x14ac:dyDescent="0.25">
      <c r="A85" s="25" t="s">
        <v>69</v>
      </c>
      <c r="B85" s="26">
        <v>4181</v>
      </c>
      <c r="C85" s="23">
        <v>282.59206798866904</v>
      </c>
      <c r="D85" s="951">
        <f t="shared" si="2"/>
        <v>242791.80113314488</v>
      </c>
    </row>
    <row r="86" spans="1:4" x14ac:dyDescent="0.25">
      <c r="A86" s="25" t="s">
        <v>70</v>
      </c>
      <c r="B86" s="26">
        <v>4182</v>
      </c>
      <c r="C86" s="23">
        <v>213.73535791757118</v>
      </c>
      <c r="D86" s="951">
        <f t="shared" si="2"/>
        <v>183632.87010846045</v>
      </c>
    </row>
    <row r="87" spans="1:4" x14ac:dyDescent="0.25">
      <c r="A87" s="25" t="s">
        <v>71</v>
      </c>
      <c r="B87" s="38">
        <v>4001</v>
      </c>
      <c r="C87" s="23">
        <v>347.4427860696519</v>
      </c>
      <c r="D87" s="951">
        <f t="shared" si="2"/>
        <v>298508.94407960214</v>
      </c>
    </row>
    <row r="88" spans="1:4" x14ac:dyDescent="0.25">
      <c r="A88" s="25" t="s">
        <v>112</v>
      </c>
      <c r="B88" s="26">
        <v>5406</v>
      </c>
      <c r="C88" s="23">
        <v>223.59566326530631</v>
      </c>
      <c r="D88" s="951">
        <f t="shared" si="2"/>
        <v>192104.45005102057</v>
      </c>
    </row>
    <row r="89" spans="1:4" x14ac:dyDescent="0.25">
      <c r="A89" s="25" t="s">
        <v>113</v>
      </c>
      <c r="B89" s="26">
        <v>5407</v>
      </c>
      <c r="C89" s="23">
        <v>328.01314553990562</v>
      </c>
      <c r="D89" s="951">
        <f t="shared" si="2"/>
        <v>281815.77412206528</v>
      </c>
    </row>
    <row r="90" spans="1:4" x14ac:dyDescent="0.25">
      <c r="A90" s="25" t="s">
        <v>72</v>
      </c>
      <c r="B90" s="26">
        <v>4607</v>
      </c>
      <c r="C90" s="23">
        <v>302.6153144940746</v>
      </c>
      <c r="D90" s="951">
        <f t="shared" si="2"/>
        <v>259994.97360072911</v>
      </c>
    </row>
    <row r="91" spans="1:4" x14ac:dyDescent="0.25">
      <c r="A91" s="25" t="s">
        <v>966</v>
      </c>
      <c r="B91" s="38">
        <v>4002</v>
      </c>
      <c r="C91" s="23">
        <v>332.24320457796875</v>
      </c>
      <c r="D91" s="951">
        <f t="shared" si="2"/>
        <v>285450.07164520764</v>
      </c>
    </row>
    <row r="92" spans="1:4" x14ac:dyDescent="0.25">
      <c r="A92" s="25" t="s">
        <v>74</v>
      </c>
      <c r="B92" s="26">
        <v>5412</v>
      </c>
      <c r="C92" s="23">
        <v>239.82495948136105</v>
      </c>
      <c r="D92" s="951">
        <f t="shared" si="2"/>
        <v>206048.01218800616</v>
      </c>
    </row>
    <row r="93" spans="1:4" x14ac:dyDescent="0.25">
      <c r="A93" s="25" t="s">
        <v>73</v>
      </c>
      <c r="B93" s="26">
        <v>5414</v>
      </c>
      <c r="C93" s="23">
        <v>178.21103581800546</v>
      </c>
      <c r="D93" s="951">
        <f t="shared" si="2"/>
        <v>153111.79353339758</v>
      </c>
    </row>
    <row r="94" spans="1:4" x14ac:dyDescent="0.25">
      <c r="A94" s="9" t="s">
        <v>1342</v>
      </c>
      <c r="B94" s="10">
        <v>4003</v>
      </c>
      <c r="C94" s="23">
        <v>55.284552845528403</v>
      </c>
      <c r="D94" s="951">
        <f t="shared" si="2"/>
        <v>47498.276422764182</v>
      </c>
    </row>
    <row r="95" spans="1:4" x14ac:dyDescent="0.25">
      <c r="A95" s="9" t="s">
        <v>846</v>
      </c>
      <c r="B95" s="10">
        <v>4000</v>
      </c>
      <c r="C95" s="23">
        <v>0</v>
      </c>
      <c r="D95" s="951">
        <f t="shared" si="2"/>
        <v>0</v>
      </c>
    </row>
    <row r="96" spans="1:4" x14ac:dyDescent="0.25">
      <c r="A96" s="9" t="s">
        <v>569</v>
      </c>
      <c r="B96" s="10">
        <v>6905</v>
      </c>
      <c r="C96" s="23">
        <v>132.63420724094871</v>
      </c>
      <c r="D96" s="951">
        <f t="shared" si="2"/>
        <v>113954.00549313349</v>
      </c>
    </row>
    <row r="97" spans="1:5" x14ac:dyDescent="0.25">
      <c r="A97" s="25"/>
      <c r="B97" s="26"/>
      <c r="C97" s="23"/>
      <c r="D97" s="952"/>
    </row>
    <row r="98" spans="1:5" x14ac:dyDescent="0.25">
      <c r="A98" s="24" t="s">
        <v>115</v>
      </c>
      <c r="B98" s="24" t="s">
        <v>115</v>
      </c>
      <c r="C98" s="29">
        <f>SUM(C82:C96)</f>
        <v>3301.825940348182</v>
      </c>
      <c r="D98" s="935">
        <f>SUM(D82:D96)</f>
        <v>2836796.7749095438</v>
      </c>
    </row>
    <row r="99" spans="1:5" x14ac:dyDescent="0.25">
      <c r="A99" s="24"/>
      <c r="B99" s="24"/>
      <c r="C99" s="29"/>
      <c r="D99" s="935"/>
    </row>
    <row r="100" spans="1:5" x14ac:dyDescent="0.25">
      <c r="A100" s="9" t="s">
        <v>114</v>
      </c>
      <c r="B100" s="26">
        <v>4177</v>
      </c>
      <c r="C100" s="23">
        <v>331.09090909090878</v>
      </c>
      <c r="D100" s="951">
        <f>D$2*C100</f>
        <v>284460.0654545452</v>
      </c>
    </row>
    <row r="101" spans="1:5" x14ac:dyDescent="0.25">
      <c r="A101" s="1"/>
      <c r="B101" s="24"/>
      <c r="C101" s="935"/>
      <c r="D101" s="935"/>
    </row>
    <row r="102" spans="1:5" x14ac:dyDescent="0.25">
      <c r="A102" s="1" t="s">
        <v>848</v>
      </c>
      <c r="B102" s="1" t="s">
        <v>849</v>
      </c>
      <c r="C102" s="935">
        <f>C100</f>
        <v>331.09090909090878</v>
      </c>
      <c r="D102" s="935">
        <f>D100</f>
        <v>284460.0654545452</v>
      </c>
    </row>
    <row r="103" spans="1:5" x14ac:dyDescent="0.25">
      <c r="A103" s="25"/>
      <c r="B103" s="26"/>
      <c r="C103" s="925"/>
      <c r="D103" s="952"/>
    </row>
    <row r="104" spans="1:5" x14ac:dyDescent="0.25">
      <c r="A104" s="24" t="s">
        <v>116</v>
      </c>
      <c r="B104" s="24" t="s">
        <v>117</v>
      </c>
      <c r="C104" s="1106">
        <f>C98+C80+C102</f>
        <v>3632.9168494390906</v>
      </c>
      <c r="D104" s="935">
        <f>D98+D80+D102</f>
        <v>3121256.8403640892</v>
      </c>
    </row>
    <row r="106" spans="1:5" x14ac:dyDescent="0.25">
      <c r="D106" s="937">
        <v>3121256.8403640892</v>
      </c>
    </row>
    <row r="107" spans="1:5" x14ac:dyDescent="0.25">
      <c r="D107" s="937">
        <f>D106-D104</f>
        <v>0</v>
      </c>
    </row>
    <row r="108" spans="1:5" x14ac:dyDescent="0.25">
      <c r="B108" s="30" t="s">
        <v>981</v>
      </c>
      <c r="C108" s="927">
        <v>3632.916849439091</v>
      </c>
      <c r="D108" s="927"/>
      <c r="E108" s="17"/>
    </row>
    <row r="109" spans="1:5" x14ac:dyDescent="0.25">
      <c r="B109" s="1" t="s">
        <v>855</v>
      </c>
      <c r="C109" s="927">
        <f>C108-C104</f>
        <v>0</v>
      </c>
      <c r="D109" s="953"/>
    </row>
    <row r="111" spans="1:5" x14ac:dyDescent="0.25">
      <c r="A111" t="s">
        <v>984</v>
      </c>
    </row>
    <row r="113" spans="1:2" x14ac:dyDescent="0.25">
      <c r="A113"/>
      <c r="B113"/>
    </row>
    <row r="114" spans="1:2" x14ac:dyDescent="0.25">
      <c r="A114"/>
      <c r="B114"/>
    </row>
    <row r="115" spans="1:2" x14ac:dyDescent="0.25">
      <c r="A115"/>
      <c r="B115"/>
    </row>
    <row r="116" spans="1:2" x14ac:dyDescent="0.25">
      <c r="A116" s="59" t="s">
        <v>238</v>
      </c>
      <c r="B116" s="59">
        <v>206189</v>
      </c>
    </row>
    <row r="117" spans="1:2" x14ac:dyDescent="0.25">
      <c r="A117" s="59" t="s">
        <v>1301</v>
      </c>
      <c r="B117" s="59">
        <v>2014</v>
      </c>
    </row>
    <row r="118" spans="1:2" x14ac:dyDescent="0.25">
      <c r="A118" s="59" t="s">
        <v>10</v>
      </c>
      <c r="B118" s="59">
        <v>2012</v>
      </c>
    </row>
    <row r="119" spans="1:2" x14ac:dyDescent="0.25">
      <c r="A119" s="59" t="s">
        <v>73</v>
      </c>
      <c r="B119" s="59">
        <v>5414</v>
      </c>
    </row>
    <row r="120" spans="1:2" x14ac:dyDescent="0.25">
      <c r="A120" s="59" t="s">
        <v>846</v>
      </c>
      <c r="B120" s="59">
        <v>4000</v>
      </c>
    </row>
    <row r="121" spans="1:2" x14ac:dyDescent="0.25">
      <c r="A121" s="59" t="s">
        <v>11</v>
      </c>
      <c r="B121" s="59">
        <v>2443</v>
      </c>
    </row>
    <row r="122" spans="1:2" x14ac:dyDescent="0.25">
      <c r="A122" s="59" t="s">
        <v>94</v>
      </c>
      <c r="B122" s="59">
        <v>2442</v>
      </c>
    </row>
    <row r="123" spans="1:2" x14ac:dyDescent="0.25">
      <c r="A123" s="59" t="s">
        <v>241</v>
      </c>
      <c r="B123" s="59" t="s">
        <v>242</v>
      </c>
    </row>
    <row r="124" spans="1:2" x14ac:dyDescent="0.25">
      <c r="A124" s="59" t="s">
        <v>13</v>
      </c>
      <c r="B124" s="59">
        <v>2629</v>
      </c>
    </row>
    <row r="125" spans="1:2" x14ac:dyDescent="0.25">
      <c r="A125" s="59" t="s">
        <v>14</v>
      </c>
      <c r="B125" s="59">
        <v>2509</v>
      </c>
    </row>
    <row r="126" spans="1:2" x14ac:dyDescent="0.25">
      <c r="A126" s="59" t="s">
        <v>2</v>
      </c>
      <c r="B126" s="59">
        <v>1014</v>
      </c>
    </row>
    <row r="127" spans="1:2" x14ac:dyDescent="0.25">
      <c r="A127" s="59" t="s">
        <v>15</v>
      </c>
      <c r="B127" s="59">
        <v>2005</v>
      </c>
    </row>
    <row r="128" spans="1:2" x14ac:dyDescent="0.25">
      <c r="A128" s="59" t="s">
        <v>16</v>
      </c>
      <c r="B128" s="59">
        <v>2464</v>
      </c>
    </row>
    <row r="129" spans="1:2" x14ac:dyDescent="0.25">
      <c r="A129" s="59" t="s">
        <v>706</v>
      </c>
      <c r="B129" s="59" t="s">
        <v>708</v>
      </c>
    </row>
    <row r="130" spans="1:2" x14ac:dyDescent="0.25">
      <c r="A130" s="59" t="s">
        <v>17</v>
      </c>
      <c r="B130" s="59">
        <v>2004</v>
      </c>
    </row>
    <row r="131" spans="1:2" x14ac:dyDescent="0.25">
      <c r="A131" s="59" t="s">
        <v>18</v>
      </c>
      <c r="B131" s="59">
        <v>2405</v>
      </c>
    </row>
    <row r="132" spans="1:2" x14ac:dyDescent="0.25">
      <c r="A132" s="59" t="s">
        <v>243</v>
      </c>
      <c r="B132" s="59" t="s">
        <v>245</v>
      </c>
    </row>
    <row r="133" spans="1:2" x14ac:dyDescent="0.25">
      <c r="A133" s="59" t="s">
        <v>250</v>
      </c>
      <c r="B133" s="59" t="s">
        <v>709</v>
      </c>
    </row>
    <row r="134" spans="1:2" x14ac:dyDescent="0.25">
      <c r="A134" s="59" t="s">
        <v>246</v>
      </c>
      <c r="B134" s="59" t="s">
        <v>247</v>
      </c>
    </row>
    <row r="135" spans="1:2" x14ac:dyDescent="0.25">
      <c r="A135" s="59" t="s">
        <v>248</v>
      </c>
      <c r="B135" s="59" t="s">
        <v>249</v>
      </c>
    </row>
    <row r="136" spans="1:2" x14ac:dyDescent="0.25">
      <c r="A136" s="59" t="s">
        <v>19</v>
      </c>
      <c r="B136" s="59">
        <v>2011</v>
      </c>
    </row>
    <row r="137" spans="1:2" x14ac:dyDescent="0.25">
      <c r="A137" s="59" t="s">
        <v>251</v>
      </c>
      <c r="B137" s="59" t="s">
        <v>252</v>
      </c>
    </row>
    <row r="138" spans="1:2" x14ac:dyDescent="0.25">
      <c r="A138" s="59" t="s">
        <v>20</v>
      </c>
      <c r="B138" s="59">
        <v>5201</v>
      </c>
    </row>
    <row r="139" spans="1:2" x14ac:dyDescent="0.25">
      <c r="A139" s="59" t="s">
        <v>253</v>
      </c>
      <c r="B139" s="59">
        <v>206124</v>
      </c>
    </row>
    <row r="140" spans="1:2" x14ac:dyDescent="0.25">
      <c r="A140" s="59" t="s">
        <v>21</v>
      </c>
      <c r="B140" s="59">
        <v>2433</v>
      </c>
    </row>
    <row r="141" spans="1:2" x14ac:dyDescent="0.25">
      <c r="A141" s="59" t="s">
        <v>22</v>
      </c>
      <c r="B141" s="59">
        <v>2432</v>
      </c>
    </row>
    <row r="142" spans="1:2" x14ac:dyDescent="0.25">
      <c r="A142" s="59" t="s">
        <v>256</v>
      </c>
      <c r="B142" s="59" t="s">
        <v>258</v>
      </c>
    </row>
    <row r="143" spans="1:2" x14ac:dyDescent="0.25">
      <c r="A143" s="59" t="s">
        <v>188</v>
      </c>
      <c r="B143" s="59">
        <v>2447</v>
      </c>
    </row>
    <row r="144" spans="1:2" x14ac:dyDescent="0.25">
      <c r="A144" s="59" t="s">
        <v>23</v>
      </c>
      <c r="B144" s="59">
        <v>2512</v>
      </c>
    </row>
    <row r="145" spans="1:2" x14ac:dyDescent="0.25">
      <c r="A145" s="59" t="s">
        <v>259</v>
      </c>
      <c r="B145" s="59">
        <v>206126</v>
      </c>
    </row>
    <row r="146" spans="1:2" x14ac:dyDescent="0.25">
      <c r="A146" s="59" t="s">
        <v>261</v>
      </c>
      <c r="B146" s="59">
        <v>206111</v>
      </c>
    </row>
    <row r="147" spans="1:2" x14ac:dyDescent="0.25">
      <c r="A147" s="59" t="s">
        <v>263</v>
      </c>
      <c r="B147" s="59">
        <v>206091</v>
      </c>
    </row>
    <row r="148" spans="1:2" x14ac:dyDescent="0.25">
      <c r="A148" s="59" t="s">
        <v>24</v>
      </c>
      <c r="B148" s="59">
        <v>2456</v>
      </c>
    </row>
    <row r="149" spans="1:2" x14ac:dyDescent="0.25">
      <c r="A149" s="59" t="s">
        <v>3</v>
      </c>
      <c r="B149" s="59">
        <v>1017</v>
      </c>
    </row>
    <row r="150" spans="1:2" x14ac:dyDescent="0.25">
      <c r="A150" s="59" t="s">
        <v>25</v>
      </c>
      <c r="B150" s="59">
        <v>2449</v>
      </c>
    </row>
    <row r="151" spans="1:2" x14ac:dyDescent="0.25">
      <c r="A151" s="59" t="s">
        <v>26</v>
      </c>
      <c r="B151" s="59">
        <v>2448</v>
      </c>
    </row>
    <row r="152" spans="1:2" x14ac:dyDescent="0.25">
      <c r="A152" s="59" t="s">
        <v>4</v>
      </c>
      <c r="B152" s="59">
        <v>1006</v>
      </c>
    </row>
    <row r="153" spans="1:2" x14ac:dyDescent="0.25">
      <c r="A153" s="59" t="s">
        <v>27</v>
      </c>
      <c r="B153" s="59">
        <v>2467</v>
      </c>
    </row>
    <row r="154" spans="1:2" x14ac:dyDescent="0.25">
      <c r="A154" s="59" t="s">
        <v>1373</v>
      </c>
      <c r="B154" s="59">
        <v>484300</v>
      </c>
    </row>
    <row r="155" spans="1:2" x14ac:dyDescent="0.25">
      <c r="A155" s="59" t="s">
        <v>75</v>
      </c>
      <c r="B155" s="59">
        <v>5402</v>
      </c>
    </row>
    <row r="156" spans="1:2" x14ac:dyDescent="0.25">
      <c r="A156" s="59" t="s">
        <v>28</v>
      </c>
      <c r="B156" s="59">
        <v>2455</v>
      </c>
    </row>
    <row r="157" spans="1:2" x14ac:dyDescent="0.25">
      <c r="A157" s="59" t="s">
        <v>29</v>
      </c>
      <c r="B157" s="59">
        <v>5203</v>
      </c>
    </row>
    <row r="158" spans="1:2" x14ac:dyDescent="0.25">
      <c r="A158" s="59" t="s">
        <v>30</v>
      </c>
      <c r="B158" s="59">
        <v>2451</v>
      </c>
    </row>
    <row r="159" spans="1:2" x14ac:dyDescent="0.25">
      <c r="A159" s="59" t="s">
        <v>265</v>
      </c>
      <c r="B159" s="59" t="s">
        <v>266</v>
      </c>
    </row>
    <row r="160" spans="1:2" x14ac:dyDescent="0.25">
      <c r="A160" s="59" t="s">
        <v>267</v>
      </c>
      <c r="B160" s="59">
        <v>206128</v>
      </c>
    </row>
    <row r="161" spans="1:2" x14ac:dyDescent="0.25">
      <c r="A161" s="59" t="s">
        <v>438</v>
      </c>
      <c r="B161" s="59">
        <v>4002</v>
      </c>
    </row>
    <row r="162" spans="1:2" x14ac:dyDescent="0.25">
      <c r="A162" s="59" t="s">
        <v>441</v>
      </c>
      <c r="B162" s="59">
        <v>2430</v>
      </c>
    </row>
    <row r="163" spans="1:2" x14ac:dyDescent="0.25">
      <c r="A163" s="59" t="s">
        <v>269</v>
      </c>
      <c r="B163" s="59" t="s">
        <v>710</v>
      </c>
    </row>
    <row r="164" spans="1:2" x14ac:dyDescent="0.25">
      <c r="A164" s="59" t="s">
        <v>711</v>
      </c>
      <c r="B164" s="59" t="s">
        <v>712</v>
      </c>
    </row>
    <row r="165" spans="1:2" x14ac:dyDescent="0.25">
      <c r="A165" s="59" t="s">
        <v>68</v>
      </c>
      <c r="B165" s="59">
        <v>4608</v>
      </c>
    </row>
    <row r="166" spans="1:2" x14ac:dyDescent="0.25">
      <c r="A166" s="59" t="s">
        <v>31</v>
      </c>
      <c r="B166" s="59">
        <v>2409</v>
      </c>
    </row>
    <row r="167" spans="1:2" x14ac:dyDescent="0.25">
      <c r="A167" s="59" t="s">
        <v>270</v>
      </c>
      <c r="B167" s="59" t="s">
        <v>271</v>
      </c>
    </row>
    <row r="168" spans="1:2" x14ac:dyDescent="0.25">
      <c r="A168" s="59" t="s">
        <v>1283</v>
      </c>
      <c r="B168" s="59" t="s">
        <v>714</v>
      </c>
    </row>
    <row r="169" spans="1:2" x14ac:dyDescent="0.25">
      <c r="A169" s="59" t="s">
        <v>525</v>
      </c>
      <c r="B169" s="59">
        <v>205921</v>
      </c>
    </row>
    <row r="170" spans="1:2" x14ac:dyDescent="0.25">
      <c r="A170" s="59" t="s">
        <v>1256</v>
      </c>
      <c r="B170" s="59" t="s">
        <v>719</v>
      </c>
    </row>
    <row r="171" spans="1:2" x14ac:dyDescent="0.25">
      <c r="A171" s="59" t="s">
        <v>1375</v>
      </c>
      <c r="B171" s="59">
        <v>398922</v>
      </c>
    </row>
    <row r="172" spans="1:2" x14ac:dyDescent="0.25">
      <c r="A172" s="59" t="s">
        <v>1374</v>
      </c>
      <c r="B172" s="59">
        <v>479804</v>
      </c>
    </row>
    <row r="173" spans="1:2" x14ac:dyDescent="0.25">
      <c r="A173" s="59" t="s">
        <v>524</v>
      </c>
      <c r="B173" s="59">
        <v>205999</v>
      </c>
    </row>
    <row r="174" spans="1:2" x14ac:dyDescent="0.25">
      <c r="A174" s="59" t="s">
        <v>523</v>
      </c>
      <c r="B174" s="59" t="s">
        <v>272</v>
      </c>
    </row>
    <row r="175" spans="1:2" x14ac:dyDescent="0.25">
      <c r="A175" s="59" t="s">
        <v>1257</v>
      </c>
      <c r="B175" s="59">
        <v>206065</v>
      </c>
    </row>
    <row r="176" spans="1:2" x14ac:dyDescent="0.25">
      <c r="A176" s="59" t="s">
        <v>1376</v>
      </c>
      <c r="B176" s="59">
        <v>314105</v>
      </c>
    </row>
    <row r="177" spans="1:2" x14ac:dyDescent="0.25">
      <c r="A177" s="59" t="s">
        <v>1400</v>
      </c>
      <c r="B177" s="59" t="s">
        <v>277</v>
      </c>
    </row>
    <row r="178" spans="1:2" x14ac:dyDescent="0.25">
      <c r="A178" s="59" t="s">
        <v>1377</v>
      </c>
      <c r="B178" s="59">
        <v>206076</v>
      </c>
    </row>
    <row r="179" spans="1:2" x14ac:dyDescent="0.25">
      <c r="A179" s="59" t="s">
        <v>561</v>
      </c>
      <c r="B179" s="59" t="s">
        <v>727</v>
      </c>
    </row>
    <row r="180" spans="1:2" x14ac:dyDescent="0.25">
      <c r="A180" s="59" t="s">
        <v>1399</v>
      </c>
      <c r="B180" s="59" t="s">
        <v>730</v>
      </c>
    </row>
    <row r="181" spans="1:2" x14ac:dyDescent="0.25">
      <c r="A181" s="59" t="s">
        <v>562</v>
      </c>
      <c r="B181" s="59" t="s">
        <v>275</v>
      </c>
    </row>
    <row r="182" spans="1:2" x14ac:dyDescent="0.25">
      <c r="A182" s="59" t="s">
        <v>1258</v>
      </c>
      <c r="B182" s="59" t="s">
        <v>724</v>
      </c>
    </row>
    <row r="183" spans="1:2" x14ac:dyDescent="0.25">
      <c r="A183" s="59" t="s">
        <v>1259</v>
      </c>
      <c r="B183" s="59">
        <v>205919</v>
      </c>
    </row>
    <row r="184" spans="1:2" x14ac:dyDescent="0.25">
      <c r="A184" s="59" t="s">
        <v>526</v>
      </c>
      <c r="B184" s="59" t="s">
        <v>276</v>
      </c>
    </row>
    <row r="185" spans="1:2" x14ac:dyDescent="0.25">
      <c r="A185" s="59" t="s">
        <v>1378</v>
      </c>
      <c r="B185" s="59">
        <v>477405</v>
      </c>
    </row>
    <row r="186" spans="1:2" x14ac:dyDescent="0.25">
      <c r="A186" s="59" t="s">
        <v>1260</v>
      </c>
      <c r="B186" s="59" t="s">
        <v>734</v>
      </c>
    </row>
    <row r="187" spans="1:2" x14ac:dyDescent="0.25">
      <c r="A187" s="59" t="s">
        <v>1379</v>
      </c>
      <c r="B187" s="59">
        <v>401536</v>
      </c>
    </row>
    <row r="188" spans="1:2" x14ac:dyDescent="0.25">
      <c r="A188" s="59" t="s">
        <v>1261</v>
      </c>
      <c r="B188" s="59" t="s">
        <v>736</v>
      </c>
    </row>
    <row r="189" spans="1:2" x14ac:dyDescent="0.25">
      <c r="A189" s="59" t="s">
        <v>1263</v>
      </c>
      <c r="B189" s="59" t="s">
        <v>739</v>
      </c>
    </row>
    <row r="190" spans="1:2" x14ac:dyDescent="0.25">
      <c r="A190" s="59" t="s">
        <v>1262</v>
      </c>
      <c r="B190" s="59">
        <v>205849</v>
      </c>
    </row>
    <row r="191" spans="1:2" x14ac:dyDescent="0.25">
      <c r="A191" s="59" t="s">
        <v>566</v>
      </c>
      <c r="B191" s="59" t="s">
        <v>273</v>
      </c>
    </row>
    <row r="192" spans="1:2" x14ac:dyDescent="0.25">
      <c r="A192" s="59" t="s">
        <v>1264</v>
      </c>
      <c r="B192" s="59" t="s">
        <v>741</v>
      </c>
    </row>
    <row r="193" spans="1:2" x14ac:dyDescent="0.25">
      <c r="A193" s="59" t="s">
        <v>1268</v>
      </c>
      <c r="B193" s="59">
        <v>205922</v>
      </c>
    </row>
    <row r="194" spans="1:2" x14ac:dyDescent="0.25">
      <c r="A194" s="59" t="s">
        <v>1267</v>
      </c>
      <c r="B194" s="59">
        <v>205881</v>
      </c>
    </row>
    <row r="195" spans="1:2" x14ac:dyDescent="0.25">
      <c r="A195" s="59" t="s">
        <v>1265</v>
      </c>
      <c r="B195" s="59" t="s">
        <v>744</v>
      </c>
    </row>
    <row r="196" spans="1:2" x14ac:dyDescent="0.25">
      <c r="A196" s="59" t="s">
        <v>527</v>
      </c>
      <c r="B196" s="59" t="s">
        <v>278</v>
      </c>
    </row>
    <row r="197" spans="1:2" x14ac:dyDescent="0.25">
      <c r="A197" s="59" t="s">
        <v>1266</v>
      </c>
      <c r="B197" s="59" t="s">
        <v>749</v>
      </c>
    </row>
    <row r="198" spans="1:2" x14ac:dyDescent="0.25">
      <c r="A198" s="59" t="s">
        <v>1380</v>
      </c>
      <c r="B198" s="59">
        <v>462623</v>
      </c>
    </row>
    <row r="199" spans="1:2" x14ac:dyDescent="0.25">
      <c r="A199" s="59" t="s">
        <v>750</v>
      </c>
      <c r="B199" s="59" t="s">
        <v>751</v>
      </c>
    </row>
    <row r="200" spans="1:2" x14ac:dyDescent="0.25">
      <c r="A200" s="59" t="s">
        <v>1269</v>
      </c>
      <c r="B200" s="59" t="s">
        <v>754</v>
      </c>
    </row>
    <row r="201" spans="1:2" x14ac:dyDescent="0.25">
      <c r="A201" s="59" t="s">
        <v>528</v>
      </c>
      <c r="B201" s="59">
        <v>2</v>
      </c>
    </row>
    <row r="202" spans="1:2" x14ac:dyDescent="0.25">
      <c r="A202" s="59" t="s">
        <v>1270</v>
      </c>
      <c r="B202" s="59" t="s">
        <v>621</v>
      </c>
    </row>
    <row r="203" spans="1:2" x14ac:dyDescent="0.25">
      <c r="A203" s="59" t="s">
        <v>1271</v>
      </c>
      <c r="B203" s="59" t="s">
        <v>639</v>
      </c>
    </row>
    <row r="204" spans="1:2" x14ac:dyDescent="0.25">
      <c r="A204" s="59" t="s">
        <v>1271</v>
      </c>
      <c r="B204" s="59">
        <v>205878</v>
      </c>
    </row>
    <row r="205" spans="1:2" x14ac:dyDescent="0.25">
      <c r="A205" s="59" t="s">
        <v>529</v>
      </c>
      <c r="B205" s="59">
        <v>205956</v>
      </c>
    </row>
    <row r="206" spans="1:2" x14ac:dyDescent="0.25">
      <c r="A206" s="59" t="s">
        <v>1273</v>
      </c>
      <c r="B206" s="59" t="s">
        <v>759</v>
      </c>
    </row>
    <row r="207" spans="1:2" x14ac:dyDescent="0.25">
      <c r="A207" s="59" t="s">
        <v>1382</v>
      </c>
      <c r="B207" s="59">
        <v>472319</v>
      </c>
    </row>
    <row r="208" spans="1:2" x14ac:dyDescent="0.25">
      <c r="A208" s="59" t="s">
        <v>1272</v>
      </c>
      <c r="B208" s="59">
        <v>260849</v>
      </c>
    </row>
    <row r="209" spans="1:2" x14ac:dyDescent="0.25">
      <c r="A209" s="59" t="s">
        <v>1383</v>
      </c>
      <c r="B209" s="59">
        <v>482805</v>
      </c>
    </row>
    <row r="210" spans="1:2" x14ac:dyDescent="0.25">
      <c r="A210" s="59" t="s">
        <v>1381</v>
      </c>
      <c r="B210" s="59">
        <v>447579</v>
      </c>
    </row>
    <row r="211" spans="1:2" x14ac:dyDescent="0.25">
      <c r="A211" s="59" t="s">
        <v>1274</v>
      </c>
      <c r="B211" s="59" t="s">
        <v>280</v>
      </c>
    </row>
    <row r="212" spans="1:2" x14ac:dyDescent="0.25">
      <c r="A212" s="59" t="s">
        <v>1275</v>
      </c>
      <c r="B212" s="59" t="s">
        <v>762</v>
      </c>
    </row>
    <row r="213" spans="1:2" x14ac:dyDescent="0.25">
      <c r="A213" s="59" t="s">
        <v>1277</v>
      </c>
      <c r="B213" s="59" t="s">
        <v>766</v>
      </c>
    </row>
    <row r="214" spans="1:2" x14ac:dyDescent="0.25">
      <c r="A214" s="59" t="s">
        <v>1276</v>
      </c>
      <c r="B214" s="59" t="s">
        <v>764</v>
      </c>
    </row>
    <row r="215" spans="1:2" x14ac:dyDescent="0.25">
      <c r="A215" s="59" t="s">
        <v>1279</v>
      </c>
      <c r="B215" s="59" t="s">
        <v>771</v>
      </c>
    </row>
    <row r="216" spans="1:2" x14ac:dyDescent="0.25">
      <c r="A216" s="437" t="s">
        <v>1278</v>
      </c>
      <c r="B216" s="529" t="s">
        <v>768</v>
      </c>
    </row>
    <row r="217" spans="1:2" x14ac:dyDescent="0.25">
      <c r="A217" s="437" t="s">
        <v>564</v>
      </c>
      <c r="B217" s="529" t="s">
        <v>281</v>
      </c>
    </row>
    <row r="218" spans="1:2" x14ac:dyDescent="0.25">
      <c r="A218" s="59" t="s">
        <v>1284</v>
      </c>
      <c r="B218" s="59" t="s">
        <v>774</v>
      </c>
    </row>
    <row r="219" spans="1:2" x14ac:dyDescent="0.25">
      <c r="A219" s="59" t="s">
        <v>1384</v>
      </c>
      <c r="B219" s="59">
        <v>484039</v>
      </c>
    </row>
    <row r="220" spans="1:2" x14ac:dyDescent="0.25">
      <c r="A220" s="59" t="s">
        <v>1285</v>
      </c>
      <c r="B220" s="59" t="s">
        <v>776</v>
      </c>
    </row>
    <row r="221" spans="1:2" x14ac:dyDescent="0.25">
      <c r="A221" s="59" t="s">
        <v>1385</v>
      </c>
      <c r="B221" s="59">
        <v>343478</v>
      </c>
    </row>
    <row r="222" spans="1:2" x14ac:dyDescent="0.25">
      <c r="A222" s="59" t="s">
        <v>532</v>
      </c>
      <c r="B222" s="59" t="s">
        <v>283</v>
      </c>
    </row>
    <row r="223" spans="1:2" x14ac:dyDescent="0.25">
      <c r="A223" s="59" t="s">
        <v>1280</v>
      </c>
      <c r="B223" s="59">
        <v>206031</v>
      </c>
    </row>
    <row r="224" spans="1:2" x14ac:dyDescent="0.25">
      <c r="A224" s="59" t="s">
        <v>531</v>
      </c>
      <c r="B224" s="59" t="s">
        <v>284</v>
      </c>
    </row>
    <row r="225" spans="1:2" x14ac:dyDescent="0.25">
      <c r="A225" s="59" t="s">
        <v>530</v>
      </c>
      <c r="B225" s="59" t="s">
        <v>282</v>
      </c>
    </row>
    <row r="226" spans="1:2" x14ac:dyDescent="0.25">
      <c r="A226" s="59" t="s">
        <v>1281</v>
      </c>
      <c r="B226" s="59" t="s">
        <v>781</v>
      </c>
    </row>
    <row r="227" spans="1:2" x14ac:dyDescent="0.25">
      <c r="A227" s="59" t="s">
        <v>1255</v>
      </c>
      <c r="B227" s="59" t="s">
        <v>285</v>
      </c>
    </row>
    <row r="228" spans="1:2" x14ac:dyDescent="0.25">
      <c r="A228" s="59" t="s">
        <v>1289</v>
      </c>
      <c r="B228" s="59">
        <v>260848</v>
      </c>
    </row>
    <row r="229" spans="1:2" x14ac:dyDescent="0.25">
      <c r="A229" s="59" t="s">
        <v>565</v>
      </c>
      <c r="B229" s="59">
        <v>206043</v>
      </c>
    </row>
    <row r="230" spans="1:2" x14ac:dyDescent="0.25">
      <c r="A230" s="59" t="s">
        <v>533</v>
      </c>
      <c r="B230" s="59" t="s">
        <v>286</v>
      </c>
    </row>
    <row r="231" spans="1:2" x14ac:dyDescent="0.25">
      <c r="A231" s="59" t="s">
        <v>533</v>
      </c>
      <c r="B231" s="59">
        <v>505502</v>
      </c>
    </row>
    <row r="232" spans="1:2" x14ac:dyDescent="0.25">
      <c r="A232" s="59" t="s">
        <v>563</v>
      </c>
      <c r="B232" s="59">
        <v>205978</v>
      </c>
    </row>
    <row r="233" spans="1:2" x14ac:dyDescent="0.25">
      <c r="A233" s="59" t="s">
        <v>1296</v>
      </c>
      <c r="B233" s="59">
        <v>435150</v>
      </c>
    </row>
    <row r="234" spans="1:2" x14ac:dyDescent="0.25">
      <c r="A234" s="59" t="s">
        <v>1288</v>
      </c>
      <c r="B234" s="59">
        <v>206067</v>
      </c>
    </row>
    <row r="235" spans="1:2" x14ac:dyDescent="0.25">
      <c r="A235" s="59" t="s">
        <v>534</v>
      </c>
      <c r="B235" s="59" t="s">
        <v>287</v>
      </c>
    </row>
    <row r="236" spans="1:2" x14ac:dyDescent="0.25">
      <c r="A236" s="59" t="s">
        <v>1282</v>
      </c>
      <c r="B236" s="59" t="s">
        <v>279</v>
      </c>
    </row>
    <row r="237" spans="1:2" x14ac:dyDescent="0.25">
      <c r="A237" s="59" t="s">
        <v>535</v>
      </c>
      <c r="B237" s="59" t="s">
        <v>288</v>
      </c>
    </row>
    <row r="238" spans="1:2" x14ac:dyDescent="0.25">
      <c r="A238" s="59" t="s">
        <v>1286</v>
      </c>
      <c r="B238" s="59" t="s">
        <v>793</v>
      </c>
    </row>
    <row r="239" spans="1:2" x14ac:dyDescent="0.25">
      <c r="A239" s="59" t="s">
        <v>1386</v>
      </c>
      <c r="B239" s="59">
        <v>414019</v>
      </c>
    </row>
    <row r="240" spans="1:2" x14ac:dyDescent="0.25">
      <c r="A240" s="59" t="s">
        <v>567</v>
      </c>
      <c r="B240" s="59" t="s">
        <v>274</v>
      </c>
    </row>
    <row r="241" spans="1:2" x14ac:dyDescent="0.25">
      <c r="A241" s="59" t="s">
        <v>1387</v>
      </c>
      <c r="B241" s="59">
        <v>458078</v>
      </c>
    </row>
    <row r="242" spans="1:2" x14ac:dyDescent="0.25">
      <c r="A242" s="59" t="s">
        <v>1287</v>
      </c>
      <c r="B242" s="59" t="s">
        <v>795</v>
      </c>
    </row>
    <row r="243" spans="1:2" x14ac:dyDescent="0.25">
      <c r="A243" s="59" t="s">
        <v>289</v>
      </c>
      <c r="B243" s="59" t="s">
        <v>290</v>
      </c>
    </row>
    <row r="244" spans="1:2" x14ac:dyDescent="0.25">
      <c r="A244" s="59" t="s">
        <v>1306</v>
      </c>
      <c r="B244" s="59">
        <v>4003</v>
      </c>
    </row>
    <row r="245" spans="1:2" x14ac:dyDescent="0.25">
      <c r="A245" s="59" t="s">
        <v>797</v>
      </c>
      <c r="B245" s="59" t="s">
        <v>798</v>
      </c>
    </row>
    <row r="246" spans="1:2" x14ac:dyDescent="0.25">
      <c r="A246" s="59" t="s">
        <v>291</v>
      </c>
      <c r="B246" s="59" t="s">
        <v>293</v>
      </c>
    </row>
    <row r="247" spans="1:2" x14ac:dyDescent="0.25">
      <c r="A247" s="59" t="s">
        <v>111</v>
      </c>
      <c r="B247" s="59">
        <v>4178</v>
      </c>
    </row>
    <row r="248" spans="1:2" x14ac:dyDescent="0.25">
      <c r="A248" s="59" t="s">
        <v>98</v>
      </c>
      <c r="B248" s="59">
        <v>3158</v>
      </c>
    </row>
    <row r="249" spans="1:2" x14ac:dyDescent="0.25">
      <c r="A249" s="59" t="s">
        <v>32</v>
      </c>
      <c r="B249" s="59">
        <v>2619</v>
      </c>
    </row>
    <row r="250" spans="1:2" x14ac:dyDescent="0.25">
      <c r="A250" s="59" t="s">
        <v>1388</v>
      </c>
      <c r="B250" s="59">
        <v>479542</v>
      </c>
    </row>
    <row r="251" spans="1:2" x14ac:dyDescent="0.25">
      <c r="A251" s="59" t="s">
        <v>1389</v>
      </c>
      <c r="B251" s="59" t="s">
        <v>1390</v>
      </c>
    </row>
    <row r="252" spans="1:2" x14ac:dyDescent="0.25">
      <c r="A252" s="59" t="s">
        <v>799</v>
      </c>
      <c r="B252" s="59" t="s">
        <v>800</v>
      </c>
    </row>
    <row r="253" spans="1:2" x14ac:dyDescent="0.25">
      <c r="A253" s="59" t="s">
        <v>1391</v>
      </c>
      <c r="B253" s="59">
        <v>487369</v>
      </c>
    </row>
    <row r="254" spans="1:2" x14ac:dyDescent="0.25">
      <c r="A254" s="59" t="s">
        <v>1392</v>
      </c>
      <c r="B254" s="59">
        <v>477763</v>
      </c>
    </row>
    <row r="255" spans="1:2" x14ac:dyDescent="0.25">
      <c r="A255" s="59" t="s">
        <v>294</v>
      </c>
      <c r="B255" s="59" t="s">
        <v>295</v>
      </c>
    </row>
    <row r="256" spans="1:2" x14ac:dyDescent="0.25">
      <c r="A256" s="59" t="s">
        <v>296</v>
      </c>
      <c r="B256" s="59">
        <v>258417</v>
      </c>
    </row>
    <row r="257" spans="1:2" x14ac:dyDescent="0.25">
      <c r="A257" s="59" t="s">
        <v>298</v>
      </c>
      <c r="B257" s="59" t="s">
        <v>300</v>
      </c>
    </row>
    <row r="258" spans="1:2" x14ac:dyDescent="0.25">
      <c r="A258" s="59" t="s">
        <v>301</v>
      </c>
      <c r="B258" s="59" t="s">
        <v>303</v>
      </c>
    </row>
    <row r="259" spans="1:2" x14ac:dyDescent="0.25">
      <c r="A259" s="59" t="s">
        <v>33</v>
      </c>
      <c r="B259" s="59">
        <v>2518</v>
      </c>
    </row>
    <row r="260" spans="1:2" x14ac:dyDescent="0.25">
      <c r="A260" s="59" t="s">
        <v>801</v>
      </c>
      <c r="B260" s="59" t="s">
        <v>802</v>
      </c>
    </row>
    <row r="261" spans="1:2" x14ac:dyDescent="0.25">
      <c r="A261" s="59" t="s">
        <v>304</v>
      </c>
      <c r="B261" s="59">
        <v>206106</v>
      </c>
    </row>
    <row r="262" spans="1:2" x14ac:dyDescent="0.25">
      <c r="A262" s="59" t="s">
        <v>306</v>
      </c>
      <c r="B262" s="59" t="s">
        <v>307</v>
      </c>
    </row>
    <row r="263" spans="1:2" x14ac:dyDescent="0.25">
      <c r="A263" s="59" t="s">
        <v>803</v>
      </c>
      <c r="B263" s="59" t="s">
        <v>804</v>
      </c>
    </row>
    <row r="264" spans="1:2" x14ac:dyDescent="0.25">
      <c r="A264" s="59" t="s">
        <v>34</v>
      </c>
      <c r="B264" s="59">
        <v>2457</v>
      </c>
    </row>
    <row r="265" spans="1:2" x14ac:dyDescent="0.25">
      <c r="A265" s="59" t="s">
        <v>99</v>
      </c>
      <c r="B265" s="59">
        <v>2010</v>
      </c>
    </row>
    <row r="266" spans="1:2" x14ac:dyDescent="0.25">
      <c r="A266" s="59" t="s">
        <v>35</v>
      </c>
      <c r="B266" s="59">
        <v>2002</v>
      </c>
    </row>
    <row r="267" spans="1:2" x14ac:dyDescent="0.25">
      <c r="A267" s="59" t="s">
        <v>36</v>
      </c>
      <c r="B267" s="59">
        <v>3544</v>
      </c>
    </row>
    <row r="268" spans="1:2" x14ac:dyDescent="0.25">
      <c r="A268" s="59" t="s">
        <v>5</v>
      </c>
      <c r="B268" s="59">
        <v>1008</v>
      </c>
    </row>
    <row r="269" spans="1:2" x14ac:dyDescent="0.25">
      <c r="A269" s="59" t="s">
        <v>308</v>
      </c>
      <c r="B269" s="59" t="s">
        <v>309</v>
      </c>
    </row>
    <row r="270" spans="1:2" x14ac:dyDescent="0.25">
      <c r="A270" s="59" t="s">
        <v>100</v>
      </c>
      <c r="B270" s="59">
        <v>2006</v>
      </c>
    </row>
    <row r="271" spans="1:2" x14ac:dyDescent="0.25">
      <c r="A271" s="59" t="s">
        <v>310</v>
      </c>
      <c r="B271" s="59" t="s">
        <v>311</v>
      </c>
    </row>
    <row r="272" spans="1:2" x14ac:dyDescent="0.25">
      <c r="A272" s="59" t="s">
        <v>312</v>
      </c>
      <c r="B272" s="59">
        <v>206133</v>
      </c>
    </row>
    <row r="273" spans="1:2" x14ac:dyDescent="0.25">
      <c r="A273" s="59" t="s">
        <v>806</v>
      </c>
      <c r="B273" s="59" t="s">
        <v>807</v>
      </c>
    </row>
    <row r="274" spans="1:2" x14ac:dyDescent="0.25">
      <c r="A274" s="59" t="s">
        <v>314</v>
      </c>
      <c r="B274" s="59" t="s">
        <v>316</v>
      </c>
    </row>
    <row r="275" spans="1:2" x14ac:dyDescent="0.25">
      <c r="A275" s="59" t="s">
        <v>317</v>
      </c>
      <c r="B275" s="59">
        <v>206134</v>
      </c>
    </row>
    <row r="276" spans="1:2" x14ac:dyDescent="0.25">
      <c r="A276" s="59" t="s">
        <v>321</v>
      </c>
      <c r="B276" s="59" t="s">
        <v>322</v>
      </c>
    </row>
    <row r="277" spans="1:2" x14ac:dyDescent="0.25">
      <c r="A277" s="59" t="s">
        <v>319</v>
      </c>
      <c r="B277" s="59" t="s">
        <v>320</v>
      </c>
    </row>
    <row r="278" spans="1:2" x14ac:dyDescent="0.25">
      <c r="A278" s="59" t="s">
        <v>323</v>
      </c>
      <c r="B278" s="59" t="s">
        <v>324</v>
      </c>
    </row>
    <row r="279" spans="1:2" x14ac:dyDescent="0.25">
      <c r="A279" s="59" t="s">
        <v>325</v>
      </c>
      <c r="B279" s="59">
        <v>206109</v>
      </c>
    </row>
    <row r="280" spans="1:2" x14ac:dyDescent="0.25">
      <c r="A280" s="59" t="s">
        <v>37</v>
      </c>
      <c r="B280" s="59">
        <v>2434</v>
      </c>
    </row>
    <row r="281" spans="1:2" x14ac:dyDescent="0.25">
      <c r="A281" s="59" t="s">
        <v>42</v>
      </c>
      <c r="B281" s="59">
        <v>2009</v>
      </c>
    </row>
    <row r="282" spans="1:2" x14ac:dyDescent="0.25">
      <c r="A282" s="59" t="s">
        <v>569</v>
      </c>
      <c r="B282" s="59">
        <v>6905</v>
      </c>
    </row>
    <row r="283" spans="1:2" x14ac:dyDescent="0.25">
      <c r="A283" s="59" t="s">
        <v>38</v>
      </c>
      <c r="B283" s="59">
        <v>2522</v>
      </c>
    </row>
    <row r="284" spans="1:2" x14ac:dyDescent="0.25">
      <c r="A284" s="59" t="s">
        <v>327</v>
      </c>
      <c r="B284" s="59">
        <v>206110</v>
      </c>
    </row>
    <row r="285" spans="1:2" x14ac:dyDescent="0.25">
      <c r="A285" s="59" t="s">
        <v>329</v>
      </c>
      <c r="B285" s="59">
        <v>206135</v>
      </c>
    </row>
    <row r="286" spans="1:2" x14ac:dyDescent="0.25">
      <c r="A286" s="59" t="s">
        <v>69</v>
      </c>
      <c r="B286" s="59">
        <v>4181</v>
      </c>
    </row>
    <row r="287" spans="1:2" x14ac:dyDescent="0.25">
      <c r="A287" s="59" t="s">
        <v>331</v>
      </c>
      <c r="B287" s="59">
        <v>509195</v>
      </c>
    </row>
    <row r="288" spans="1:2" x14ac:dyDescent="0.25">
      <c r="A288" s="59" t="s">
        <v>1393</v>
      </c>
      <c r="B288" s="59">
        <v>480857</v>
      </c>
    </row>
    <row r="289" spans="1:2" x14ac:dyDescent="0.25">
      <c r="A289" s="59" t="s">
        <v>333</v>
      </c>
      <c r="B289" s="59" t="s">
        <v>334</v>
      </c>
    </row>
    <row r="290" spans="1:2" x14ac:dyDescent="0.25">
      <c r="A290" s="59" t="s">
        <v>335</v>
      </c>
      <c r="B290" s="59" t="s">
        <v>336</v>
      </c>
    </row>
    <row r="291" spans="1:2" x14ac:dyDescent="0.25">
      <c r="A291" s="59" t="s">
        <v>1394</v>
      </c>
      <c r="B291" s="59">
        <v>492973</v>
      </c>
    </row>
    <row r="292" spans="1:2" x14ac:dyDescent="0.25">
      <c r="A292" s="59" t="s">
        <v>337</v>
      </c>
      <c r="B292" s="59" t="s">
        <v>339</v>
      </c>
    </row>
    <row r="293" spans="1:2" x14ac:dyDescent="0.25">
      <c r="A293" s="59" t="s">
        <v>340</v>
      </c>
      <c r="B293" s="59">
        <v>509199</v>
      </c>
    </row>
    <row r="294" spans="1:2" x14ac:dyDescent="0.25">
      <c r="A294" s="59" t="s">
        <v>342</v>
      </c>
      <c r="B294" s="59">
        <v>509197</v>
      </c>
    </row>
    <row r="295" spans="1:2" x14ac:dyDescent="0.25">
      <c r="A295" s="59" t="s">
        <v>808</v>
      </c>
      <c r="B295" s="59">
        <v>479383</v>
      </c>
    </row>
    <row r="296" spans="1:2" x14ac:dyDescent="0.25">
      <c r="A296" s="59" t="s">
        <v>347</v>
      </c>
      <c r="B296" s="59" t="s">
        <v>348</v>
      </c>
    </row>
    <row r="297" spans="1:2" x14ac:dyDescent="0.25">
      <c r="A297" s="59" t="s">
        <v>70</v>
      </c>
      <c r="B297" s="59">
        <v>4182</v>
      </c>
    </row>
    <row r="298" spans="1:2" x14ac:dyDescent="0.25">
      <c r="A298" s="59" t="s">
        <v>344</v>
      </c>
      <c r="B298" s="59" t="s">
        <v>346</v>
      </c>
    </row>
    <row r="299" spans="1:2" x14ac:dyDescent="0.25">
      <c r="A299" s="59" t="s">
        <v>6</v>
      </c>
      <c r="B299" s="59">
        <v>1005</v>
      </c>
    </row>
    <row r="300" spans="1:2" x14ac:dyDescent="0.25">
      <c r="A300" s="59" t="s">
        <v>809</v>
      </c>
      <c r="B300" s="59" t="s">
        <v>810</v>
      </c>
    </row>
    <row r="301" spans="1:2" x14ac:dyDescent="0.25">
      <c r="A301" s="59" t="s">
        <v>39</v>
      </c>
      <c r="B301" s="59">
        <v>2436</v>
      </c>
    </row>
    <row r="302" spans="1:2" x14ac:dyDescent="0.25">
      <c r="A302" s="59" t="s">
        <v>349</v>
      </c>
      <c r="B302" s="59">
        <v>206117</v>
      </c>
    </row>
    <row r="303" spans="1:2" x14ac:dyDescent="0.25">
      <c r="A303" s="59" t="s">
        <v>40</v>
      </c>
      <c r="B303" s="59">
        <v>2452</v>
      </c>
    </row>
    <row r="304" spans="1:2" x14ac:dyDescent="0.25">
      <c r="A304" s="59" t="s">
        <v>71</v>
      </c>
      <c r="B304" s="59">
        <v>4001</v>
      </c>
    </row>
    <row r="305" spans="1:2" x14ac:dyDescent="0.25">
      <c r="A305" s="59" t="s">
        <v>351</v>
      </c>
      <c r="B305" s="59">
        <v>206141</v>
      </c>
    </row>
    <row r="306" spans="1:2" x14ac:dyDescent="0.25">
      <c r="A306" s="59" t="s">
        <v>41</v>
      </c>
      <c r="B306" s="59">
        <v>2627</v>
      </c>
    </row>
    <row r="307" spans="1:2" x14ac:dyDescent="0.25">
      <c r="A307" s="59" t="s">
        <v>112</v>
      </c>
      <c r="B307" s="59">
        <v>5406</v>
      </c>
    </row>
    <row r="308" spans="1:2" x14ac:dyDescent="0.25">
      <c r="A308" s="59" t="s">
        <v>113</v>
      </c>
      <c r="B308" s="59">
        <v>5407</v>
      </c>
    </row>
    <row r="309" spans="1:2" x14ac:dyDescent="0.25">
      <c r="A309" s="59" t="s">
        <v>353</v>
      </c>
      <c r="B309" s="59" t="s">
        <v>355</v>
      </c>
    </row>
    <row r="310" spans="1:2" x14ac:dyDescent="0.25">
      <c r="A310" s="59" t="s">
        <v>356</v>
      </c>
      <c r="B310" s="59">
        <v>258404</v>
      </c>
    </row>
    <row r="311" spans="1:2" x14ac:dyDescent="0.25">
      <c r="A311" s="59" t="s">
        <v>101</v>
      </c>
      <c r="B311" s="59">
        <v>2473</v>
      </c>
    </row>
    <row r="312" spans="1:2" x14ac:dyDescent="0.25">
      <c r="A312" s="59" t="s">
        <v>44</v>
      </c>
      <c r="B312" s="59">
        <v>2471</v>
      </c>
    </row>
    <row r="313" spans="1:2" x14ac:dyDescent="0.25">
      <c r="A313" s="59" t="s">
        <v>358</v>
      </c>
      <c r="B313" s="59">
        <v>258405</v>
      </c>
    </row>
    <row r="314" spans="1:2" x14ac:dyDescent="0.25">
      <c r="A314" s="59" t="s">
        <v>360</v>
      </c>
      <c r="B314" s="59">
        <v>258406</v>
      </c>
    </row>
    <row r="315" spans="1:2" x14ac:dyDescent="0.25">
      <c r="A315" s="59" t="s">
        <v>1395</v>
      </c>
      <c r="B315" s="59">
        <v>206145</v>
      </c>
    </row>
    <row r="316" spans="1:2" x14ac:dyDescent="0.25">
      <c r="A316" s="59" t="s">
        <v>43</v>
      </c>
      <c r="B316" s="59">
        <v>2420</v>
      </c>
    </row>
    <row r="317" spans="1:2" x14ac:dyDescent="0.25">
      <c r="A317" s="59" t="s">
        <v>362</v>
      </c>
      <c r="B317" s="59">
        <v>206160</v>
      </c>
    </row>
    <row r="318" spans="1:2" x14ac:dyDescent="0.25">
      <c r="A318" s="59" t="s">
        <v>45</v>
      </c>
      <c r="B318" s="59">
        <v>2003</v>
      </c>
    </row>
    <row r="319" spans="1:2" x14ac:dyDescent="0.25">
      <c r="A319" s="59" t="s">
        <v>46</v>
      </c>
      <c r="B319" s="59">
        <v>2423</v>
      </c>
    </row>
    <row r="320" spans="1:2" x14ac:dyDescent="0.25">
      <c r="A320" s="59" t="s">
        <v>47</v>
      </c>
      <c r="B320" s="59">
        <v>2424</v>
      </c>
    </row>
    <row r="321" spans="1:2" x14ac:dyDescent="0.25">
      <c r="A321" s="59" t="s">
        <v>364</v>
      </c>
      <c r="B321" s="59" t="s">
        <v>366</v>
      </c>
    </row>
    <row r="322" spans="1:2" x14ac:dyDescent="0.25">
      <c r="A322" s="59" t="s">
        <v>367</v>
      </c>
      <c r="B322" s="59" t="s">
        <v>368</v>
      </c>
    </row>
    <row r="323" spans="1:2" x14ac:dyDescent="0.25">
      <c r="A323" s="59" t="s">
        <v>369</v>
      </c>
      <c r="B323" s="59" t="s">
        <v>371</v>
      </c>
    </row>
    <row r="324" spans="1:2" x14ac:dyDescent="0.25">
      <c r="A324" s="59" t="s">
        <v>811</v>
      </c>
      <c r="B324" s="59" t="s">
        <v>812</v>
      </c>
    </row>
    <row r="325" spans="1:2" x14ac:dyDescent="0.25">
      <c r="A325" s="59" t="s">
        <v>372</v>
      </c>
      <c r="B325" s="59">
        <v>206146</v>
      </c>
    </row>
    <row r="326" spans="1:2" x14ac:dyDescent="0.25">
      <c r="A326" s="59" t="s">
        <v>48</v>
      </c>
      <c r="B326" s="59">
        <v>2439</v>
      </c>
    </row>
    <row r="327" spans="1:2" x14ac:dyDescent="0.25">
      <c r="A327" s="59" t="s">
        <v>49</v>
      </c>
      <c r="B327" s="59">
        <v>2440</v>
      </c>
    </row>
    <row r="328" spans="1:2" x14ac:dyDescent="0.25">
      <c r="A328" s="59" t="s">
        <v>374</v>
      </c>
      <c r="B328" s="59" t="s">
        <v>375</v>
      </c>
    </row>
    <row r="329" spans="1:2" x14ac:dyDescent="0.25">
      <c r="A329" s="59" t="s">
        <v>813</v>
      </c>
      <c r="B329" s="59" t="s">
        <v>814</v>
      </c>
    </row>
    <row r="330" spans="1:2" x14ac:dyDescent="0.25">
      <c r="A330" s="59" t="s">
        <v>815</v>
      </c>
      <c r="B330" s="59" t="s">
        <v>816</v>
      </c>
    </row>
    <row r="331" spans="1:2" x14ac:dyDescent="0.25">
      <c r="A331" s="67" t="s">
        <v>377</v>
      </c>
      <c r="B331" s="67" t="s">
        <v>378</v>
      </c>
    </row>
    <row r="332" spans="1:2" x14ac:dyDescent="0.25">
      <c r="A332" s="105" t="s">
        <v>377</v>
      </c>
      <c r="B332" s="110" t="s">
        <v>817</v>
      </c>
    </row>
    <row r="333" spans="1:2" x14ac:dyDescent="0.25">
      <c r="A333" s="105" t="s">
        <v>102</v>
      </c>
      <c r="B333" s="110">
        <v>2462</v>
      </c>
    </row>
    <row r="334" spans="1:2" x14ac:dyDescent="0.25">
      <c r="A334" s="105" t="s">
        <v>50</v>
      </c>
      <c r="B334" s="110">
        <v>2463</v>
      </c>
    </row>
    <row r="335" spans="1:2" x14ac:dyDescent="0.25">
      <c r="A335" s="105" t="s">
        <v>51</v>
      </c>
      <c r="B335" s="67">
        <v>2505</v>
      </c>
    </row>
    <row r="336" spans="1:2" x14ac:dyDescent="0.25">
      <c r="A336" s="105" t="s">
        <v>1304</v>
      </c>
      <c r="B336" s="110">
        <v>2000</v>
      </c>
    </row>
    <row r="337" spans="1:2" x14ac:dyDescent="0.25">
      <c r="A337" s="105" t="s">
        <v>53</v>
      </c>
      <c r="B337" s="67">
        <v>2458</v>
      </c>
    </row>
    <row r="338" spans="1:2" x14ac:dyDescent="0.25">
      <c r="A338" s="105" t="s">
        <v>379</v>
      </c>
      <c r="B338" s="67" t="s">
        <v>381</v>
      </c>
    </row>
    <row r="339" spans="1:2" x14ac:dyDescent="0.25">
      <c r="A339" s="105" t="s">
        <v>54</v>
      </c>
      <c r="B339" s="67">
        <v>2001</v>
      </c>
    </row>
    <row r="340" spans="1:2" x14ac:dyDescent="0.25">
      <c r="A340" s="105" t="s">
        <v>382</v>
      </c>
      <c r="B340" s="67" t="s">
        <v>383</v>
      </c>
    </row>
    <row r="341" spans="1:2" x14ac:dyDescent="0.25">
      <c r="A341" s="105" t="s">
        <v>55</v>
      </c>
      <c r="B341" s="67">
        <v>2429</v>
      </c>
    </row>
    <row r="342" spans="1:2" x14ac:dyDescent="0.25">
      <c r="A342" s="105" t="s">
        <v>384</v>
      </c>
      <c r="B342" s="67">
        <v>113044</v>
      </c>
    </row>
    <row r="343" spans="1:2" x14ac:dyDescent="0.25">
      <c r="A343" s="105" t="s">
        <v>386</v>
      </c>
      <c r="B343" s="67" t="s">
        <v>388</v>
      </c>
    </row>
    <row r="344" spans="1:2" x14ac:dyDescent="0.25">
      <c r="A344" s="105" t="s">
        <v>72</v>
      </c>
      <c r="B344" s="67">
        <v>4607</v>
      </c>
    </row>
    <row r="345" spans="1:2" x14ac:dyDescent="0.25">
      <c r="A345" s="105" t="s">
        <v>818</v>
      </c>
      <c r="B345" s="67" t="s">
        <v>819</v>
      </c>
    </row>
    <row r="346" spans="1:2" x14ac:dyDescent="0.25">
      <c r="A346" s="105" t="s">
        <v>820</v>
      </c>
      <c r="B346" s="67" t="s">
        <v>821</v>
      </c>
    </row>
    <row r="347" spans="1:2" x14ac:dyDescent="0.25">
      <c r="A347" s="105" t="s">
        <v>56</v>
      </c>
      <c r="B347" s="67">
        <v>2444</v>
      </c>
    </row>
    <row r="348" spans="1:2" x14ac:dyDescent="0.25">
      <c r="A348" s="105" t="s">
        <v>57</v>
      </c>
      <c r="B348" s="67">
        <v>5209</v>
      </c>
    </row>
    <row r="349" spans="1:2" x14ac:dyDescent="0.25">
      <c r="A349" s="105" t="s">
        <v>389</v>
      </c>
      <c r="B349" s="67" t="s">
        <v>391</v>
      </c>
    </row>
    <row r="350" spans="1:2" x14ac:dyDescent="0.25">
      <c r="A350" s="105" t="s">
        <v>392</v>
      </c>
      <c r="B350" s="67" t="s">
        <v>394</v>
      </c>
    </row>
    <row r="351" spans="1:2" x14ac:dyDescent="0.25">
      <c r="A351" s="105" t="s">
        <v>58</v>
      </c>
      <c r="B351" s="67">
        <v>2469</v>
      </c>
    </row>
    <row r="352" spans="1:2" x14ac:dyDescent="0.25">
      <c r="A352" s="105" t="s">
        <v>395</v>
      </c>
      <c r="B352" s="110" t="s">
        <v>397</v>
      </c>
    </row>
    <row r="353" spans="1:2" x14ac:dyDescent="0.25">
      <c r="A353" s="105" t="s">
        <v>398</v>
      </c>
      <c r="B353" s="67" t="s">
        <v>399</v>
      </c>
    </row>
    <row r="354" spans="1:2" x14ac:dyDescent="0.25">
      <c r="A354" s="59" t="s">
        <v>59</v>
      </c>
      <c r="B354" s="59">
        <v>2466</v>
      </c>
    </row>
    <row r="355" spans="1:2" x14ac:dyDescent="0.25">
      <c r="A355" s="59" t="s">
        <v>60</v>
      </c>
      <c r="B355" s="59">
        <v>3543</v>
      </c>
    </row>
    <row r="356" spans="1:2" x14ac:dyDescent="0.25">
      <c r="A356" s="59" t="s">
        <v>400</v>
      </c>
      <c r="B356" s="59">
        <v>206152</v>
      </c>
    </row>
    <row r="357" spans="1:2" x14ac:dyDescent="0.25">
      <c r="A357" s="59" t="s">
        <v>402</v>
      </c>
      <c r="B357" s="59">
        <v>206153</v>
      </c>
    </row>
    <row r="358" spans="1:2" x14ac:dyDescent="0.25">
      <c r="A358" s="59" t="s">
        <v>62</v>
      </c>
      <c r="B358" s="59">
        <v>3531</v>
      </c>
    </row>
    <row r="359" spans="1:2" x14ac:dyDescent="0.25">
      <c r="A359" s="59" t="s">
        <v>63</v>
      </c>
      <c r="B359" s="59">
        <v>3526</v>
      </c>
    </row>
    <row r="360" spans="1:2" x14ac:dyDescent="0.25">
      <c r="A360" s="59" t="s">
        <v>104</v>
      </c>
      <c r="B360" s="59">
        <v>3535</v>
      </c>
    </row>
    <row r="361" spans="1:2" x14ac:dyDescent="0.25">
      <c r="A361" s="59" t="s">
        <v>64</v>
      </c>
      <c r="B361" s="59">
        <v>2008</v>
      </c>
    </row>
    <row r="362" spans="1:2" x14ac:dyDescent="0.25">
      <c r="A362" s="59" t="s">
        <v>105</v>
      </c>
      <c r="B362" s="59">
        <v>3542</v>
      </c>
    </row>
    <row r="363" spans="1:2" x14ac:dyDescent="0.25">
      <c r="A363" s="59" t="s">
        <v>404</v>
      </c>
      <c r="B363" s="59">
        <v>206154</v>
      </c>
    </row>
    <row r="364" spans="1:2" x14ac:dyDescent="0.25">
      <c r="A364" s="59" t="s">
        <v>106</v>
      </c>
      <c r="B364" s="59">
        <v>3528</v>
      </c>
    </row>
    <row r="365" spans="1:2" x14ac:dyDescent="0.25">
      <c r="A365" s="59" t="s">
        <v>406</v>
      </c>
      <c r="B365" s="59" t="s">
        <v>407</v>
      </c>
    </row>
    <row r="366" spans="1:2" x14ac:dyDescent="0.25">
      <c r="A366" s="59" t="s">
        <v>107</v>
      </c>
      <c r="B366" s="59">
        <v>3534</v>
      </c>
    </row>
    <row r="367" spans="1:2" x14ac:dyDescent="0.25">
      <c r="A367" s="59" t="s">
        <v>108</v>
      </c>
      <c r="B367" s="59">
        <v>3532</v>
      </c>
    </row>
    <row r="368" spans="1:2" x14ac:dyDescent="0.25">
      <c r="A368" s="59" t="s">
        <v>7</v>
      </c>
      <c r="B368" s="59">
        <v>1010</v>
      </c>
    </row>
    <row r="369" spans="1:2" x14ac:dyDescent="0.25">
      <c r="A369" s="59" t="s">
        <v>1396</v>
      </c>
      <c r="B369" s="59">
        <v>484523</v>
      </c>
    </row>
    <row r="370" spans="1:2" x14ac:dyDescent="0.25">
      <c r="A370" s="59" t="s">
        <v>408</v>
      </c>
      <c r="B370" s="59" t="s">
        <v>410</v>
      </c>
    </row>
    <row r="371" spans="1:2" x14ac:dyDescent="0.25">
      <c r="A371" s="59" t="s">
        <v>114</v>
      </c>
      <c r="B371" s="59">
        <v>4177</v>
      </c>
    </row>
    <row r="372" spans="1:2" x14ac:dyDescent="0.25">
      <c r="A372" s="59" t="s">
        <v>822</v>
      </c>
      <c r="B372" s="59" t="s">
        <v>824</v>
      </c>
    </row>
    <row r="373" spans="1:2" x14ac:dyDescent="0.25">
      <c r="A373" s="59" t="s">
        <v>411</v>
      </c>
      <c r="B373" s="59" t="s">
        <v>413</v>
      </c>
    </row>
    <row r="374" spans="1:2" x14ac:dyDescent="0.25">
      <c r="A374" s="59" t="s">
        <v>414</v>
      </c>
      <c r="B374" s="59">
        <v>206103</v>
      </c>
    </row>
    <row r="375" spans="1:2" x14ac:dyDescent="0.25">
      <c r="A375" s="59" t="s">
        <v>415</v>
      </c>
      <c r="B375" s="59" t="s">
        <v>417</v>
      </c>
    </row>
    <row r="376" spans="1:2" x14ac:dyDescent="0.25">
      <c r="A376" s="59" t="s">
        <v>418</v>
      </c>
      <c r="B376" s="59" t="s">
        <v>420</v>
      </c>
    </row>
    <row r="377" spans="1:2" x14ac:dyDescent="0.25">
      <c r="A377" s="59" t="s">
        <v>421</v>
      </c>
      <c r="B377" s="59">
        <v>258420</v>
      </c>
    </row>
    <row r="378" spans="1:2" x14ac:dyDescent="0.25">
      <c r="A378" s="59" t="s">
        <v>423</v>
      </c>
      <c r="B378" s="59">
        <v>258424</v>
      </c>
    </row>
    <row r="379" spans="1:2" x14ac:dyDescent="0.25">
      <c r="A379" s="59" t="s">
        <v>1397</v>
      </c>
      <c r="B379" s="59">
        <v>482634</v>
      </c>
    </row>
    <row r="380" spans="1:2" x14ac:dyDescent="0.25">
      <c r="A380" s="59" t="s">
        <v>425</v>
      </c>
      <c r="B380" s="59" t="s">
        <v>426</v>
      </c>
    </row>
    <row r="381" spans="1:2" x14ac:dyDescent="0.25">
      <c r="A381" s="59" t="s">
        <v>65</v>
      </c>
      <c r="B381" s="59">
        <v>3546</v>
      </c>
    </row>
    <row r="382" spans="1:2" x14ac:dyDescent="0.25">
      <c r="A382" s="59" t="s">
        <v>8</v>
      </c>
      <c r="B382" s="59">
        <v>1009</v>
      </c>
    </row>
    <row r="383" spans="1:2" x14ac:dyDescent="0.25">
      <c r="A383" s="59" t="s">
        <v>1398</v>
      </c>
      <c r="B383" s="59">
        <v>476554</v>
      </c>
    </row>
    <row r="384" spans="1:2" x14ac:dyDescent="0.25">
      <c r="A384" s="59" t="s">
        <v>66</v>
      </c>
      <c r="B384" s="59">
        <v>3530</v>
      </c>
    </row>
    <row r="385" spans="1:2" x14ac:dyDescent="0.25">
      <c r="A385" s="59" t="s">
        <v>74</v>
      </c>
      <c r="B385" s="59">
        <v>5412</v>
      </c>
    </row>
    <row r="386" spans="1:2" x14ac:dyDescent="0.25">
      <c r="A386" s="59" t="s">
        <v>432</v>
      </c>
      <c r="B386" s="59" t="s">
        <v>433</v>
      </c>
    </row>
    <row r="387" spans="1:2" x14ac:dyDescent="0.25">
      <c r="A387" s="59" t="s">
        <v>427</v>
      </c>
      <c r="B387" s="59" t="s">
        <v>429</v>
      </c>
    </row>
    <row r="388" spans="1:2" x14ac:dyDescent="0.25">
      <c r="A388" s="59" t="s">
        <v>9</v>
      </c>
      <c r="B388" s="59">
        <v>1015</v>
      </c>
    </row>
    <row r="389" spans="1:2" x14ac:dyDescent="0.25">
      <c r="A389" s="59" t="s">
        <v>430</v>
      </c>
      <c r="B389" s="59" t="s">
        <v>431</v>
      </c>
    </row>
    <row r="390" spans="1:2" x14ac:dyDescent="0.25">
      <c r="A390" s="59" t="s">
        <v>434</v>
      </c>
      <c r="B390" s="59">
        <v>509204</v>
      </c>
    </row>
    <row r="391" spans="1:2" x14ac:dyDescent="0.25">
      <c r="A391" s="59" t="s">
        <v>434</v>
      </c>
      <c r="B391" s="59" t="s">
        <v>825</v>
      </c>
    </row>
    <row r="392" spans="1:2" x14ac:dyDescent="0.25">
      <c r="A392" s="59" t="s">
        <v>67</v>
      </c>
      <c r="B392" s="59">
        <v>2459</v>
      </c>
    </row>
    <row r="393" spans="1:2" x14ac:dyDescent="0.25">
      <c r="A393" s="59" t="s">
        <v>96</v>
      </c>
      <c r="B393" s="59">
        <v>2007</v>
      </c>
    </row>
    <row r="394" spans="1:2" x14ac:dyDescent="0.25">
      <c r="A394" s="11"/>
      <c r="B394" s="2"/>
    </row>
    <row r="395" spans="1:2" x14ac:dyDescent="0.25">
      <c r="A395" s="11"/>
      <c r="B395" s="2"/>
    </row>
  </sheetData>
  <sheetProtection password="EF5C" sheet="1" objects="1" scenarios="1"/>
  <pageMargins left="0.7" right="0.7" top="0.75" bottom="0.75" header="0.3" footer="0.3"/>
  <pageSetup orientation="portrait"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A1:L390"/>
  <sheetViews>
    <sheetView workbookViewId="0">
      <pane xSplit="2" ySplit="6" topLeftCell="C7" activePane="bottomRight" state="frozen"/>
      <selection activeCell="C118" sqref="C118"/>
      <selection pane="topRight" activeCell="C118" sqref="C118"/>
      <selection pane="bottomLeft" activeCell="C118" sqref="C118"/>
      <selection pane="bottomRight" activeCell="B16" sqref="B16"/>
    </sheetView>
  </sheetViews>
  <sheetFormatPr defaultRowHeight="13.2" x14ac:dyDescent="0.25"/>
  <cols>
    <col min="1" max="1" width="56.109375" customWidth="1"/>
    <col min="2" max="2" width="17.109375" bestFit="1" customWidth="1"/>
    <col min="3" max="3" width="13.88671875" style="21" customWidth="1"/>
    <col min="4" max="4" width="13.44140625" style="21" customWidth="1"/>
    <col min="5" max="5" width="12.44140625" style="30" customWidth="1"/>
    <col min="6" max="6" width="11.44140625" customWidth="1"/>
    <col min="7" max="7" width="15.6640625" customWidth="1"/>
  </cols>
  <sheetData>
    <row r="1" spans="1:12" ht="12.75" customHeight="1" x14ac:dyDescent="0.25">
      <c r="A1" s="1" t="s">
        <v>958</v>
      </c>
      <c r="B1" s="929"/>
      <c r="C1" s="927"/>
      <c r="D1" s="927"/>
      <c r="E1" s="954">
        <f>932.68-76.9462</f>
        <v>855.73379999999997</v>
      </c>
      <c r="G1" s="928"/>
    </row>
    <row r="2" spans="1:12" x14ac:dyDescent="0.25">
      <c r="A2" s="1" t="s">
        <v>77</v>
      </c>
      <c r="B2" s="929"/>
      <c r="C2" s="927"/>
      <c r="D2" s="927"/>
      <c r="E2" s="954">
        <f>2738.7-225.9443</f>
        <v>2512.7556999999997</v>
      </c>
      <c r="F2" s="928"/>
      <c r="G2" s="928"/>
    </row>
    <row r="3" spans="1:12" x14ac:dyDescent="0.25">
      <c r="A3" s="1" t="s">
        <v>78</v>
      </c>
      <c r="B3" s="929"/>
      <c r="C3" s="927"/>
      <c r="D3" s="927"/>
      <c r="E3" s="926"/>
      <c r="F3" s="928"/>
      <c r="G3" s="928"/>
    </row>
    <row r="4" spans="1:12" x14ac:dyDescent="0.25">
      <c r="A4" s="1" t="s">
        <v>79</v>
      </c>
      <c r="B4" s="929"/>
      <c r="C4" s="927"/>
      <c r="D4" s="927"/>
      <c r="E4" s="926"/>
      <c r="F4" s="928"/>
      <c r="G4" s="928"/>
    </row>
    <row r="5" spans="1:12" ht="12.75" x14ac:dyDescent="0.2">
      <c r="A5" s="1" t="s">
        <v>80</v>
      </c>
      <c r="B5" s="927" t="s">
        <v>833</v>
      </c>
      <c r="C5" s="927"/>
      <c r="D5" s="927"/>
      <c r="E5" s="926"/>
      <c r="F5" s="928"/>
      <c r="G5" s="928"/>
    </row>
    <row r="6" spans="1:12" ht="66" x14ac:dyDescent="0.25">
      <c r="A6" s="13" t="s">
        <v>118</v>
      </c>
      <c r="B6" s="6" t="s">
        <v>81</v>
      </c>
      <c r="C6" s="955" t="s">
        <v>985</v>
      </c>
      <c r="D6" s="955" t="s">
        <v>986</v>
      </c>
      <c r="E6" s="8" t="s">
        <v>987</v>
      </c>
      <c r="F6" s="950" t="s">
        <v>988</v>
      </c>
      <c r="G6" s="950" t="s">
        <v>989</v>
      </c>
    </row>
    <row r="7" spans="1:12" ht="12.75" x14ac:dyDescent="0.2">
      <c r="A7" s="9" t="s">
        <v>1301</v>
      </c>
      <c r="B7" s="10">
        <v>2014</v>
      </c>
      <c r="C7" s="927">
        <v>26.200000000000003</v>
      </c>
      <c r="D7" s="927">
        <v>0</v>
      </c>
      <c r="E7" s="23">
        <f>E$1*C7</f>
        <v>22420.225560000003</v>
      </c>
      <c r="F7" s="925">
        <f t="shared" ref="F7:F70" si="0">E$2*D7</f>
        <v>0</v>
      </c>
      <c r="G7" s="951">
        <f>F7+E7</f>
        <v>22420.225560000003</v>
      </c>
      <c r="I7" t="str">
        <f>CONCATENATE(831,B7)</f>
        <v>8312014</v>
      </c>
      <c r="J7">
        <v>0</v>
      </c>
      <c r="K7" s="925"/>
      <c r="L7" s="925"/>
    </row>
    <row r="8" spans="1:12" ht="12.75" x14ac:dyDescent="0.2">
      <c r="A8" s="9" t="s">
        <v>10</v>
      </c>
      <c r="B8" s="10">
        <v>2012</v>
      </c>
      <c r="C8" s="927">
        <v>68.990415335463425</v>
      </c>
      <c r="D8" s="927">
        <v>0</v>
      </c>
      <c r="E8" s="23">
        <f>E$1*C8</f>
        <v>59037.430278594387</v>
      </c>
      <c r="F8" s="925">
        <f t="shared" si="0"/>
        <v>0</v>
      </c>
      <c r="G8" s="951">
        <f>F8+E8</f>
        <v>59037.430278594387</v>
      </c>
      <c r="I8" t="str">
        <f>CONCATENATE(831,B8)</f>
        <v>8312012</v>
      </c>
      <c r="J8">
        <v>0</v>
      </c>
      <c r="K8" s="925"/>
      <c r="L8" s="925"/>
    </row>
    <row r="9" spans="1:12" ht="12.75" x14ac:dyDescent="0.2">
      <c r="A9" s="9" t="s">
        <v>11</v>
      </c>
      <c r="B9" s="10">
        <v>2443</v>
      </c>
      <c r="C9" s="927">
        <v>27.468208092485426</v>
      </c>
      <c r="D9" s="927">
        <v>0</v>
      </c>
      <c r="E9" s="23">
        <f t="shared" ref="E9:E72" si="1">E$1*C9</f>
        <v>23505.474090173306</v>
      </c>
      <c r="F9" s="925">
        <f t="shared" si="0"/>
        <v>0</v>
      </c>
      <c r="G9" s="951">
        <f t="shared" ref="G9:G72" si="2">F9+E9</f>
        <v>23505.474090173306</v>
      </c>
      <c r="I9" t="str">
        <f t="shared" ref="I9:I72" si="3">CONCATENATE(831,B9)</f>
        <v>8312443</v>
      </c>
      <c r="J9">
        <v>0</v>
      </c>
      <c r="K9" s="925"/>
      <c r="L9" s="925"/>
    </row>
    <row r="10" spans="1:12" ht="12.75" x14ac:dyDescent="0.2">
      <c r="A10" s="9" t="s">
        <v>94</v>
      </c>
      <c r="B10" s="10">
        <v>2442</v>
      </c>
      <c r="C10" s="927">
        <v>4.3243243243243201</v>
      </c>
      <c r="D10" s="927">
        <v>0</v>
      </c>
      <c r="E10" s="23">
        <f t="shared" si="1"/>
        <v>3700.470486486483</v>
      </c>
      <c r="F10" s="925">
        <f t="shared" si="0"/>
        <v>0</v>
      </c>
      <c r="G10" s="951">
        <f t="shared" si="2"/>
        <v>3700.470486486483</v>
      </c>
      <c r="I10" t="str">
        <f t="shared" si="3"/>
        <v>8312442</v>
      </c>
      <c r="J10">
        <v>0</v>
      </c>
      <c r="K10" s="925"/>
      <c r="L10" s="925"/>
    </row>
    <row r="11" spans="1:12" ht="12.75" x14ac:dyDescent="0.2">
      <c r="A11" s="9" t="s">
        <v>13</v>
      </c>
      <c r="B11" s="10">
        <v>2629</v>
      </c>
      <c r="C11" s="927">
        <v>258.21867007672614</v>
      </c>
      <c r="D11" s="927">
        <v>0</v>
      </c>
      <c r="E11" s="23">
        <f t="shared" si="1"/>
        <v>220966.44377570314</v>
      </c>
      <c r="F11" s="925">
        <f t="shared" si="0"/>
        <v>0</v>
      </c>
      <c r="G11" s="951">
        <f t="shared" si="2"/>
        <v>220966.44377570314</v>
      </c>
      <c r="I11" t="str">
        <f t="shared" si="3"/>
        <v>8312629</v>
      </c>
      <c r="J11">
        <v>0</v>
      </c>
      <c r="K11" s="925"/>
      <c r="L11" s="925"/>
    </row>
    <row r="12" spans="1:12" ht="12.75" x14ac:dyDescent="0.2">
      <c r="A12" s="9" t="s">
        <v>14</v>
      </c>
      <c r="B12" s="10">
        <v>2509</v>
      </c>
      <c r="C12" s="927">
        <v>38.273224043715857</v>
      </c>
      <c r="D12" s="927">
        <v>0</v>
      </c>
      <c r="E12" s="23">
        <f t="shared" si="1"/>
        <v>32751.691449180336</v>
      </c>
      <c r="F12" s="925">
        <f t="shared" si="0"/>
        <v>0</v>
      </c>
      <c r="G12" s="951">
        <f t="shared" si="2"/>
        <v>32751.691449180336</v>
      </c>
      <c r="I12" t="str">
        <f t="shared" si="3"/>
        <v>8312509</v>
      </c>
      <c r="J12">
        <v>0</v>
      </c>
      <c r="K12" s="925"/>
      <c r="L12" s="925"/>
    </row>
    <row r="13" spans="1:12" ht="12.75" x14ac:dyDescent="0.2">
      <c r="A13" s="9" t="s">
        <v>15</v>
      </c>
      <c r="B13" s="10">
        <v>2005</v>
      </c>
      <c r="C13" s="927">
        <v>36.113207547169708</v>
      </c>
      <c r="D13" s="927">
        <v>0</v>
      </c>
      <c r="E13" s="23">
        <f t="shared" si="1"/>
        <v>30903.292324528211</v>
      </c>
      <c r="F13" s="925">
        <f t="shared" si="0"/>
        <v>0</v>
      </c>
      <c r="G13" s="951">
        <f t="shared" si="2"/>
        <v>30903.292324528211</v>
      </c>
      <c r="I13" t="str">
        <f t="shared" si="3"/>
        <v>8312005</v>
      </c>
      <c r="J13">
        <v>0</v>
      </c>
      <c r="K13" s="925"/>
      <c r="L13" s="925"/>
    </row>
    <row r="14" spans="1:12" ht="12.75" x14ac:dyDescent="0.2">
      <c r="A14" s="9" t="s">
        <v>16</v>
      </c>
      <c r="B14" s="10">
        <v>2464</v>
      </c>
      <c r="C14" s="927">
        <v>2.3647058823529328</v>
      </c>
      <c r="D14" s="927">
        <v>0</v>
      </c>
      <c r="E14" s="23">
        <f t="shared" si="1"/>
        <v>2023.5587505882281</v>
      </c>
      <c r="F14" s="925">
        <f t="shared" si="0"/>
        <v>0</v>
      </c>
      <c r="G14" s="951">
        <f t="shared" si="2"/>
        <v>2023.5587505882281</v>
      </c>
      <c r="I14" t="str">
        <f t="shared" si="3"/>
        <v>8312464</v>
      </c>
      <c r="J14">
        <v>0</v>
      </c>
      <c r="K14" s="925"/>
      <c r="L14" s="925"/>
    </row>
    <row r="15" spans="1:12" ht="12.75" x14ac:dyDescent="0.2">
      <c r="A15" s="9" t="s">
        <v>17</v>
      </c>
      <c r="B15" s="10">
        <v>2004</v>
      </c>
      <c r="C15" s="927">
        <v>13.917808219178081</v>
      </c>
      <c r="D15" s="927">
        <v>0</v>
      </c>
      <c r="E15" s="23">
        <f t="shared" si="1"/>
        <v>11909.938915068491</v>
      </c>
      <c r="F15" s="925">
        <f t="shared" si="0"/>
        <v>0</v>
      </c>
      <c r="G15" s="951">
        <f t="shared" si="2"/>
        <v>11909.938915068491</v>
      </c>
      <c r="I15" t="str">
        <f t="shared" si="3"/>
        <v>8312004</v>
      </c>
      <c r="J15">
        <v>0</v>
      </c>
      <c r="K15" s="925"/>
      <c r="L15" s="925"/>
    </row>
    <row r="16" spans="1:12" ht="12.75" x14ac:dyDescent="0.2">
      <c r="A16" s="9" t="s">
        <v>18</v>
      </c>
      <c r="B16" s="10">
        <v>2405</v>
      </c>
      <c r="C16" s="927">
        <v>52.34482758620689</v>
      </c>
      <c r="D16" s="927">
        <v>0</v>
      </c>
      <c r="E16" s="23">
        <f t="shared" si="1"/>
        <v>44793.238220689651</v>
      </c>
      <c r="F16" s="925">
        <f t="shared" si="0"/>
        <v>0</v>
      </c>
      <c r="G16" s="951">
        <f t="shared" si="2"/>
        <v>44793.238220689651</v>
      </c>
      <c r="I16" t="str">
        <f t="shared" si="3"/>
        <v>8312405</v>
      </c>
      <c r="J16">
        <v>0</v>
      </c>
      <c r="K16" s="925"/>
      <c r="L16" s="925"/>
    </row>
    <row r="17" spans="1:12" ht="12.75" x14ac:dyDescent="0.2">
      <c r="A17" s="9" t="s">
        <v>95</v>
      </c>
      <c r="B17" s="10">
        <v>2011</v>
      </c>
      <c r="C17" s="927">
        <v>12.057142857142848</v>
      </c>
      <c r="D17" s="927">
        <v>0</v>
      </c>
      <c r="E17" s="23">
        <f t="shared" si="1"/>
        <v>10317.704674285706</v>
      </c>
      <c r="F17" s="925">
        <f t="shared" si="0"/>
        <v>0</v>
      </c>
      <c r="G17" s="951">
        <f t="shared" si="2"/>
        <v>10317.704674285706</v>
      </c>
      <c r="I17" t="str">
        <f t="shared" si="3"/>
        <v>8312011</v>
      </c>
      <c r="J17">
        <v>0</v>
      </c>
      <c r="K17" s="925"/>
      <c r="L17" s="925"/>
    </row>
    <row r="18" spans="1:12" ht="12.75" x14ac:dyDescent="0.2">
      <c r="A18" s="9" t="s">
        <v>20</v>
      </c>
      <c r="B18" s="10">
        <v>5201</v>
      </c>
      <c r="C18" s="927">
        <v>7.0169491525423799</v>
      </c>
      <c r="D18" s="927">
        <v>0</v>
      </c>
      <c r="E18" s="23">
        <f t="shared" si="1"/>
        <v>6004.6405627118702</v>
      </c>
      <c r="F18" s="925">
        <f t="shared" si="0"/>
        <v>0</v>
      </c>
      <c r="G18" s="951">
        <f t="shared" si="2"/>
        <v>6004.6405627118702</v>
      </c>
      <c r="I18" t="str">
        <f t="shared" si="3"/>
        <v>8315201</v>
      </c>
      <c r="J18">
        <v>0</v>
      </c>
      <c r="K18" s="925"/>
      <c r="L18" s="925"/>
    </row>
    <row r="19" spans="1:12" ht="12.75" x14ac:dyDescent="0.2">
      <c r="A19" s="9" t="s">
        <v>96</v>
      </c>
      <c r="B19" s="10">
        <v>2007</v>
      </c>
      <c r="C19" s="927">
        <v>45.733333333333221</v>
      </c>
      <c r="D19" s="927">
        <v>0</v>
      </c>
      <c r="E19" s="23">
        <f t="shared" si="1"/>
        <v>39135.559119999903</v>
      </c>
      <c r="F19" s="925">
        <f t="shared" si="0"/>
        <v>0</v>
      </c>
      <c r="G19" s="951">
        <f t="shared" si="2"/>
        <v>39135.559119999903</v>
      </c>
      <c r="I19" t="str">
        <f t="shared" si="3"/>
        <v>8312007</v>
      </c>
      <c r="J19">
        <v>0</v>
      </c>
      <c r="K19" s="925"/>
      <c r="L19" s="925"/>
    </row>
    <row r="20" spans="1:12" ht="12.75" x14ac:dyDescent="0.2">
      <c r="A20" s="9" t="s">
        <v>21</v>
      </c>
      <c r="B20" s="10">
        <v>2433</v>
      </c>
      <c r="C20" s="927">
        <v>11.233082706766911</v>
      </c>
      <c r="D20" s="927">
        <v>0</v>
      </c>
      <c r="E20" s="23">
        <f t="shared" si="1"/>
        <v>9612.5285503759351</v>
      </c>
      <c r="F20" s="925">
        <f t="shared" si="0"/>
        <v>0</v>
      </c>
      <c r="G20" s="951">
        <f t="shared" si="2"/>
        <v>9612.5285503759351</v>
      </c>
      <c r="I20" t="str">
        <f t="shared" si="3"/>
        <v>8312433</v>
      </c>
      <c r="J20">
        <v>0</v>
      </c>
      <c r="K20" s="925"/>
      <c r="L20" s="925"/>
    </row>
    <row r="21" spans="1:12" ht="12.75" x14ac:dyDescent="0.2">
      <c r="A21" s="9" t="s">
        <v>22</v>
      </c>
      <c r="B21" s="10">
        <v>2432</v>
      </c>
      <c r="C21" s="927">
        <v>5.9500000000000064</v>
      </c>
      <c r="D21" s="927">
        <v>0</v>
      </c>
      <c r="E21" s="23">
        <f t="shared" si="1"/>
        <v>5091.6161100000054</v>
      </c>
      <c r="F21" s="925">
        <f t="shared" si="0"/>
        <v>0</v>
      </c>
      <c r="G21" s="951">
        <f t="shared" si="2"/>
        <v>5091.6161100000054</v>
      </c>
      <c r="I21" t="str">
        <f t="shared" si="3"/>
        <v>8312432</v>
      </c>
      <c r="J21">
        <v>0</v>
      </c>
      <c r="K21" s="925"/>
      <c r="L21" s="925"/>
    </row>
    <row r="22" spans="1:12" ht="12.75" x14ac:dyDescent="0.2">
      <c r="A22" s="9" t="s">
        <v>949</v>
      </c>
      <c r="B22" s="10">
        <v>2447</v>
      </c>
      <c r="C22" s="927">
        <v>24.090909090909083</v>
      </c>
      <c r="D22" s="927">
        <v>0</v>
      </c>
      <c r="E22" s="23">
        <f t="shared" si="1"/>
        <v>20615.405181818176</v>
      </c>
      <c r="F22" s="925">
        <f t="shared" si="0"/>
        <v>0</v>
      </c>
      <c r="G22" s="951">
        <f t="shared" si="2"/>
        <v>20615.405181818176</v>
      </c>
      <c r="I22" t="str">
        <f t="shared" si="3"/>
        <v>8312447</v>
      </c>
      <c r="J22">
        <v>0</v>
      </c>
      <c r="K22" s="17"/>
      <c r="L22" s="17"/>
    </row>
    <row r="23" spans="1:12" ht="12.75" x14ac:dyDescent="0.2">
      <c r="A23" s="9" t="s">
        <v>23</v>
      </c>
      <c r="B23" s="10">
        <v>2512</v>
      </c>
      <c r="C23" s="927">
        <v>23.278688524590208</v>
      </c>
      <c r="D23" s="927">
        <v>0</v>
      </c>
      <c r="E23" s="23">
        <f t="shared" si="1"/>
        <v>19920.360590163971</v>
      </c>
      <c r="F23" s="925">
        <f t="shared" si="0"/>
        <v>0</v>
      </c>
      <c r="G23" s="951">
        <f t="shared" si="2"/>
        <v>19920.360590163971</v>
      </c>
      <c r="I23" t="str">
        <f t="shared" si="3"/>
        <v>8312512</v>
      </c>
      <c r="J23">
        <v>0</v>
      </c>
      <c r="K23" s="925"/>
      <c r="L23" s="925"/>
    </row>
    <row r="24" spans="1:12" ht="12.75" x14ac:dyDescent="0.2">
      <c r="A24" s="9" t="s">
        <v>24</v>
      </c>
      <c r="B24" s="10">
        <v>2456</v>
      </c>
      <c r="C24" s="927">
        <v>39.791304347826063</v>
      </c>
      <c r="D24" s="927">
        <v>0</v>
      </c>
      <c r="E24" s="23">
        <f t="shared" si="1"/>
        <v>34050.764076521715</v>
      </c>
      <c r="F24" s="925">
        <f t="shared" si="0"/>
        <v>0</v>
      </c>
      <c r="G24" s="951">
        <f t="shared" si="2"/>
        <v>34050.764076521715</v>
      </c>
      <c r="I24" t="str">
        <f t="shared" si="3"/>
        <v>8312456</v>
      </c>
      <c r="J24">
        <v>0</v>
      </c>
      <c r="K24" s="925"/>
      <c r="L24" s="925"/>
    </row>
    <row r="25" spans="1:12" ht="12.75" x14ac:dyDescent="0.2">
      <c r="A25" s="9" t="s">
        <v>25</v>
      </c>
      <c r="B25" s="10">
        <v>2449</v>
      </c>
      <c r="C25" s="927">
        <v>8.949720670391061</v>
      </c>
      <c r="D25" s="927">
        <v>0</v>
      </c>
      <c r="E25" s="23">
        <f t="shared" si="1"/>
        <v>7658.5784782122901</v>
      </c>
      <c r="F25" s="925">
        <f t="shared" si="0"/>
        <v>0</v>
      </c>
      <c r="G25" s="951">
        <f t="shared" si="2"/>
        <v>7658.5784782122901</v>
      </c>
      <c r="I25" t="str">
        <f t="shared" si="3"/>
        <v>8312449</v>
      </c>
      <c r="J25">
        <v>0</v>
      </c>
      <c r="K25" s="925"/>
      <c r="L25" s="925"/>
    </row>
    <row r="26" spans="1:12" ht="12.75" x14ac:dyDescent="0.2">
      <c r="A26" s="9" t="s">
        <v>26</v>
      </c>
      <c r="B26" s="10">
        <v>2448</v>
      </c>
      <c r="C26" s="927">
        <v>4.0350877192982324</v>
      </c>
      <c r="D26" s="927">
        <v>0</v>
      </c>
      <c r="E26" s="23">
        <f t="shared" si="1"/>
        <v>3452.9609473684095</v>
      </c>
      <c r="F26" s="925">
        <f t="shared" si="0"/>
        <v>0</v>
      </c>
      <c r="G26" s="951">
        <f t="shared" si="2"/>
        <v>3452.9609473684095</v>
      </c>
      <c r="I26" t="str">
        <f t="shared" si="3"/>
        <v>8312448</v>
      </c>
      <c r="J26">
        <v>0</v>
      </c>
      <c r="K26" s="925"/>
      <c r="L26" s="925"/>
    </row>
    <row r="27" spans="1:12" ht="12.75" x14ac:dyDescent="0.2">
      <c r="A27" s="9" t="s">
        <v>126</v>
      </c>
      <c r="B27" s="10">
        <v>2467</v>
      </c>
      <c r="C27" s="927">
        <v>15.720930232558125</v>
      </c>
      <c r="D27" s="927">
        <v>0</v>
      </c>
      <c r="E27" s="23">
        <f t="shared" si="1"/>
        <v>13452.931367441848</v>
      </c>
      <c r="F27" s="925">
        <f t="shared" si="0"/>
        <v>0</v>
      </c>
      <c r="G27" s="951">
        <f t="shared" si="2"/>
        <v>13452.931367441848</v>
      </c>
      <c r="I27" t="str">
        <f t="shared" si="3"/>
        <v>8312467</v>
      </c>
      <c r="J27">
        <v>0</v>
      </c>
      <c r="K27" s="925"/>
      <c r="L27" s="925"/>
    </row>
    <row r="28" spans="1:12" ht="12.75" x14ac:dyDescent="0.2">
      <c r="A28" s="9" t="s">
        <v>28</v>
      </c>
      <c r="B28" s="10">
        <v>2455</v>
      </c>
      <c r="C28" s="927">
        <v>25.717948717948733</v>
      </c>
      <c r="D28" s="927">
        <v>0</v>
      </c>
      <c r="E28" s="23">
        <f t="shared" si="1"/>
        <v>22007.717984615396</v>
      </c>
      <c r="F28" s="925">
        <f t="shared" si="0"/>
        <v>0</v>
      </c>
      <c r="G28" s="951">
        <f t="shared" si="2"/>
        <v>22007.717984615396</v>
      </c>
      <c r="I28" t="str">
        <f t="shared" si="3"/>
        <v>8312455</v>
      </c>
      <c r="J28">
        <v>0</v>
      </c>
      <c r="K28" s="925"/>
      <c r="L28" s="925"/>
    </row>
    <row r="29" spans="1:12" ht="12.75" x14ac:dyDescent="0.2">
      <c r="A29" s="9" t="s">
        <v>29</v>
      </c>
      <c r="B29" s="10">
        <v>5203</v>
      </c>
      <c r="C29" s="927">
        <v>8.032719836400819</v>
      </c>
      <c r="D29" s="927">
        <v>0</v>
      </c>
      <c r="E29" s="23">
        <f t="shared" si="1"/>
        <v>6873.8698699386514</v>
      </c>
      <c r="F29" s="925">
        <f t="shared" si="0"/>
        <v>0</v>
      </c>
      <c r="G29" s="951">
        <f t="shared" si="2"/>
        <v>6873.8698699386514</v>
      </c>
      <c r="I29" t="str">
        <f t="shared" si="3"/>
        <v>8315203</v>
      </c>
      <c r="J29">
        <v>0</v>
      </c>
      <c r="K29" s="925"/>
      <c r="L29" s="925"/>
    </row>
    <row r="30" spans="1:12" x14ac:dyDescent="0.25">
      <c r="A30" s="9" t="s">
        <v>30</v>
      </c>
      <c r="B30" s="10">
        <v>2451</v>
      </c>
      <c r="C30" s="927">
        <v>10.68224299065422</v>
      </c>
      <c r="D30" s="927">
        <v>0</v>
      </c>
      <c r="E30" s="23">
        <f t="shared" si="1"/>
        <v>9141.1563869158999</v>
      </c>
      <c r="F30" s="925">
        <f t="shared" si="0"/>
        <v>0</v>
      </c>
      <c r="G30" s="951">
        <f t="shared" si="2"/>
        <v>9141.1563869158999</v>
      </c>
      <c r="I30" t="str">
        <f t="shared" si="3"/>
        <v>8312451</v>
      </c>
      <c r="J30">
        <v>0</v>
      </c>
      <c r="K30" s="925"/>
      <c r="L30" s="925"/>
    </row>
    <row r="31" spans="1:12" x14ac:dyDescent="0.25">
      <c r="A31" s="9" t="s">
        <v>31</v>
      </c>
      <c r="B31" s="10">
        <v>2409</v>
      </c>
      <c r="C31" s="927">
        <v>209.88026607538805</v>
      </c>
      <c r="D31" s="927">
        <v>0</v>
      </c>
      <c r="E31" s="23">
        <f t="shared" si="1"/>
        <v>179601.63763370289</v>
      </c>
      <c r="F31" s="925">
        <f t="shared" si="0"/>
        <v>0</v>
      </c>
      <c r="G31" s="951">
        <f t="shared" si="2"/>
        <v>179601.63763370289</v>
      </c>
      <c r="I31" t="str">
        <f t="shared" si="3"/>
        <v>8312409</v>
      </c>
      <c r="J31">
        <v>0</v>
      </c>
      <c r="K31" s="925"/>
      <c r="L31" s="925"/>
    </row>
    <row r="32" spans="1:12" x14ac:dyDescent="0.25">
      <c r="A32" s="9" t="s">
        <v>98</v>
      </c>
      <c r="B32" s="10">
        <v>3158</v>
      </c>
      <c r="C32" s="927">
        <v>109.36708860759492</v>
      </c>
      <c r="D32" s="927">
        <v>0</v>
      </c>
      <c r="E32" s="23">
        <f t="shared" si="1"/>
        <v>93589.114329113916</v>
      </c>
      <c r="F32" s="925">
        <f t="shared" si="0"/>
        <v>0</v>
      </c>
      <c r="G32" s="951">
        <f t="shared" si="2"/>
        <v>93589.114329113916</v>
      </c>
      <c r="I32" t="str">
        <f t="shared" si="3"/>
        <v>8313158</v>
      </c>
      <c r="J32">
        <v>0</v>
      </c>
      <c r="K32" s="925"/>
      <c r="L32" s="925"/>
    </row>
    <row r="33" spans="1:12" x14ac:dyDescent="0.25">
      <c r="A33" s="9" t="s">
        <v>32</v>
      </c>
      <c r="B33" s="10">
        <v>2619</v>
      </c>
      <c r="C33" s="927">
        <v>24.840823970037505</v>
      </c>
      <c r="D33" s="927">
        <v>0</v>
      </c>
      <c r="E33" s="23">
        <f t="shared" si="1"/>
        <v>21257.13269101128</v>
      </c>
      <c r="F33" s="925">
        <f t="shared" si="0"/>
        <v>0</v>
      </c>
      <c r="G33" s="951">
        <f t="shared" si="2"/>
        <v>21257.13269101128</v>
      </c>
      <c r="I33" t="str">
        <f t="shared" si="3"/>
        <v>8312619</v>
      </c>
      <c r="J33">
        <v>0</v>
      </c>
      <c r="K33" s="925"/>
      <c r="L33" s="925"/>
    </row>
    <row r="34" spans="1:12" x14ac:dyDescent="0.25">
      <c r="A34" s="9" t="s">
        <v>33</v>
      </c>
      <c r="B34" s="10">
        <v>2518</v>
      </c>
      <c r="C34" s="927">
        <v>151.79347826086942</v>
      </c>
      <c r="D34" s="927">
        <v>0</v>
      </c>
      <c r="E34" s="23">
        <f t="shared" si="1"/>
        <v>129894.80996739118</v>
      </c>
      <c r="F34" s="925">
        <f t="shared" si="0"/>
        <v>0</v>
      </c>
      <c r="G34" s="951">
        <f t="shared" si="2"/>
        <v>129894.80996739118</v>
      </c>
      <c r="I34" t="str">
        <f t="shared" si="3"/>
        <v>8312518</v>
      </c>
      <c r="J34">
        <v>0</v>
      </c>
      <c r="K34" s="925"/>
      <c r="L34" s="925"/>
    </row>
    <row r="35" spans="1:12" x14ac:dyDescent="0.25">
      <c r="A35" s="9" t="s">
        <v>34</v>
      </c>
      <c r="B35" s="10">
        <v>2457</v>
      </c>
      <c r="C35" s="927">
        <v>38.999999999999879</v>
      </c>
      <c r="D35" s="927">
        <v>0</v>
      </c>
      <c r="E35" s="23">
        <f t="shared" si="1"/>
        <v>33373.618199999895</v>
      </c>
      <c r="F35" s="925">
        <f t="shared" si="0"/>
        <v>0</v>
      </c>
      <c r="G35" s="951">
        <f t="shared" si="2"/>
        <v>33373.618199999895</v>
      </c>
      <c r="I35" t="str">
        <f t="shared" si="3"/>
        <v>8312457</v>
      </c>
      <c r="J35">
        <v>0</v>
      </c>
      <c r="K35" s="925"/>
      <c r="L35" s="925"/>
    </row>
    <row r="36" spans="1:12" x14ac:dyDescent="0.25">
      <c r="A36" s="9" t="s">
        <v>99</v>
      </c>
      <c r="B36" s="27">
        <v>2010</v>
      </c>
      <c r="C36" s="927">
        <v>37.511111111111163</v>
      </c>
      <c r="D36" s="927">
        <v>0</v>
      </c>
      <c r="E36" s="23">
        <f t="shared" si="1"/>
        <v>32099.525653333378</v>
      </c>
      <c r="F36" s="925">
        <f t="shared" si="0"/>
        <v>0</v>
      </c>
      <c r="G36" s="951">
        <f t="shared" si="2"/>
        <v>32099.525653333378</v>
      </c>
      <c r="I36" t="str">
        <f t="shared" si="3"/>
        <v>8312010</v>
      </c>
      <c r="J36">
        <v>0</v>
      </c>
      <c r="K36" s="925"/>
      <c r="L36" s="925"/>
    </row>
    <row r="37" spans="1:12" x14ac:dyDescent="0.25">
      <c r="A37" s="9" t="s">
        <v>35</v>
      </c>
      <c r="B37" s="10">
        <v>2002</v>
      </c>
      <c r="C37" s="927">
        <v>18.695652173913036</v>
      </c>
      <c r="D37" s="927">
        <v>0</v>
      </c>
      <c r="E37" s="23">
        <f t="shared" si="1"/>
        <v>15998.501478260863</v>
      </c>
      <c r="F37" s="925">
        <f t="shared" si="0"/>
        <v>0</v>
      </c>
      <c r="G37" s="951">
        <f t="shared" si="2"/>
        <v>15998.501478260863</v>
      </c>
      <c r="I37" t="str">
        <f t="shared" si="3"/>
        <v>8312002</v>
      </c>
      <c r="J37">
        <v>0</v>
      </c>
      <c r="K37" s="925"/>
      <c r="L37" s="925"/>
    </row>
    <row r="38" spans="1:12" x14ac:dyDescent="0.25">
      <c r="A38" s="9" t="s">
        <v>36</v>
      </c>
      <c r="B38" s="10">
        <v>3544</v>
      </c>
      <c r="C38" s="927">
        <v>256.98305084745755</v>
      </c>
      <c r="D38" s="927">
        <v>0</v>
      </c>
      <c r="E38" s="23">
        <f t="shared" si="1"/>
        <v>219909.08263728805</v>
      </c>
      <c r="F38" s="925">
        <f t="shared" si="0"/>
        <v>0</v>
      </c>
      <c r="G38" s="951">
        <f t="shared" si="2"/>
        <v>219909.08263728805</v>
      </c>
      <c r="I38" t="str">
        <f t="shared" si="3"/>
        <v>8313544</v>
      </c>
      <c r="J38">
        <v>0</v>
      </c>
      <c r="K38" s="925"/>
      <c r="L38" s="925"/>
    </row>
    <row r="39" spans="1:12" x14ac:dyDescent="0.25">
      <c r="A39" s="9" t="s">
        <v>100</v>
      </c>
      <c r="B39" s="10">
        <v>2006</v>
      </c>
      <c r="C39" s="927">
        <v>6.2882096069869053</v>
      </c>
      <c r="D39" s="927">
        <v>0</v>
      </c>
      <c r="E39" s="23">
        <f t="shared" si="1"/>
        <v>5381.0335021834107</v>
      </c>
      <c r="F39" s="925">
        <f t="shared" si="0"/>
        <v>0</v>
      </c>
      <c r="G39" s="951">
        <f t="shared" si="2"/>
        <v>5381.0335021834107</v>
      </c>
      <c r="I39" t="str">
        <f t="shared" si="3"/>
        <v>8312006</v>
      </c>
      <c r="J39">
        <v>0</v>
      </c>
      <c r="K39" s="925"/>
      <c r="L39" s="925"/>
    </row>
    <row r="40" spans="1:12" x14ac:dyDescent="0.25">
      <c r="A40" s="9" t="s">
        <v>37</v>
      </c>
      <c r="B40" s="10">
        <v>2434</v>
      </c>
      <c r="C40" s="927">
        <v>20.520594965675048</v>
      </c>
      <c r="D40" s="927">
        <v>0</v>
      </c>
      <c r="E40" s="23">
        <f t="shared" si="1"/>
        <v>17560.166708237979</v>
      </c>
      <c r="F40" s="925">
        <f t="shared" si="0"/>
        <v>0</v>
      </c>
      <c r="G40" s="951">
        <f t="shared" si="2"/>
        <v>17560.166708237979</v>
      </c>
      <c r="I40" t="str">
        <f t="shared" si="3"/>
        <v>8312434</v>
      </c>
      <c r="J40">
        <v>0</v>
      </c>
      <c r="K40" s="925"/>
      <c r="L40" s="925"/>
    </row>
    <row r="41" spans="1:12" x14ac:dyDescent="0.25">
      <c r="A41" s="9" t="s">
        <v>38</v>
      </c>
      <c r="B41" s="10">
        <v>2522</v>
      </c>
      <c r="C41" s="927">
        <v>10.611940298507445</v>
      </c>
      <c r="D41" s="927">
        <v>0</v>
      </c>
      <c r="E41" s="23">
        <f t="shared" si="1"/>
        <v>9080.9959970149102</v>
      </c>
      <c r="F41" s="925">
        <f t="shared" si="0"/>
        <v>0</v>
      </c>
      <c r="G41" s="951">
        <f t="shared" si="2"/>
        <v>9080.9959970149102</v>
      </c>
      <c r="I41" t="str">
        <f t="shared" si="3"/>
        <v>8312522</v>
      </c>
      <c r="J41">
        <v>0</v>
      </c>
      <c r="K41" s="925"/>
      <c r="L41" s="925"/>
    </row>
    <row r="42" spans="1:12" x14ac:dyDescent="0.25">
      <c r="A42" s="9" t="s">
        <v>39</v>
      </c>
      <c r="B42" s="10">
        <v>2436</v>
      </c>
      <c r="C42" s="927">
        <v>15.395904436860082</v>
      </c>
      <c r="D42" s="927">
        <v>0</v>
      </c>
      <c r="E42" s="23">
        <f t="shared" si="1"/>
        <v>13174.795808191138</v>
      </c>
      <c r="F42" s="925">
        <f t="shared" si="0"/>
        <v>0</v>
      </c>
      <c r="G42" s="951">
        <f t="shared" si="2"/>
        <v>13174.795808191138</v>
      </c>
      <c r="I42" t="str">
        <f t="shared" si="3"/>
        <v>8312436</v>
      </c>
      <c r="J42">
        <v>0</v>
      </c>
      <c r="K42" s="925"/>
      <c r="L42" s="925"/>
    </row>
    <row r="43" spans="1:12" x14ac:dyDescent="0.25">
      <c r="A43" s="9" t="s">
        <v>40</v>
      </c>
      <c r="B43" s="10">
        <v>2452</v>
      </c>
      <c r="C43" s="927">
        <v>12.921686746987961</v>
      </c>
      <c r="D43" s="927">
        <v>0</v>
      </c>
      <c r="E43" s="23">
        <f t="shared" si="1"/>
        <v>11057.524102409645</v>
      </c>
      <c r="F43" s="925">
        <f t="shared" si="0"/>
        <v>0</v>
      </c>
      <c r="G43" s="951">
        <f t="shared" si="2"/>
        <v>11057.524102409645</v>
      </c>
      <c r="I43" t="str">
        <f t="shared" si="3"/>
        <v>8312452</v>
      </c>
      <c r="J43">
        <v>0</v>
      </c>
      <c r="K43" s="925"/>
      <c r="L43" s="925"/>
    </row>
    <row r="44" spans="1:12" x14ac:dyDescent="0.25">
      <c r="A44" s="9" t="s">
        <v>41</v>
      </c>
      <c r="B44" s="10">
        <v>2627</v>
      </c>
      <c r="C44" s="927">
        <v>34.415662650602393</v>
      </c>
      <c r="D44" s="927">
        <v>0</v>
      </c>
      <c r="E44" s="23">
        <f t="shared" si="1"/>
        <v>29450.645779518058</v>
      </c>
      <c r="F44" s="925">
        <f t="shared" si="0"/>
        <v>0</v>
      </c>
      <c r="G44" s="951">
        <f t="shared" si="2"/>
        <v>29450.645779518058</v>
      </c>
      <c r="I44" t="str">
        <f t="shared" si="3"/>
        <v>8312627</v>
      </c>
      <c r="J44">
        <v>0</v>
      </c>
      <c r="K44" s="925"/>
      <c r="L44" s="925"/>
    </row>
    <row r="45" spans="1:12" x14ac:dyDescent="0.25">
      <c r="A45" s="9" t="s">
        <v>42</v>
      </c>
      <c r="B45" s="10">
        <v>2009</v>
      </c>
      <c r="C45" s="927">
        <v>21.063829787234052</v>
      </c>
      <c r="D45" s="927">
        <v>0</v>
      </c>
      <c r="E45" s="23">
        <f t="shared" si="1"/>
        <v>18025.031106382987</v>
      </c>
      <c r="F45" s="925">
        <f t="shared" si="0"/>
        <v>0</v>
      </c>
      <c r="G45" s="951">
        <f t="shared" si="2"/>
        <v>18025.031106382987</v>
      </c>
      <c r="I45" t="str">
        <f t="shared" si="3"/>
        <v>8312009</v>
      </c>
      <c r="J45">
        <v>0</v>
      </c>
      <c r="K45" s="925"/>
      <c r="L45" s="925"/>
    </row>
    <row r="46" spans="1:12" x14ac:dyDescent="0.25">
      <c r="A46" s="9" t="s">
        <v>101</v>
      </c>
      <c r="B46" s="10">
        <v>2473</v>
      </c>
      <c r="C46" s="927">
        <v>10.601156069364151</v>
      </c>
      <c r="D46" s="927">
        <v>0</v>
      </c>
      <c r="E46" s="23">
        <f t="shared" si="1"/>
        <v>9071.7675676300478</v>
      </c>
      <c r="F46" s="925">
        <f t="shared" si="0"/>
        <v>0</v>
      </c>
      <c r="G46" s="951">
        <f t="shared" si="2"/>
        <v>9071.7675676300478</v>
      </c>
      <c r="I46" t="str">
        <f t="shared" si="3"/>
        <v>8312473</v>
      </c>
      <c r="J46">
        <v>0</v>
      </c>
      <c r="K46" s="925"/>
      <c r="L46" s="925"/>
    </row>
    <row r="47" spans="1:12" x14ac:dyDescent="0.25">
      <c r="A47" s="9" t="s">
        <v>44</v>
      </c>
      <c r="B47" s="10">
        <v>2471</v>
      </c>
      <c r="C47" s="927">
        <v>1.0291545189504367</v>
      </c>
      <c r="D47" s="927">
        <v>0</v>
      </c>
      <c r="E47" s="23">
        <f t="shared" si="1"/>
        <v>880.6823072886292</v>
      </c>
      <c r="F47" s="925">
        <f t="shared" si="0"/>
        <v>0</v>
      </c>
      <c r="G47" s="951">
        <f t="shared" si="2"/>
        <v>880.6823072886292</v>
      </c>
      <c r="I47" t="str">
        <f t="shared" si="3"/>
        <v>8312471</v>
      </c>
      <c r="J47">
        <v>0</v>
      </c>
      <c r="K47" s="925"/>
      <c r="L47" s="925"/>
    </row>
    <row r="48" spans="1:12" x14ac:dyDescent="0.25">
      <c r="A48" s="9" t="s">
        <v>43</v>
      </c>
      <c r="B48" s="10">
        <v>2420</v>
      </c>
      <c r="C48" s="927">
        <v>138.49431818181824</v>
      </c>
      <c r="D48" s="927">
        <v>0</v>
      </c>
      <c r="E48" s="23">
        <f t="shared" si="1"/>
        <v>118514.26917613641</v>
      </c>
      <c r="F48" s="925">
        <f t="shared" si="0"/>
        <v>0</v>
      </c>
      <c r="G48" s="951">
        <f t="shared" si="2"/>
        <v>118514.26917613641</v>
      </c>
      <c r="I48" t="str">
        <f t="shared" si="3"/>
        <v>8312420</v>
      </c>
      <c r="J48">
        <v>0</v>
      </c>
      <c r="K48" s="925"/>
      <c r="L48" s="925"/>
    </row>
    <row r="49" spans="1:12" x14ac:dyDescent="0.25">
      <c r="A49" s="9" t="s">
        <v>45</v>
      </c>
      <c r="B49" s="10">
        <v>2003</v>
      </c>
      <c r="C49" s="927">
        <v>3.5000000000000071</v>
      </c>
      <c r="D49" s="927">
        <v>0</v>
      </c>
      <c r="E49" s="23">
        <f t="shared" si="1"/>
        <v>2995.0683000000058</v>
      </c>
      <c r="F49" s="925">
        <f t="shared" si="0"/>
        <v>0</v>
      </c>
      <c r="G49" s="951">
        <f t="shared" si="2"/>
        <v>2995.0683000000058</v>
      </c>
      <c r="I49" t="str">
        <f t="shared" si="3"/>
        <v>8312003</v>
      </c>
      <c r="J49">
        <v>0</v>
      </c>
      <c r="K49" s="925"/>
      <c r="L49" s="925"/>
    </row>
    <row r="50" spans="1:12" x14ac:dyDescent="0.25">
      <c r="A50" s="9" t="s">
        <v>46</v>
      </c>
      <c r="B50" s="10">
        <v>2423</v>
      </c>
      <c r="C50" s="927">
        <v>132.55489614243336</v>
      </c>
      <c r="D50" s="927">
        <v>0</v>
      </c>
      <c r="E50" s="23">
        <f t="shared" si="1"/>
        <v>113431.70498456983</v>
      </c>
      <c r="F50" s="925">
        <f t="shared" si="0"/>
        <v>0</v>
      </c>
      <c r="G50" s="951">
        <f t="shared" si="2"/>
        <v>113431.70498456983</v>
      </c>
      <c r="I50" t="str">
        <f t="shared" si="3"/>
        <v>8312423</v>
      </c>
      <c r="J50">
        <v>0</v>
      </c>
      <c r="K50" s="925"/>
      <c r="L50" s="925"/>
    </row>
    <row r="51" spans="1:12" x14ac:dyDescent="0.25">
      <c r="A51" s="9" t="s">
        <v>47</v>
      </c>
      <c r="B51" s="10">
        <v>2424</v>
      </c>
      <c r="C51" s="927">
        <v>185.64571428571438</v>
      </c>
      <c r="D51" s="927">
        <v>0</v>
      </c>
      <c r="E51" s="23">
        <f t="shared" si="1"/>
        <v>158863.31253942865</v>
      </c>
      <c r="F51" s="925">
        <f t="shared" si="0"/>
        <v>0</v>
      </c>
      <c r="G51" s="951">
        <f t="shared" si="2"/>
        <v>158863.31253942865</v>
      </c>
      <c r="I51" t="str">
        <f t="shared" si="3"/>
        <v>8312424</v>
      </c>
      <c r="J51">
        <v>0</v>
      </c>
      <c r="K51" s="925"/>
      <c r="L51" s="925"/>
    </row>
    <row r="52" spans="1:12" x14ac:dyDescent="0.25">
      <c r="A52" s="9" t="s">
        <v>48</v>
      </c>
      <c r="B52" s="10">
        <v>2439</v>
      </c>
      <c r="C52" s="927">
        <v>10.705882352941178</v>
      </c>
      <c r="D52" s="927">
        <v>0</v>
      </c>
      <c r="E52" s="23">
        <f t="shared" si="1"/>
        <v>9161.3853882352942</v>
      </c>
      <c r="F52" s="925">
        <f t="shared" si="0"/>
        <v>0</v>
      </c>
      <c r="G52" s="951">
        <f t="shared" si="2"/>
        <v>9161.3853882352942</v>
      </c>
      <c r="I52" t="str">
        <f t="shared" si="3"/>
        <v>8312439</v>
      </c>
      <c r="J52">
        <v>0</v>
      </c>
      <c r="K52" s="925"/>
      <c r="L52" s="925"/>
    </row>
    <row r="53" spans="1:12" x14ac:dyDescent="0.25">
      <c r="A53" s="9" t="s">
        <v>49</v>
      </c>
      <c r="B53" s="10">
        <v>2440</v>
      </c>
      <c r="C53" s="927">
        <v>4.9999999999999885</v>
      </c>
      <c r="D53" s="927">
        <v>0</v>
      </c>
      <c r="E53" s="23">
        <f t="shared" si="1"/>
        <v>4278.6689999999899</v>
      </c>
      <c r="F53" s="925">
        <f t="shared" si="0"/>
        <v>0</v>
      </c>
      <c r="G53" s="951">
        <f t="shared" si="2"/>
        <v>4278.6689999999899</v>
      </c>
      <c r="I53" t="str">
        <f t="shared" si="3"/>
        <v>8312440</v>
      </c>
      <c r="J53">
        <v>0</v>
      </c>
      <c r="K53" s="925"/>
      <c r="L53" s="925"/>
    </row>
    <row r="54" spans="1:12" x14ac:dyDescent="0.25">
      <c r="A54" s="9" t="s">
        <v>102</v>
      </c>
      <c r="B54" s="10">
        <v>2462</v>
      </c>
      <c r="C54" s="927">
        <v>52.718954248365982</v>
      </c>
      <c r="D54" s="927">
        <v>0</v>
      </c>
      <c r="E54" s="23">
        <f t="shared" si="1"/>
        <v>45113.391050980361</v>
      </c>
      <c r="F54" s="925">
        <f t="shared" si="0"/>
        <v>0</v>
      </c>
      <c r="G54" s="951">
        <f t="shared" si="2"/>
        <v>45113.391050980361</v>
      </c>
      <c r="I54" t="str">
        <f t="shared" si="3"/>
        <v>8312462</v>
      </c>
      <c r="J54">
        <v>0</v>
      </c>
      <c r="K54" s="925"/>
      <c r="L54" s="925"/>
    </row>
    <row r="55" spans="1:12" x14ac:dyDescent="0.25">
      <c r="A55" s="9" t="s">
        <v>50</v>
      </c>
      <c r="B55" s="10">
        <v>2463</v>
      </c>
      <c r="C55" s="927">
        <v>21.121387283236992</v>
      </c>
      <c r="D55" s="927">
        <v>0</v>
      </c>
      <c r="E55" s="23">
        <f t="shared" si="1"/>
        <v>18074.285001156066</v>
      </c>
      <c r="F55" s="925">
        <f t="shared" si="0"/>
        <v>0</v>
      </c>
      <c r="G55" s="951">
        <f t="shared" si="2"/>
        <v>18074.285001156066</v>
      </c>
      <c r="I55" t="str">
        <f t="shared" si="3"/>
        <v>8312463</v>
      </c>
      <c r="J55">
        <v>0</v>
      </c>
      <c r="K55" s="925"/>
      <c r="L55" s="925"/>
    </row>
    <row r="56" spans="1:12" x14ac:dyDescent="0.25">
      <c r="A56" s="9" t="s">
        <v>51</v>
      </c>
      <c r="B56" s="10">
        <v>2505</v>
      </c>
      <c r="C56" s="927">
        <v>109.40663900414948</v>
      </c>
      <c r="D56" s="927">
        <v>0</v>
      </c>
      <c r="E56" s="23">
        <f t="shared" si="1"/>
        <v>93622.958940249053</v>
      </c>
      <c r="F56" s="925">
        <f t="shared" si="0"/>
        <v>0</v>
      </c>
      <c r="G56" s="951">
        <f t="shared" si="2"/>
        <v>93622.958940249053</v>
      </c>
      <c r="I56" t="str">
        <f t="shared" si="3"/>
        <v>8312505</v>
      </c>
      <c r="J56">
        <v>0</v>
      </c>
      <c r="K56" s="925"/>
      <c r="L56" s="925"/>
    </row>
    <row r="57" spans="1:12" x14ac:dyDescent="0.25">
      <c r="A57" s="9" t="s">
        <v>1304</v>
      </c>
      <c r="B57" s="10">
        <v>2000</v>
      </c>
      <c r="C57" s="927">
        <v>31.714285714285673</v>
      </c>
      <c r="D57" s="927">
        <v>0</v>
      </c>
      <c r="E57" s="23">
        <f t="shared" si="1"/>
        <v>27138.986228571393</v>
      </c>
      <c r="F57" s="925">
        <f t="shared" si="0"/>
        <v>0</v>
      </c>
      <c r="G57" s="951">
        <f t="shared" si="2"/>
        <v>27138.986228571393</v>
      </c>
      <c r="I57" t="str">
        <f t="shared" si="3"/>
        <v>8312000</v>
      </c>
      <c r="J57">
        <v>0</v>
      </c>
      <c r="K57" s="925"/>
      <c r="L57" s="925"/>
    </row>
    <row r="58" spans="1:12" x14ac:dyDescent="0.25">
      <c r="A58" s="9" t="s">
        <v>53</v>
      </c>
      <c r="B58" s="10">
        <v>2458</v>
      </c>
      <c r="C58" s="927">
        <v>70.631284916201224</v>
      </c>
      <c r="D58" s="927">
        <v>0</v>
      </c>
      <c r="E58" s="23">
        <f t="shared" si="1"/>
        <v>60441.577840223552</v>
      </c>
      <c r="F58" s="925">
        <f t="shared" si="0"/>
        <v>0</v>
      </c>
      <c r="G58" s="951">
        <f t="shared" si="2"/>
        <v>60441.577840223552</v>
      </c>
      <c r="I58" t="str">
        <f t="shared" si="3"/>
        <v>8312458</v>
      </c>
      <c r="J58">
        <v>0</v>
      </c>
      <c r="K58" s="925"/>
      <c r="L58" s="925"/>
    </row>
    <row r="59" spans="1:12" x14ac:dyDescent="0.25">
      <c r="A59" s="9" t="s">
        <v>54</v>
      </c>
      <c r="B59" s="10">
        <v>2001</v>
      </c>
      <c r="C59" s="927">
        <v>15.354838709677404</v>
      </c>
      <c r="D59" s="927">
        <v>0</v>
      </c>
      <c r="E59" s="23">
        <f t="shared" si="1"/>
        <v>13139.654477419341</v>
      </c>
      <c r="F59" s="925">
        <f t="shared" si="0"/>
        <v>0</v>
      </c>
      <c r="G59" s="951">
        <f t="shared" si="2"/>
        <v>13139.654477419341</v>
      </c>
      <c r="I59" t="str">
        <f t="shared" si="3"/>
        <v>8312001</v>
      </c>
      <c r="J59">
        <v>0</v>
      </c>
      <c r="K59" s="925"/>
      <c r="L59" s="925"/>
    </row>
    <row r="60" spans="1:12" x14ac:dyDescent="0.25">
      <c r="A60" s="9" t="s">
        <v>55</v>
      </c>
      <c r="B60" s="10">
        <v>2429</v>
      </c>
      <c r="C60" s="927">
        <v>109.11340206185561</v>
      </c>
      <c r="D60" s="927">
        <v>0</v>
      </c>
      <c r="E60" s="23">
        <f t="shared" si="1"/>
        <v>93372.026177319538</v>
      </c>
      <c r="F60" s="925">
        <f t="shared" si="0"/>
        <v>0</v>
      </c>
      <c r="G60" s="951">
        <f t="shared" si="2"/>
        <v>93372.026177319538</v>
      </c>
      <c r="I60" t="str">
        <f t="shared" si="3"/>
        <v>8312429</v>
      </c>
      <c r="J60">
        <v>0</v>
      </c>
      <c r="K60" s="925"/>
      <c r="L60" s="925"/>
    </row>
    <row r="61" spans="1:12" x14ac:dyDescent="0.25">
      <c r="A61" s="9" t="s">
        <v>56</v>
      </c>
      <c r="B61" s="10">
        <v>2444</v>
      </c>
      <c r="C61" s="927">
        <v>43.707142857142827</v>
      </c>
      <c r="D61" s="927">
        <v>0</v>
      </c>
      <c r="E61" s="23">
        <f t="shared" si="1"/>
        <v>37401.679444285684</v>
      </c>
      <c r="F61" s="925">
        <f t="shared" si="0"/>
        <v>0</v>
      </c>
      <c r="G61" s="951">
        <f t="shared" si="2"/>
        <v>37401.679444285684</v>
      </c>
      <c r="I61" t="str">
        <f t="shared" si="3"/>
        <v>8312444</v>
      </c>
      <c r="J61">
        <v>0</v>
      </c>
      <c r="K61" s="925"/>
      <c r="L61" s="925"/>
    </row>
    <row r="62" spans="1:12" x14ac:dyDescent="0.25">
      <c r="A62" s="9" t="s">
        <v>57</v>
      </c>
      <c r="B62" s="10">
        <v>5209</v>
      </c>
      <c r="C62" s="927">
        <v>13.202334630350183</v>
      </c>
      <c r="D62" s="927">
        <v>0</v>
      </c>
      <c r="E62" s="23">
        <f t="shared" si="1"/>
        <v>11297.683982101158</v>
      </c>
      <c r="F62" s="925">
        <f t="shared" si="0"/>
        <v>0</v>
      </c>
      <c r="G62" s="951">
        <f t="shared" si="2"/>
        <v>11297.683982101158</v>
      </c>
      <c r="I62" t="str">
        <f t="shared" si="3"/>
        <v>8315209</v>
      </c>
      <c r="J62">
        <v>0</v>
      </c>
      <c r="K62" s="925"/>
      <c r="L62" s="925"/>
    </row>
    <row r="63" spans="1:12" x14ac:dyDescent="0.25">
      <c r="A63" s="9" t="s">
        <v>58</v>
      </c>
      <c r="B63" s="10">
        <v>2469</v>
      </c>
      <c r="C63" s="927">
        <v>36.210084033613441</v>
      </c>
      <c r="D63" s="927">
        <v>0</v>
      </c>
      <c r="E63" s="23">
        <f t="shared" si="1"/>
        <v>30986.192808403357</v>
      </c>
      <c r="F63" s="925">
        <f t="shared" si="0"/>
        <v>0</v>
      </c>
      <c r="G63" s="951">
        <f t="shared" si="2"/>
        <v>30986.192808403357</v>
      </c>
      <c r="I63" t="str">
        <f t="shared" si="3"/>
        <v>8312469</v>
      </c>
      <c r="J63">
        <v>0</v>
      </c>
      <c r="K63" s="925"/>
      <c r="L63" s="925"/>
    </row>
    <row r="64" spans="1:12" x14ac:dyDescent="0.25">
      <c r="A64" s="22" t="s">
        <v>437</v>
      </c>
      <c r="B64" s="10">
        <v>2430</v>
      </c>
      <c r="C64" s="927">
        <v>33.833333333333393</v>
      </c>
      <c r="D64" s="927">
        <v>0</v>
      </c>
      <c r="E64" s="23">
        <f t="shared" si="1"/>
        <v>28952.326900000051</v>
      </c>
      <c r="F64" s="925">
        <f t="shared" si="0"/>
        <v>0</v>
      </c>
      <c r="G64" s="951">
        <f t="shared" si="2"/>
        <v>28952.326900000051</v>
      </c>
      <c r="I64" t="str">
        <f t="shared" si="3"/>
        <v>8312430</v>
      </c>
      <c r="J64">
        <v>0</v>
      </c>
      <c r="K64" s="925"/>
      <c r="L64" s="925"/>
    </row>
    <row r="65" spans="1:12" x14ac:dyDescent="0.25">
      <c r="A65" s="9" t="s">
        <v>59</v>
      </c>
      <c r="B65" s="10">
        <v>2466</v>
      </c>
      <c r="C65" s="927">
        <v>8.2727272727272716</v>
      </c>
      <c r="D65" s="927">
        <v>0</v>
      </c>
      <c r="E65" s="23">
        <f t="shared" si="1"/>
        <v>7079.2523454545444</v>
      </c>
      <c r="F65" s="925">
        <f t="shared" si="0"/>
        <v>0</v>
      </c>
      <c r="G65" s="951">
        <f t="shared" si="2"/>
        <v>7079.2523454545444</v>
      </c>
      <c r="I65" t="str">
        <f t="shared" si="3"/>
        <v>8312466</v>
      </c>
      <c r="J65">
        <v>0</v>
      </c>
      <c r="K65" s="925"/>
      <c r="L65" s="925"/>
    </row>
    <row r="66" spans="1:12" x14ac:dyDescent="0.25">
      <c r="A66" s="9" t="s">
        <v>60</v>
      </c>
      <c r="B66" s="10">
        <v>3543</v>
      </c>
      <c r="C66" s="927">
        <v>33.284090909090956</v>
      </c>
      <c r="D66" s="927">
        <v>0</v>
      </c>
      <c r="E66" s="23">
        <f t="shared" si="1"/>
        <v>28482.321593181856</v>
      </c>
      <c r="F66" s="925">
        <f t="shared" si="0"/>
        <v>0</v>
      </c>
      <c r="G66" s="951">
        <f t="shared" si="2"/>
        <v>28482.321593181856</v>
      </c>
      <c r="I66" t="str">
        <f t="shared" si="3"/>
        <v>8313543</v>
      </c>
      <c r="J66">
        <v>0</v>
      </c>
      <c r="K66" s="925"/>
      <c r="L66" s="925"/>
    </row>
    <row r="67" spans="1:12" x14ac:dyDescent="0.25">
      <c r="A67" s="9" t="s">
        <v>62</v>
      </c>
      <c r="B67" s="10">
        <v>3531</v>
      </c>
      <c r="C67" s="927">
        <v>40.729166666666821</v>
      </c>
      <c r="D67" s="927">
        <v>0</v>
      </c>
      <c r="E67" s="23">
        <f t="shared" si="1"/>
        <v>34853.324562500129</v>
      </c>
      <c r="F67" s="925">
        <f t="shared" si="0"/>
        <v>0</v>
      </c>
      <c r="G67" s="951">
        <f t="shared" si="2"/>
        <v>34853.324562500129</v>
      </c>
      <c r="I67" t="str">
        <f t="shared" si="3"/>
        <v>8313531</v>
      </c>
      <c r="J67">
        <v>0</v>
      </c>
      <c r="K67" s="925"/>
      <c r="L67" s="925"/>
    </row>
    <row r="68" spans="1:12" x14ac:dyDescent="0.25">
      <c r="A68" s="9" t="s">
        <v>103</v>
      </c>
      <c r="B68" s="10">
        <v>3526</v>
      </c>
      <c r="C68" s="927">
        <v>66.31578947368422</v>
      </c>
      <c r="D68" s="927">
        <v>0</v>
      </c>
      <c r="E68" s="23">
        <f t="shared" si="1"/>
        <v>56748.662526315798</v>
      </c>
      <c r="F68" s="925">
        <f t="shared" si="0"/>
        <v>0</v>
      </c>
      <c r="G68" s="951">
        <f t="shared" si="2"/>
        <v>56748.662526315798</v>
      </c>
      <c r="I68" t="str">
        <f t="shared" si="3"/>
        <v>8313526</v>
      </c>
      <c r="J68">
        <v>0</v>
      </c>
      <c r="K68" s="925"/>
      <c r="L68" s="925"/>
    </row>
    <row r="69" spans="1:12" x14ac:dyDescent="0.25">
      <c r="A69" s="9" t="s">
        <v>104</v>
      </c>
      <c r="B69" s="10">
        <v>3535</v>
      </c>
      <c r="C69" s="927">
        <v>75.265957446808613</v>
      </c>
      <c r="D69" s="927">
        <v>0</v>
      </c>
      <c r="E69" s="23">
        <f t="shared" si="1"/>
        <v>64407.623776595829</v>
      </c>
      <c r="F69" s="925">
        <f t="shared" si="0"/>
        <v>0</v>
      </c>
      <c r="G69" s="951">
        <f t="shared" si="2"/>
        <v>64407.623776595829</v>
      </c>
      <c r="I69" t="str">
        <f t="shared" si="3"/>
        <v>8313535</v>
      </c>
      <c r="J69">
        <v>0</v>
      </c>
      <c r="K69" s="925"/>
      <c r="L69" s="925"/>
    </row>
    <row r="70" spans="1:12" x14ac:dyDescent="0.25">
      <c r="A70" s="12" t="s">
        <v>64</v>
      </c>
      <c r="B70" s="10">
        <v>2008</v>
      </c>
      <c r="C70" s="927">
        <v>17.29591836734695</v>
      </c>
      <c r="D70" s="927">
        <v>0</v>
      </c>
      <c r="E70" s="23">
        <f t="shared" si="1"/>
        <v>14800.7019489796</v>
      </c>
      <c r="F70" s="925">
        <f t="shared" si="0"/>
        <v>0</v>
      </c>
      <c r="G70" s="951">
        <f t="shared" si="2"/>
        <v>14800.7019489796</v>
      </c>
      <c r="I70" t="str">
        <f t="shared" si="3"/>
        <v>8312008</v>
      </c>
      <c r="J70">
        <v>0</v>
      </c>
      <c r="K70" s="925"/>
      <c r="L70" s="925"/>
    </row>
    <row r="71" spans="1:12" x14ac:dyDescent="0.25">
      <c r="A71" s="9" t="s">
        <v>105</v>
      </c>
      <c r="B71" s="10">
        <v>3542</v>
      </c>
      <c r="C71" s="927">
        <v>96.21333333333321</v>
      </c>
      <c r="D71" s="927">
        <v>0</v>
      </c>
      <c r="E71" s="23">
        <f t="shared" si="1"/>
        <v>82333.001343999887</v>
      </c>
      <c r="F71" s="925">
        <f t="shared" ref="F71:F78" si="4">E$2*D71</f>
        <v>0</v>
      </c>
      <c r="G71" s="951">
        <f t="shared" si="2"/>
        <v>82333.001343999887</v>
      </c>
      <c r="I71" t="str">
        <f t="shared" si="3"/>
        <v>8313542</v>
      </c>
      <c r="J71">
        <v>0</v>
      </c>
      <c r="K71" s="925"/>
      <c r="L71" s="925"/>
    </row>
    <row r="72" spans="1:12" x14ac:dyDescent="0.25">
      <c r="A72" s="9" t="s">
        <v>106</v>
      </c>
      <c r="B72" s="10">
        <v>3528</v>
      </c>
      <c r="C72" s="927">
        <v>85.315068493150534</v>
      </c>
      <c r="D72" s="927">
        <v>0</v>
      </c>
      <c r="E72" s="23">
        <f t="shared" si="1"/>
        <v>73006.987758903982</v>
      </c>
      <c r="F72" s="925">
        <f t="shared" si="4"/>
        <v>0</v>
      </c>
      <c r="G72" s="951">
        <f t="shared" si="2"/>
        <v>73006.987758903982</v>
      </c>
      <c r="I72" t="str">
        <f t="shared" si="3"/>
        <v>8313528</v>
      </c>
      <c r="J72">
        <v>0</v>
      </c>
      <c r="K72" s="925"/>
      <c r="L72" s="925"/>
    </row>
    <row r="73" spans="1:12" x14ac:dyDescent="0.25">
      <c r="A73" s="9" t="s">
        <v>107</v>
      </c>
      <c r="B73" s="10">
        <v>3534</v>
      </c>
      <c r="C73" s="927">
        <v>22.086614173228355</v>
      </c>
      <c r="D73" s="927">
        <v>0</v>
      </c>
      <c r="E73" s="23">
        <f t="shared" ref="E73:E78" si="5">E$1*C73</f>
        <v>18900.262275590558</v>
      </c>
      <c r="F73" s="925">
        <f t="shared" si="4"/>
        <v>0</v>
      </c>
      <c r="G73" s="951">
        <f t="shared" ref="G73:G78" si="6">F73+E73</f>
        <v>18900.262275590558</v>
      </c>
      <c r="I73" t="str">
        <f t="shared" ref="I73:I78" si="7">CONCATENATE(831,B73)</f>
        <v>8313534</v>
      </c>
      <c r="J73">
        <v>0</v>
      </c>
      <c r="K73" s="925"/>
      <c r="L73" s="925"/>
    </row>
    <row r="74" spans="1:12" x14ac:dyDescent="0.25">
      <c r="A74" s="9" t="s">
        <v>108</v>
      </c>
      <c r="B74" s="10">
        <v>3532</v>
      </c>
      <c r="C74" s="927">
        <v>0</v>
      </c>
      <c r="D74" s="927">
        <v>0</v>
      </c>
      <c r="E74" s="23">
        <f t="shared" si="5"/>
        <v>0</v>
      </c>
      <c r="F74" s="925">
        <f t="shared" si="4"/>
        <v>0</v>
      </c>
      <c r="G74" s="951">
        <f t="shared" si="6"/>
        <v>0</v>
      </c>
      <c r="I74" t="str">
        <f t="shared" si="7"/>
        <v>8313532</v>
      </c>
      <c r="J74">
        <v>0</v>
      </c>
      <c r="K74" s="925"/>
      <c r="L74" s="925"/>
    </row>
    <row r="75" spans="1:12" x14ac:dyDescent="0.25">
      <c r="A75" s="9" t="s">
        <v>65</v>
      </c>
      <c r="B75" s="10">
        <v>3546</v>
      </c>
      <c r="C75" s="927">
        <v>145.36363636363609</v>
      </c>
      <c r="D75" s="927">
        <v>0</v>
      </c>
      <c r="E75" s="23">
        <f t="shared" si="5"/>
        <v>124392.57692727249</v>
      </c>
      <c r="F75" s="925">
        <f t="shared" si="4"/>
        <v>0</v>
      </c>
      <c r="G75" s="951">
        <f t="shared" si="6"/>
        <v>124392.57692727249</v>
      </c>
      <c r="I75" t="str">
        <f t="shared" si="7"/>
        <v>8313546</v>
      </c>
      <c r="J75">
        <v>0</v>
      </c>
      <c r="K75" s="925"/>
      <c r="L75" s="925"/>
    </row>
    <row r="76" spans="1:12" x14ac:dyDescent="0.25">
      <c r="A76" s="9" t="s">
        <v>109</v>
      </c>
      <c r="B76" s="10">
        <v>3530</v>
      </c>
      <c r="C76" s="927">
        <v>4.9446494464944601</v>
      </c>
      <c r="D76" s="927">
        <v>0</v>
      </c>
      <c r="E76" s="23">
        <f t="shared" si="5"/>
        <v>4231.3036605166008</v>
      </c>
      <c r="F76" s="925">
        <f t="shared" si="4"/>
        <v>0</v>
      </c>
      <c r="G76" s="951">
        <f t="shared" si="6"/>
        <v>4231.3036605166008</v>
      </c>
      <c r="I76" t="str">
        <f t="shared" si="7"/>
        <v>8313530</v>
      </c>
      <c r="J76">
        <v>0</v>
      </c>
      <c r="K76" s="925"/>
      <c r="L76" s="925"/>
    </row>
    <row r="77" spans="1:12" x14ac:dyDescent="0.25">
      <c r="A77" s="9" t="s">
        <v>67</v>
      </c>
      <c r="B77" s="10">
        <v>2459</v>
      </c>
      <c r="C77" s="927">
        <v>38.787692307692481</v>
      </c>
      <c r="D77" s="927">
        <v>0</v>
      </c>
      <c r="E77" s="23">
        <f t="shared" si="5"/>
        <v>33191.939331692454</v>
      </c>
      <c r="F77" s="925">
        <f t="shared" si="4"/>
        <v>0</v>
      </c>
      <c r="G77" s="951">
        <f t="shared" si="6"/>
        <v>33191.939331692454</v>
      </c>
      <c r="I77" t="str">
        <f t="shared" si="7"/>
        <v>8312459</v>
      </c>
      <c r="J77">
        <v>0</v>
      </c>
      <c r="K77" s="925"/>
      <c r="L77" s="925"/>
    </row>
    <row r="78" spans="1:12" x14ac:dyDescent="0.25">
      <c r="A78" s="9" t="s">
        <v>846</v>
      </c>
      <c r="B78" s="10">
        <v>4000</v>
      </c>
      <c r="C78" s="927">
        <v>145.04464285714295</v>
      </c>
      <c r="D78" s="927">
        <v>0</v>
      </c>
      <c r="E78" s="23">
        <f t="shared" si="5"/>
        <v>124119.60340178579</v>
      </c>
      <c r="F78" s="925">
        <f t="shared" si="4"/>
        <v>0</v>
      </c>
      <c r="G78" s="951">
        <f t="shared" si="6"/>
        <v>124119.60340178579</v>
      </c>
      <c r="I78" t="str">
        <f t="shared" si="7"/>
        <v>8314000</v>
      </c>
      <c r="J78">
        <v>40204.091199999995</v>
      </c>
      <c r="K78" s="925"/>
      <c r="L78" s="925"/>
    </row>
    <row r="79" spans="1:12" x14ac:dyDescent="0.25">
      <c r="A79" s="9"/>
      <c r="B79" s="10"/>
      <c r="C79" s="927"/>
      <c r="D79" s="927"/>
      <c r="E79" s="23"/>
      <c r="F79" s="925"/>
      <c r="G79" s="952"/>
      <c r="K79" s="925"/>
      <c r="L79" s="925"/>
    </row>
    <row r="80" spans="1:12" x14ac:dyDescent="0.25">
      <c r="A80" s="1" t="s">
        <v>110</v>
      </c>
      <c r="B80" s="1" t="s">
        <v>110</v>
      </c>
      <c r="C80" s="947">
        <f>SUM(C7:C78)</f>
        <v>3543.2588462816479</v>
      </c>
      <c r="D80" s="947">
        <f>SUM(D7:D78)</f>
        <v>0</v>
      </c>
      <c r="E80" s="947">
        <f>SUM(E7:E78)</f>
        <v>3032086.3569122106</v>
      </c>
      <c r="F80" s="956">
        <f>SUM(F7:F78)</f>
        <v>0</v>
      </c>
      <c r="G80" s="956">
        <f>SUM(G7:G78)</f>
        <v>3032086.3569122106</v>
      </c>
      <c r="K80" s="935"/>
      <c r="L80" s="935"/>
    </row>
    <row r="81" spans="1:12" x14ac:dyDescent="0.25">
      <c r="A81" s="9"/>
      <c r="B81" s="10"/>
      <c r="C81" s="927"/>
      <c r="D81" s="927"/>
      <c r="E81" s="23"/>
      <c r="F81" s="925"/>
      <c r="G81" s="952"/>
      <c r="K81" s="925"/>
      <c r="L81" s="925"/>
    </row>
    <row r="82" spans="1:12" x14ac:dyDescent="0.25">
      <c r="A82" s="9" t="s">
        <v>75</v>
      </c>
      <c r="B82" s="10">
        <v>5402</v>
      </c>
      <c r="C82" s="927">
        <v>0</v>
      </c>
      <c r="D82" s="927">
        <v>19.028875379939258</v>
      </c>
      <c r="E82" s="23">
        <f t="shared" ref="E82:E95" si="8">E$1*C82</f>
        <v>0</v>
      </c>
      <c r="F82" s="925">
        <f t="shared" ref="F82:F95" si="9">E$2*D82</f>
        <v>47814.91507553203</v>
      </c>
      <c r="G82" s="951">
        <f t="shared" ref="G82:G95" si="10">F82+E82</f>
        <v>47814.91507553203</v>
      </c>
      <c r="K82" s="925"/>
      <c r="L82" s="925"/>
    </row>
    <row r="83" spans="1:12" x14ac:dyDescent="0.25">
      <c r="A83" s="9" t="s">
        <v>68</v>
      </c>
      <c r="B83" s="10">
        <v>4608</v>
      </c>
      <c r="C83" s="927">
        <v>0</v>
      </c>
      <c r="D83" s="927">
        <v>11.999999999999988</v>
      </c>
      <c r="E83" s="23">
        <f t="shared" si="8"/>
        <v>0</v>
      </c>
      <c r="F83" s="925">
        <f t="shared" si="9"/>
        <v>30153.068399999964</v>
      </c>
      <c r="G83" s="951">
        <f t="shared" si="10"/>
        <v>30153.068399999964</v>
      </c>
      <c r="K83" s="925"/>
      <c r="L83" s="925"/>
    </row>
    <row r="84" spans="1:12" x14ac:dyDescent="0.25">
      <c r="A84" s="9" t="s">
        <v>111</v>
      </c>
      <c r="B84" s="10">
        <v>4178</v>
      </c>
      <c r="C84" s="927">
        <v>0</v>
      </c>
      <c r="D84" s="927">
        <v>42.228615863141492</v>
      </c>
      <c r="E84" s="23">
        <f t="shared" si="8"/>
        <v>0</v>
      </c>
      <c r="F84" s="925">
        <f t="shared" si="9"/>
        <v>106110.19521321919</v>
      </c>
      <c r="G84" s="951">
        <f t="shared" si="10"/>
        <v>106110.19521321919</v>
      </c>
      <c r="K84" s="925"/>
      <c r="L84" s="925"/>
    </row>
    <row r="85" spans="1:12" x14ac:dyDescent="0.25">
      <c r="A85" s="9" t="s">
        <v>69</v>
      </c>
      <c r="B85" s="10">
        <v>4181</v>
      </c>
      <c r="C85" s="927">
        <v>0</v>
      </c>
      <c r="D85" s="927">
        <v>8.8667900092506962</v>
      </c>
      <c r="E85" s="23">
        <f t="shared" si="8"/>
        <v>0</v>
      </c>
      <c r="F85" s="925">
        <f t="shared" si="9"/>
        <v>22280.077136447737</v>
      </c>
      <c r="G85" s="951">
        <f t="shared" si="10"/>
        <v>22280.077136447737</v>
      </c>
      <c r="K85" s="925"/>
      <c r="L85" s="925"/>
    </row>
    <row r="86" spans="1:12" x14ac:dyDescent="0.25">
      <c r="A86" s="9" t="s">
        <v>70</v>
      </c>
      <c r="B86" s="10">
        <v>4182</v>
      </c>
      <c r="C86" s="927">
        <v>0</v>
      </c>
      <c r="D86" s="927">
        <v>38.13352073085025</v>
      </c>
      <c r="E86" s="23">
        <f t="shared" si="8"/>
        <v>0</v>
      </c>
      <c r="F86" s="925">
        <f t="shared" si="9"/>
        <v>95820.221577512115</v>
      </c>
      <c r="G86" s="951">
        <f t="shared" si="10"/>
        <v>95820.221577512115</v>
      </c>
      <c r="K86" s="925"/>
      <c r="L86" s="925"/>
    </row>
    <row r="87" spans="1:12" x14ac:dyDescent="0.25">
      <c r="A87" s="9" t="s">
        <v>71</v>
      </c>
      <c r="B87" s="28">
        <v>4001</v>
      </c>
      <c r="C87" s="927">
        <v>0</v>
      </c>
      <c r="D87" s="927">
        <v>42.000000000000028</v>
      </c>
      <c r="E87" s="23">
        <f t="shared" si="8"/>
        <v>0</v>
      </c>
      <c r="F87" s="925">
        <f t="shared" si="9"/>
        <v>105535.73940000006</v>
      </c>
      <c r="G87" s="951">
        <f t="shared" si="10"/>
        <v>105535.73940000006</v>
      </c>
      <c r="K87" s="925"/>
      <c r="L87" s="925"/>
    </row>
    <row r="88" spans="1:12" x14ac:dyDescent="0.25">
      <c r="A88" s="9" t="s">
        <v>112</v>
      </c>
      <c r="B88" s="10">
        <v>5406</v>
      </c>
      <c r="C88" s="927">
        <v>0</v>
      </c>
      <c r="D88" s="927">
        <v>25.276412776412766</v>
      </c>
      <c r="E88" s="23">
        <f t="shared" si="8"/>
        <v>0</v>
      </c>
      <c r="F88" s="925">
        <f t="shared" si="9"/>
        <v>63513.450279483994</v>
      </c>
      <c r="G88" s="951">
        <f t="shared" si="10"/>
        <v>63513.450279483994</v>
      </c>
      <c r="K88" s="925"/>
      <c r="L88" s="925"/>
    </row>
    <row r="89" spans="1:12" x14ac:dyDescent="0.25">
      <c r="A89" s="9" t="s">
        <v>113</v>
      </c>
      <c r="B89" s="10">
        <v>5407</v>
      </c>
      <c r="C89" s="927">
        <v>0</v>
      </c>
      <c r="D89" s="927">
        <v>21.038181818181826</v>
      </c>
      <c r="E89" s="23">
        <f t="shared" si="8"/>
        <v>0</v>
      </c>
      <c r="F89" s="925">
        <f t="shared" si="9"/>
        <v>52863.811281272741</v>
      </c>
      <c r="G89" s="951">
        <f t="shared" si="10"/>
        <v>52863.811281272741</v>
      </c>
      <c r="K89" s="925"/>
      <c r="L89" s="925"/>
    </row>
    <row r="90" spans="1:12" x14ac:dyDescent="0.25">
      <c r="A90" s="9" t="s">
        <v>72</v>
      </c>
      <c r="B90" s="10">
        <v>4607</v>
      </c>
      <c r="C90" s="927">
        <v>0</v>
      </c>
      <c r="D90" s="927">
        <v>44.142857142857189</v>
      </c>
      <c r="E90" s="23">
        <f t="shared" si="8"/>
        <v>0</v>
      </c>
      <c r="F90" s="925">
        <f t="shared" si="9"/>
        <v>110920.2159000001</v>
      </c>
      <c r="G90" s="951">
        <f t="shared" si="10"/>
        <v>110920.2159000001</v>
      </c>
      <c r="K90" s="925"/>
      <c r="L90" s="925"/>
    </row>
    <row r="91" spans="1:12" x14ac:dyDescent="0.25">
      <c r="A91" s="9" t="s">
        <v>966</v>
      </c>
      <c r="B91" s="28">
        <v>4002</v>
      </c>
      <c r="C91" s="927">
        <v>0</v>
      </c>
      <c r="D91" s="927">
        <v>79.000000000000199</v>
      </c>
      <c r="E91" s="23">
        <f t="shared" si="8"/>
        <v>0</v>
      </c>
      <c r="F91" s="925">
        <f t="shared" si="9"/>
        <v>198507.70030000046</v>
      </c>
      <c r="G91" s="951">
        <f t="shared" si="10"/>
        <v>198507.70030000046</v>
      </c>
      <c r="K91" s="925"/>
      <c r="L91" s="925"/>
    </row>
    <row r="92" spans="1:12" x14ac:dyDescent="0.25">
      <c r="A92" s="9" t="s">
        <v>74</v>
      </c>
      <c r="B92" s="10">
        <v>5412</v>
      </c>
      <c r="C92" s="927">
        <v>0</v>
      </c>
      <c r="D92" s="927">
        <v>8.0063846767757401</v>
      </c>
      <c r="E92" s="23">
        <f t="shared" si="8"/>
        <v>0</v>
      </c>
      <c r="F92" s="925">
        <f t="shared" si="9"/>
        <v>20118.088732960896</v>
      </c>
      <c r="G92" s="951">
        <f t="shared" si="10"/>
        <v>20118.088732960896</v>
      </c>
      <c r="K92" s="925"/>
      <c r="L92" s="925"/>
    </row>
    <row r="93" spans="1:12" x14ac:dyDescent="0.25">
      <c r="A93" s="9" t="s">
        <v>73</v>
      </c>
      <c r="B93" s="10">
        <v>5414</v>
      </c>
      <c r="C93" s="927">
        <v>0</v>
      </c>
      <c r="D93" s="927">
        <v>16.840823970037473</v>
      </c>
      <c r="E93" s="23">
        <f t="shared" si="8"/>
        <v>0</v>
      </c>
      <c r="F93" s="925">
        <f t="shared" si="9"/>
        <v>42316.876423408285</v>
      </c>
      <c r="G93" s="951">
        <f t="shared" si="10"/>
        <v>42316.876423408285</v>
      </c>
      <c r="K93" s="925"/>
      <c r="L93" s="925"/>
    </row>
    <row r="94" spans="1:12" x14ac:dyDescent="0.25">
      <c r="A94" s="9" t="s">
        <v>1341</v>
      </c>
      <c r="B94" s="10">
        <v>4003</v>
      </c>
      <c r="C94" s="927">
        <v>0</v>
      </c>
      <c r="D94" s="927">
        <v>1.70940170940171</v>
      </c>
      <c r="E94" s="23">
        <f t="shared" si="8"/>
        <v>0</v>
      </c>
      <c r="F94" s="925">
        <f t="shared" si="9"/>
        <v>4295.3088888888897</v>
      </c>
      <c r="G94" s="951">
        <f t="shared" si="10"/>
        <v>4295.3088888888897</v>
      </c>
      <c r="K94" s="925"/>
      <c r="L94" s="925"/>
    </row>
    <row r="95" spans="1:12" x14ac:dyDescent="0.25">
      <c r="A95" s="9" t="s">
        <v>569</v>
      </c>
      <c r="B95" s="10">
        <v>6905</v>
      </c>
      <c r="C95" s="927">
        <v>0</v>
      </c>
      <c r="D95" s="927">
        <v>17.999999999999993</v>
      </c>
      <c r="E95" s="23">
        <f t="shared" si="8"/>
        <v>0</v>
      </c>
      <c r="F95" s="925">
        <f t="shared" si="9"/>
        <v>45229.602599999977</v>
      </c>
      <c r="G95" s="951">
        <f t="shared" si="10"/>
        <v>45229.602599999977</v>
      </c>
      <c r="K95" s="925"/>
      <c r="L95" s="925"/>
    </row>
    <row r="96" spans="1:12" x14ac:dyDescent="0.25">
      <c r="A96" s="9"/>
      <c r="B96" s="10"/>
      <c r="C96" s="927"/>
      <c r="D96" s="927"/>
      <c r="E96" s="23"/>
      <c r="F96" s="925"/>
      <c r="G96" s="952"/>
      <c r="K96" s="925"/>
      <c r="L96" s="925"/>
    </row>
    <row r="97" spans="1:12" x14ac:dyDescent="0.25">
      <c r="A97" s="1" t="s">
        <v>115</v>
      </c>
      <c r="B97" s="1" t="s">
        <v>115</v>
      </c>
      <c r="C97" s="947">
        <f>SUM(C82:C95)</f>
        <v>0</v>
      </c>
      <c r="D97" s="947">
        <f>SUM(D82:D95)</f>
        <v>376.27186407684866</v>
      </c>
      <c r="E97" s="947">
        <f>SUM(E82:E95)</f>
        <v>0</v>
      </c>
      <c r="F97" s="956">
        <f>SUM(F82:F95)</f>
        <v>945479.27120872645</v>
      </c>
      <c r="G97" s="956">
        <f>SUM(G82:G95)</f>
        <v>945479.27120872645</v>
      </c>
      <c r="K97" s="935"/>
      <c r="L97" s="935"/>
    </row>
    <row r="98" spans="1:12" x14ac:dyDescent="0.25">
      <c r="A98" s="1"/>
      <c r="B98" s="1"/>
      <c r="C98" s="947"/>
      <c r="D98" s="947"/>
      <c r="E98" s="947"/>
      <c r="F98" s="956"/>
      <c r="G98" s="956"/>
      <c r="K98" s="935"/>
      <c r="L98" s="935"/>
    </row>
    <row r="99" spans="1:12" x14ac:dyDescent="0.25">
      <c r="A99" s="9" t="s">
        <v>114</v>
      </c>
      <c r="B99" s="10">
        <v>4177</v>
      </c>
      <c r="C99" s="927">
        <v>72.915841584158429</v>
      </c>
      <c r="D99" s="927">
        <v>136.85429447852792</v>
      </c>
      <c r="E99" s="23">
        <f t="shared" ref="E99" si="11">E$1*C99</f>
        <v>62396.550199009907</v>
      </c>
      <c r="F99" s="925">
        <f t="shared" ref="F99" si="12">E$2*D99</f>
        <v>343881.40852039953</v>
      </c>
      <c r="G99" s="951">
        <f t="shared" ref="G99" si="13">F99+E99</f>
        <v>406277.95871940942</v>
      </c>
      <c r="K99" s="935"/>
      <c r="L99" s="935"/>
    </row>
    <row r="100" spans="1:12" x14ac:dyDescent="0.25">
      <c r="A100" s="1"/>
      <c r="B100" s="1"/>
      <c r="C100" s="947"/>
      <c r="D100" s="947"/>
      <c r="E100" s="947"/>
      <c r="F100" s="956"/>
      <c r="G100" s="956"/>
      <c r="K100" s="935"/>
      <c r="L100" s="935"/>
    </row>
    <row r="101" spans="1:12" x14ac:dyDescent="0.25">
      <c r="A101" s="1" t="s">
        <v>848</v>
      </c>
      <c r="B101" s="1" t="s">
        <v>849</v>
      </c>
      <c r="C101" s="947">
        <f>C99</f>
        <v>72.915841584158429</v>
      </c>
      <c r="D101" s="947">
        <f>D99</f>
        <v>136.85429447852792</v>
      </c>
      <c r="E101" s="947">
        <f>E99</f>
        <v>62396.550199009907</v>
      </c>
      <c r="F101" s="956">
        <f>F99</f>
        <v>343881.40852039953</v>
      </c>
      <c r="G101" s="956">
        <f>G99</f>
        <v>406277.95871940942</v>
      </c>
      <c r="K101" s="935"/>
      <c r="L101" s="935"/>
    </row>
    <row r="102" spans="1:12" x14ac:dyDescent="0.25">
      <c r="A102" s="9"/>
      <c r="B102" s="10"/>
      <c r="C102" s="946"/>
      <c r="D102" s="946"/>
      <c r="E102" s="942"/>
      <c r="F102" s="952"/>
      <c r="G102" s="952"/>
      <c r="K102" s="952"/>
      <c r="L102" s="952"/>
    </row>
    <row r="103" spans="1:12" x14ac:dyDescent="0.25">
      <c r="A103" s="1" t="s">
        <v>116</v>
      </c>
      <c r="B103" s="1" t="s">
        <v>117</v>
      </c>
      <c r="C103" s="1105">
        <f>C97+C80+C101</f>
        <v>3616.1746878658064</v>
      </c>
      <c r="D103" s="1105">
        <f>D97+D80+D101</f>
        <v>513.12615855537661</v>
      </c>
      <c r="E103" s="947">
        <f>E97+E80+E101</f>
        <v>3094482.9071112205</v>
      </c>
      <c r="F103" s="956">
        <f>F97+F80+F101</f>
        <v>1289360.6797291259</v>
      </c>
      <c r="G103" s="956">
        <f>G97+G80+G101</f>
        <v>4383843.5868403465</v>
      </c>
      <c r="K103" s="935"/>
      <c r="L103" s="935"/>
    </row>
    <row r="104" spans="1:12" x14ac:dyDescent="0.25">
      <c r="B104" t="s">
        <v>981</v>
      </c>
      <c r="C104" s="21">
        <v>3616.1746878658059</v>
      </c>
      <c r="D104" s="21">
        <v>513.12615855537661</v>
      </c>
    </row>
    <row r="105" spans="1:12" x14ac:dyDescent="0.25">
      <c r="B105" s="1" t="s">
        <v>855</v>
      </c>
      <c r="C105" s="21">
        <f>C104-C103</f>
        <v>0</v>
      </c>
      <c r="D105" s="21">
        <f>D104-D103</f>
        <v>0</v>
      </c>
    </row>
    <row r="107" spans="1:12" x14ac:dyDescent="0.25">
      <c r="A107" t="s">
        <v>990</v>
      </c>
      <c r="E107" s="21">
        <f>E103-E78-E22</f>
        <v>2949747.8985276166</v>
      </c>
      <c r="F107" s="17">
        <f>F103-F78-F22</f>
        <v>1289360.6797291259</v>
      </c>
    </row>
    <row r="108" spans="1:12" x14ac:dyDescent="0.25">
      <c r="E108" s="30" t="s">
        <v>978</v>
      </c>
      <c r="F108" t="s">
        <v>978</v>
      </c>
    </row>
    <row r="111" spans="1:12" x14ac:dyDescent="0.25">
      <c r="A111" s="59" t="s">
        <v>238</v>
      </c>
      <c r="B111" s="59">
        <v>206189</v>
      </c>
    </row>
    <row r="112" spans="1:12" x14ac:dyDescent="0.25">
      <c r="A112" s="59" t="s">
        <v>1301</v>
      </c>
      <c r="B112" s="59">
        <v>2014</v>
      </c>
    </row>
    <row r="113" spans="1:2" x14ac:dyDescent="0.25">
      <c r="A113" s="59" t="s">
        <v>10</v>
      </c>
      <c r="B113" s="59">
        <v>2012</v>
      </c>
    </row>
    <row r="114" spans="1:2" x14ac:dyDescent="0.25">
      <c r="A114" s="59" t="s">
        <v>73</v>
      </c>
      <c r="B114" s="59">
        <v>5414</v>
      </c>
    </row>
    <row r="115" spans="1:2" x14ac:dyDescent="0.25">
      <c r="A115" s="59" t="s">
        <v>846</v>
      </c>
      <c r="B115" s="59">
        <v>4000</v>
      </c>
    </row>
    <row r="116" spans="1:2" x14ac:dyDescent="0.25">
      <c r="A116" s="59" t="s">
        <v>11</v>
      </c>
      <c r="B116" s="59">
        <v>2443</v>
      </c>
    </row>
    <row r="117" spans="1:2" x14ac:dyDescent="0.25">
      <c r="A117" s="59" t="s">
        <v>94</v>
      </c>
      <c r="B117" s="59">
        <v>2442</v>
      </c>
    </row>
    <row r="118" spans="1:2" x14ac:dyDescent="0.25">
      <c r="A118" s="59" t="s">
        <v>241</v>
      </c>
      <c r="B118" s="59" t="s">
        <v>242</v>
      </c>
    </row>
    <row r="119" spans="1:2" x14ac:dyDescent="0.25">
      <c r="A119" s="59" t="s">
        <v>13</v>
      </c>
      <c r="B119" s="59">
        <v>2629</v>
      </c>
    </row>
    <row r="120" spans="1:2" x14ac:dyDescent="0.25">
      <c r="A120" s="59" t="s">
        <v>14</v>
      </c>
      <c r="B120" s="59">
        <v>2509</v>
      </c>
    </row>
    <row r="121" spans="1:2" x14ac:dyDescent="0.25">
      <c r="A121" s="59" t="s">
        <v>2</v>
      </c>
      <c r="B121" s="59">
        <v>1014</v>
      </c>
    </row>
    <row r="122" spans="1:2" x14ac:dyDescent="0.25">
      <c r="A122" s="59" t="s">
        <v>15</v>
      </c>
      <c r="B122" s="59">
        <v>2005</v>
      </c>
    </row>
    <row r="123" spans="1:2" x14ac:dyDescent="0.25">
      <c r="A123" s="59" t="s">
        <v>16</v>
      </c>
      <c r="B123" s="59">
        <v>2464</v>
      </c>
    </row>
    <row r="124" spans="1:2" x14ac:dyDescent="0.25">
      <c r="A124" s="59" t="s">
        <v>706</v>
      </c>
      <c r="B124" s="59" t="s">
        <v>708</v>
      </c>
    </row>
    <row r="125" spans="1:2" x14ac:dyDescent="0.25">
      <c r="A125" s="59" t="s">
        <v>17</v>
      </c>
      <c r="B125" s="59">
        <v>2004</v>
      </c>
    </row>
    <row r="126" spans="1:2" x14ac:dyDescent="0.25">
      <c r="A126" s="59" t="s">
        <v>18</v>
      </c>
      <c r="B126" s="59">
        <v>2405</v>
      </c>
    </row>
    <row r="127" spans="1:2" x14ac:dyDescent="0.25">
      <c r="A127" s="59" t="s">
        <v>243</v>
      </c>
      <c r="B127" s="59" t="s">
        <v>245</v>
      </c>
    </row>
    <row r="128" spans="1:2" x14ac:dyDescent="0.25">
      <c r="A128" s="59" t="s">
        <v>250</v>
      </c>
      <c r="B128" s="59" t="s">
        <v>709</v>
      </c>
    </row>
    <row r="129" spans="1:2" x14ac:dyDescent="0.25">
      <c r="A129" s="59" t="s">
        <v>246</v>
      </c>
      <c r="B129" s="59" t="s">
        <v>247</v>
      </c>
    </row>
    <row r="130" spans="1:2" x14ac:dyDescent="0.25">
      <c r="A130" s="59" t="s">
        <v>248</v>
      </c>
      <c r="B130" s="59" t="s">
        <v>249</v>
      </c>
    </row>
    <row r="131" spans="1:2" x14ac:dyDescent="0.25">
      <c r="A131" s="59" t="s">
        <v>19</v>
      </c>
      <c r="B131" s="59">
        <v>2011</v>
      </c>
    </row>
    <row r="132" spans="1:2" x14ac:dyDescent="0.25">
      <c r="A132" s="59" t="s">
        <v>251</v>
      </c>
      <c r="B132" s="59" t="s">
        <v>252</v>
      </c>
    </row>
    <row r="133" spans="1:2" x14ac:dyDescent="0.25">
      <c r="A133" s="59" t="s">
        <v>20</v>
      </c>
      <c r="B133" s="59">
        <v>5201</v>
      </c>
    </row>
    <row r="134" spans="1:2" x14ac:dyDescent="0.25">
      <c r="A134" s="59" t="s">
        <v>253</v>
      </c>
      <c r="B134" s="59">
        <v>206124</v>
      </c>
    </row>
    <row r="135" spans="1:2" x14ac:dyDescent="0.25">
      <c r="A135" s="59" t="s">
        <v>21</v>
      </c>
      <c r="B135" s="59">
        <v>2433</v>
      </c>
    </row>
    <row r="136" spans="1:2" x14ac:dyDescent="0.25">
      <c r="A136" s="59" t="s">
        <v>22</v>
      </c>
      <c r="B136" s="59">
        <v>2432</v>
      </c>
    </row>
    <row r="137" spans="1:2" x14ac:dyDescent="0.25">
      <c r="A137" s="59" t="s">
        <v>256</v>
      </c>
      <c r="B137" s="59" t="s">
        <v>258</v>
      </c>
    </row>
    <row r="138" spans="1:2" x14ac:dyDescent="0.25">
      <c r="A138" s="59" t="s">
        <v>188</v>
      </c>
      <c r="B138" s="59">
        <v>2447</v>
      </c>
    </row>
    <row r="139" spans="1:2" x14ac:dyDescent="0.25">
      <c r="A139" s="59" t="s">
        <v>23</v>
      </c>
      <c r="B139" s="59">
        <v>2512</v>
      </c>
    </row>
    <row r="140" spans="1:2" x14ac:dyDescent="0.25">
      <c r="A140" s="59" t="s">
        <v>259</v>
      </c>
      <c r="B140" s="59">
        <v>206126</v>
      </c>
    </row>
    <row r="141" spans="1:2" x14ac:dyDescent="0.25">
      <c r="A141" s="59" t="s">
        <v>261</v>
      </c>
      <c r="B141" s="59">
        <v>206111</v>
      </c>
    </row>
    <row r="142" spans="1:2" x14ac:dyDescent="0.25">
      <c r="A142" s="59" t="s">
        <v>263</v>
      </c>
      <c r="B142" s="59">
        <v>206091</v>
      </c>
    </row>
    <row r="143" spans="1:2" x14ac:dyDescent="0.25">
      <c r="A143" s="59" t="s">
        <v>24</v>
      </c>
      <c r="B143" s="59">
        <v>2456</v>
      </c>
    </row>
    <row r="144" spans="1:2" x14ac:dyDescent="0.25">
      <c r="A144" s="59" t="s">
        <v>3</v>
      </c>
      <c r="B144" s="59">
        <v>1017</v>
      </c>
    </row>
    <row r="145" spans="1:2" x14ac:dyDescent="0.25">
      <c r="A145" s="59" t="s">
        <v>25</v>
      </c>
      <c r="B145" s="59">
        <v>2449</v>
      </c>
    </row>
    <row r="146" spans="1:2" x14ac:dyDescent="0.25">
      <c r="A146" s="59" t="s">
        <v>26</v>
      </c>
      <c r="B146" s="59">
        <v>2448</v>
      </c>
    </row>
    <row r="147" spans="1:2" x14ac:dyDescent="0.25">
      <c r="A147" s="59" t="s">
        <v>4</v>
      </c>
      <c r="B147" s="59">
        <v>1006</v>
      </c>
    </row>
    <row r="148" spans="1:2" x14ac:dyDescent="0.25">
      <c r="A148" s="59" t="s">
        <v>27</v>
      </c>
      <c r="B148" s="59">
        <v>2467</v>
      </c>
    </row>
    <row r="149" spans="1:2" x14ac:dyDescent="0.25">
      <c r="A149" s="59" t="s">
        <v>1373</v>
      </c>
      <c r="B149" s="59">
        <v>484300</v>
      </c>
    </row>
    <row r="150" spans="1:2" x14ac:dyDescent="0.25">
      <c r="A150" s="59" t="s">
        <v>75</v>
      </c>
      <c r="B150" s="59">
        <v>5402</v>
      </c>
    </row>
    <row r="151" spans="1:2" x14ac:dyDescent="0.25">
      <c r="A151" s="59" t="s">
        <v>28</v>
      </c>
      <c r="B151" s="59">
        <v>2455</v>
      </c>
    </row>
    <row r="152" spans="1:2" x14ac:dyDescent="0.25">
      <c r="A152" s="59" t="s">
        <v>29</v>
      </c>
      <c r="B152" s="59">
        <v>5203</v>
      </c>
    </row>
    <row r="153" spans="1:2" x14ac:dyDescent="0.25">
      <c r="A153" s="59" t="s">
        <v>30</v>
      </c>
      <c r="B153" s="59">
        <v>2451</v>
      </c>
    </row>
    <row r="154" spans="1:2" x14ac:dyDescent="0.25">
      <c r="A154" s="59" t="s">
        <v>265</v>
      </c>
      <c r="B154" s="59" t="s">
        <v>266</v>
      </c>
    </row>
    <row r="155" spans="1:2" x14ac:dyDescent="0.25">
      <c r="A155" s="59" t="s">
        <v>267</v>
      </c>
      <c r="B155" s="59">
        <v>206128</v>
      </c>
    </row>
    <row r="156" spans="1:2" x14ac:dyDescent="0.25">
      <c r="A156" s="59" t="s">
        <v>438</v>
      </c>
      <c r="B156" s="59">
        <v>4002</v>
      </c>
    </row>
    <row r="157" spans="1:2" x14ac:dyDescent="0.25">
      <c r="A157" s="59" t="s">
        <v>441</v>
      </c>
      <c r="B157" s="59">
        <v>2430</v>
      </c>
    </row>
    <row r="158" spans="1:2" x14ac:dyDescent="0.25">
      <c r="A158" s="59" t="s">
        <v>269</v>
      </c>
      <c r="B158" s="59" t="s">
        <v>710</v>
      </c>
    </row>
    <row r="159" spans="1:2" x14ac:dyDescent="0.25">
      <c r="A159" s="59" t="s">
        <v>711</v>
      </c>
      <c r="B159" s="59" t="s">
        <v>712</v>
      </c>
    </row>
    <row r="160" spans="1:2" x14ac:dyDescent="0.25">
      <c r="A160" s="59" t="s">
        <v>68</v>
      </c>
      <c r="B160" s="59">
        <v>4608</v>
      </c>
    </row>
    <row r="161" spans="1:2" x14ac:dyDescent="0.25">
      <c r="A161" s="59" t="s">
        <v>31</v>
      </c>
      <c r="B161" s="59">
        <v>2409</v>
      </c>
    </row>
    <row r="162" spans="1:2" x14ac:dyDescent="0.25">
      <c r="A162" s="59" t="s">
        <v>270</v>
      </c>
      <c r="B162" s="59" t="s">
        <v>271</v>
      </c>
    </row>
    <row r="163" spans="1:2" x14ac:dyDescent="0.25">
      <c r="A163" s="59" t="s">
        <v>1283</v>
      </c>
      <c r="B163" s="59" t="s">
        <v>714</v>
      </c>
    </row>
    <row r="164" spans="1:2" x14ac:dyDescent="0.25">
      <c r="A164" s="59" t="s">
        <v>525</v>
      </c>
      <c r="B164" s="59">
        <v>205921</v>
      </c>
    </row>
    <row r="165" spans="1:2" x14ac:dyDescent="0.25">
      <c r="A165" s="59" t="s">
        <v>1256</v>
      </c>
      <c r="B165" s="59" t="s">
        <v>719</v>
      </c>
    </row>
    <row r="166" spans="1:2" x14ac:dyDescent="0.25">
      <c r="A166" s="59" t="s">
        <v>1375</v>
      </c>
      <c r="B166" s="59">
        <v>398922</v>
      </c>
    </row>
    <row r="167" spans="1:2" x14ac:dyDescent="0.25">
      <c r="A167" s="59" t="s">
        <v>1374</v>
      </c>
      <c r="B167" s="59">
        <v>479804</v>
      </c>
    </row>
    <row r="168" spans="1:2" x14ac:dyDescent="0.25">
      <c r="A168" s="59" t="s">
        <v>524</v>
      </c>
      <c r="B168" s="59">
        <v>205999</v>
      </c>
    </row>
    <row r="169" spans="1:2" x14ac:dyDescent="0.25">
      <c r="A169" s="59" t="s">
        <v>523</v>
      </c>
      <c r="B169" s="59" t="s">
        <v>272</v>
      </c>
    </row>
    <row r="170" spans="1:2" x14ac:dyDescent="0.25">
      <c r="A170" s="59" t="s">
        <v>1257</v>
      </c>
      <c r="B170" s="59">
        <v>206065</v>
      </c>
    </row>
    <row r="171" spans="1:2" x14ac:dyDescent="0.25">
      <c r="A171" s="59" t="s">
        <v>1376</v>
      </c>
      <c r="B171" s="59">
        <v>314105</v>
      </c>
    </row>
    <row r="172" spans="1:2" x14ac:dyDescent="0.25">
      <c r="A172" s="59" t="s">
        <v>1400</v>
      </c>
      <c r="B172" s="59" t="s">
        <v>277</v>
      </c>
    </row>
    <row r="173" spans="1:2" x14ac:dyDescent="0.25">
      <c r="A173" s="59" t="s">
        <v>1377</v>
      </c>
      <c r="B173" s="59">
        <v>206076</v>
      </c>
    </row>
    <row r="174" spans="1:2" x14ac:dyDescent="0.25">
      <c r="A174" s="59" t="s">
        <v>561</v>
      </c>
      <c r="B174" s="59" t="s">
        <v>727</v>
      </c>
    </row>
    <row r="175" spans="1:2" x14ac:dyDescent="0.25">
      <c r="A175" s="59" t="s">
        <v>1399</v>
      </c>
      <c r="B175" s="59" t="s">
        <v>730</v>
      </c>
    </row>
    <row r="176" spans="1:2" x14ac:dyDescent="0.25">
      <c r="A176" s="59" t="s">
        <v>562</v>
      </c>
      <c r="B176" s="59" t="s">
        <v>275</v>
      </c>
    </row>
    <row r="177" spans="1:2" x14ac:dyDescent="0.25">
      <c r="A177" s="59" t="s">
        <v>1258</v>
      </c>
      <c r="B177" s="59" t="s">
        <v>724</v>
      </c>
    </row>
    <row r="178" spans="1:2" x14ac:dyDescent="0.25">
      <c r="A178" s="59" t="s">
        <v>1259</v>
      </c>
      <c r="B178" s="59">
        <v>205919</v>
      </c>
    </row>
    <row r="179" spans="1:2" x14ac:dyDescent="0.25">
      <c r="A179" s="59" t="s">
        <v>526</v>
      </c>
      <c r="B179" s="59" t="s">
        <v>276</v>
      </c>
    </row>
    <row r="180" spans="1:2" x14ac:dyDescent="0.25">
      <c r="A180" s="59" t="s">
        <v>1378</v>
      </c>
      <c r="B180" s="59">
        <v>477405</v>
      </c>
    </row>
    <row r="181" spans="1:2" x14ac:dyDescent="0.25">
      <c r="A181" s="59" t="s">
        <v>1260</v>
      </c>
      <c r="B181" s="59" t="s">
        <v>734</v>
      </c>
    </row>
    <row r="182" spans="1:2" x14ac:dyDescent="0.25">
      <c r="A182" s="59" t="s">
        <v>1379</v>
      </c>
      <c r="B182" s="59">
        <v>401536</v>
      </c>
    </row>
    <row r="183" spans="1:2" x14ac:dyDescent="0.25">
      <c r="A183" s="59" t="s">
        <v>1261</v>
      </c>
      <c r="B183" s="59" t="s">
        <v>736</v>
      </c>
    </row>
    <row r="184" spans="1:2" x14ac:dyDescent="0.25">
      <c r="A184" s="59" t="s">
        <v>1263</v>
      </c>
      <c r="B184" s="59" t="s">
        <v>739</v>
      </c>
    </row>
    <row r="185" spans="1:2" x14ac:dyDescent="0.25">
      <c r="A185" s="59" t="s">
        <v>1262</v>
      </c>
      <c r="B185" s="59">
        <v>205849</v>
      </c>
    </row>
    <row r="186" spans="1:2" x14ac:dyDescent="0.25">
      <c r="A186" s="59" t="s">
        <v>566</v>
      </c>
      <c r="B186" s="59" t="s">
        <v>273</v>
      </c>
    </row>
    <row r="187" spans="1:2" x14ac:dyDescent="0.25">
      <c r="A187" s="59" t="s">
        <v>1264</v>
      </c>
      <c r="B187" s="59" t="s">
        <v>741</v>
      </c>
    </row>
    <row r="188" spans="1:2" x14ac:dyDescent="0.25">
      <c r="A188" s="59" t="s">
        <v>1268</v>
      </c>
      <c r="B188" s="59">
        <v>205922</v>
      </c>
    </row>
    <row r="189" spans="1:2" x14ac:dyDescent="0.25">
      <c r="A189" s="59" t="s">
        <v>1267</v>
      </c>
      <c r="B189" s="59">
        <v>205881</v>
      </c>
    </row>
    <row r="190" spans="1:2" x14ac:dyDescent="0.25">
      <c r="A190" s="59" t="s">
        <v>1265</v>
      </c>
      <c r="B190" s="59" t="s">
        <v>744</v>
      </c>
    </row>
    <row r="191" spans="1:2" x14ac:dyDescent="0.25">
      <c r="A191" s="59" t="s">
        <v>527</v>
      </c>
      <c r="B191" s="59" t="s">
        <v>278</v>
      </c>
    </row>
    <row r="192" spans="1:2" x14ac:dyDescent="0.25">
      <c r="A192" s="59" t="s">
        <v>1266</v>
      </c>
      <c r="B192" s="59" t="s">
        <v>749</v>
      </c>
    </row>
    <row r="193" spans="1:2" x14ac:dyDescent="0.25">
      <c r="A193" s="59" t="s">
        <v>1380</v>
      </c>
      <c r="B193" s="59">
        <v>462623</v>
      </c>
    </row>
    <row r="194" spans="1:2" x14ac:dyDescent="0.25">
      <c r="A194" s="59" t="s">
        <v>750</v>
      </c>
      <c r="B194" s="59" t="s">
        <v>751</v>
      </c>
    </row>
    <row r="195" spans="1:2" x14ac:dyDescent="0.25">
      <c r="A195" s="59" t="s">
        <v>1269</v>
      </c>
      <c r="B195" s="59" t="s">
        <v>754</v>
      </c>
    </row>
    <row r="196" spans="1:2" x14ac:dyDescent="0.25">
      <c r="A196" s="59" t="s">
        <v>528</v>
      </c>
      <c r="B196" s="59">
        <v>2</v>
      </c>
    </row>
    <row r="197" spans="1:2" x14ac:dyDescent="0.25">
      <c r="A197" s="59" t="s">
        <v>1270</v>
      </c>
      <c r="B197" s="59" t="s">
        <v>621</v>
      </c>
    </row>
    <row r="198" spans="1:2" x14ac:dyDescent="0.25">
      <c r="A198" s="59" t="s">
        <v>1271</v>
      </c>
      <c r="B198" s="59" t="s">
        <v>639</v>
      </c>
    </row>
    <row r="199" spans="1:2" x14ac:dyDescent="0.25">
      <c r="A199" s="59" t="s">
        <v>1271</v>
      </c>
      <c r="B199" s="59">
        <v>205878</v>
      </c>
    </row>
    <row r="200" spans="1:2" x14ac:dyDescent="0.25">
      <c r="A200" s="59" t="s">
        <v>529</v>
      </c>
      <c r="B200" s="59">
        <v>205956</v>
      </c>
    </row>
    <row r="201" spans="1:2" x14ac:dyDescent="0.25">
      <c r="A201" s="59" t="s">
        <v>1273</v>
      </c>
      <c r="B201" s="59" t="s">
        <v>759</v>
      </c>
    </row>
    <row r="202" spans="1:2" x14ac:dyDescent="0.25">
      <c r="A202" s="59" t="s">
        <v>1382</v>
      </c>
      <c r="B202" s="59">
        <v>472319</v>
      </c>
    </row>
    <row r="203" spans="1:2" x14ac:dyDescent="0.25">
      <c r="A203" s="59" t="s">
        <v>1272</v>
      </c>
      <c r="B203" s="59">
        <v>260849</v>
      </c>
    </row>
    <row r="204" spans="1:2" x14ac:dyDescent="0.25">
      <c r="A204" s="59" t="s">
        <v>1383</v>
      </c>
      <c r="B204" s="59">
        <v>482805</v>
      </c>
    </row>
    <row r="205" spans="1:2" x14ac:dyDescent="0.25">
      <c r="A205" s="59" t="s">
        <v>1381</v>
      </c>
      <c r="B205" s="59">
        <v>447579</v>
      </c>
    </row>
    <row r="206" spans="1:2" x14ac:dyDescent="0.25">
      <c r="A206" s="59" t="s">
        <v>1274</v>
      </c>
      <c r="B206" s="59" t="s">
        <v>280</v>
      </c>
    </row>
    <row r="207" spans="1:2" x14ac:dyDescent="0.25">
      <c r="A207" s="59" t="s">
        <v>1275</v>
      </c>
      <c r="B207" s="59" t="s">
        <v>762</v>
      </c>
    </row>
    <row r="208" spans="1:2" x14ac:dyDescent="0.25">
      <c r="A208" s="59" t="s">
        <v>1277</v>
      </c>
      <c r="B208" s="59" t="s">
        <v>766</v>
      </c>
    </row>
    <row r="209" spans="1:2" x14ac:dyDescent="0.25">
      <c r="A209" s="59" t="s">
        <v>1276</v>
      </c>
      <c r="B209" s="59" t="s">
        <v>764</v>
      </c>
    </row>
    <row r="210" spans="1:2" x14ac:dyDescent="0.25">
      <c r="A210" s="59" t="s">
        <v>1279</v>
      </c>
      <c r="B210" s="59" t="s">
        <v>771</v>
      </c>
    </row>
    <row r="211" spans="1:2" x14ac:dyDescent="0.25">
      <c r="A211" s="437" t="s">
        <v>1278</v>
      </c>
      <c r="B211" s="529" t="s">
        <v>768</v>
      </c>
    </row>
    <row r="212" spans="1:2" x14ac:dyDescent="0.25">
      <c r="A212" s="437" t="s">
        <v>564</v>
      </c>
      <c r="B212" s="529" t="s">
        <v>281</v>
      </c>
    </row>
    <row r="213" spans="1:2" x14ac:dyDescent="0.25">
      <c r="A213" s="59" t="s">
        <v>1284</v>
      </c>
      <c r="B213" s="59" t="s">
        <v>774</v>
      </c>
    </row>
    <row r="214" spans="1:2" x14ac:dyDescent="0.25">
      <c r="A214" s="59" t="s">
        <v>1384</v>
      </c>
      <c r="B214" s="59">
        <v>484039</v>
      </c>
    </row>
    <row r="215" spans="1:2" x14ac:dyDescent="0.25">
      <c r="A215" s="59" t="s">
        <v>1285</v>
      </c>
      <c r="B215" s="59" t="s">
        <v>776</v>
      </c>
    </row>
    <row r="216" spans="1:2" x14ac:dyDescent="0.25">
      <c r="A216" s="59" t="s">
        <v>1385</v>
      </c>
      <c r="B216" s="59">
        <v>343478</v>
      </c>
    </row>
    <row r="217" spans="1:2" x14ac:dyDescent="0.25">
      <c r="A217" s="59" t="s">
        <v>532</v>
      </c>
      <c r="B217" s="59" t="s">
        <v>283</v>
      </c>
    </row>
    <row r="218" spans="1:2" x14ac:dyDescent="0.25">
      <c r="A218" s="59" t="s">
        <v>1280</v>
      </c>
      <c r="B218" s="59">
        <v>206031</v>
      </c>
    </row>
    <row r="219" spans="1:2" x14ac:dyDescent="0.25">
      <c r="A219" s="59" t="s">
        <v>531</v>
      </c>
      <c r="B219" s="59" t="s">
        <v>284</v>
      </c>
    </row>
    <row r="220" spans="1:2" x14ac:dyDescent="0.25">
      <c r="A220" s="59" t="s">
        <v>530</v>
      </c>
      <c r="B220" s="59" t="s">
        <v>282</v>
      </c>
    </row>
    <row r="221" spans="1:2" x14ac:dyDescent="0.25">
      <c r="A221" s="59" t="s">
        <v>1281</v>
      </c>
      <c r="B221" s="59" t="s">
        <v>781</v>
      </c>
    </row>
    <row r="222" spans="1:2" x14ac:dyDescent="0.25">
      <c r="A222" s="59" t="s">
        <v>1255</v>
      </c>
      <c r="B222" s="59" t="s">
        <v>285</v>
      </c>
    </row>
    <row r="223" spans="1:2" x14ac:dyDescent="0.25">
      <c r="A223" s="59" t="s">
        <v>1289</v>
      </c>
      <c r="B223" s="59">
        <v>260848</v>
      </c>
    </row>
    <row r="224" spans="1:2" x14ac:dyDescent="0.25">
      <c r="A224" s="59" t="s">
        <v>565</v>
      </c>
      <c r="B224" s="59">
        <v>206043</v>
      </c>
    </row>
    <row r="225" spans="1:2" x14ac:dyDescent="0.25">
      <c r="A225" s="59" t="s">
        <v>533</v>
      </c>
      <c r="B225" s="59" t="s">
        <v>286</v>
      </c>
    </row>
    <row r="226" spans="1:2" x14ac:dyDescent="0.25">
      <c r="A226" s="59" t="s">
        <v>533</v>
      </c>
      <c r="B226" s="59">
        <v>505502</v>
      </c>
    </row>
    <row r="227" spans="1:2" x14ac:dyDescent="0.25">
      <c r="A227" s="59" t="s">
        <v>563</v>
      </c>
      <c r="B227" s="59">
        <v>205978</v>
      </c>
    </row>
    <row r="228" spans="1:2" x14ac:dyDescent="0.25">
      <c r="A228" s="59" t="s">
        <v>1296</v>
      </c>
      <c r="B228" s="59">
        <v>435150</v>
      </c>
    </row>
    <row r="229" spans="1:2" x14ac:dyDescent="0.25">
      <c r="A229" s="59" t="s">
        <v>1288</v>
      </c>
      <c r="B229" s="59">
        <v>206067</v>
      </c>
    </row>
    <row r="230" spans="1:2" x14ac:dyDescent="0.25">
      <c r="A230" s="59" t="s">
        <v>534</v>
      </c>
      <c r="B230" s="59" t="s">
        <v>287</v>
      </c>
    </row>
    <row r="231" spans="1:2" x14ac:dyDescent="0.25">
      <c r="A231" s="59" t="s">
        <v>1282</v>
      </c>
      <c r="B231" s="59" t="s">
        <v>279</v>
      </c>
    </row>
    <row r="232" spans="1:2" x14ac:dyDescent="0.25">
      <c r="A232" s="59" t="s">
        <v>535</v>
      </c>
      <c r="B232" s="59" t="s">
        <v>288</v>
      </c>
    </row>
    <row r="233" spans="1:2" x14ac:dyDescent="0.25">
      <c r="A233" s="59" t="s">
        <v>1286</v>
      </c>
      <c r="B233" s="59" t="s">
        <v>793</v>
      </c>
    </row>
    <row r="234" spans="1:2" x14ac:dyDescent="0.25">
      <c r="A234" s="59" t="s">
        <v>1386</v>
      </c>
      <c r="B234" s="59">
        <v>414019</v>
      </c>
    </row>
    <row r="235" spans="1:2" x14ac:dyDescent="0.25">
      <c r="A235" s="59" t="s">
        <v>567</v>
      </c>
      <c r="B235" s="59" t="s">
        <v>274</v>
      </c>
    </row>
    <row r="236" spans="1:2" x14ac:dyDescent="0.25">
      <c r="A236" s="59" t="s">
        <v>1387</v>
      </c>
      <c r="B236" s="59">
        <v>458078</v>
      </c>
    </row>
    <row r="237" spans="1:2" x14ac:dyDescent="0.25">
      <c r="A237" s="59" t="s">
        <v>1287</v>
      </c>
      <c r="B237" s="59" t="s">
        <v>795</v>
      </c>
    </row>
    <row r="238" spans="1:2" x14ac:dyDescent="0.25">
      <c r="A238" s="59" t="s">
        <v>289</v>
      </c>
      <c r="B238" s="59" t="s">
        <v>290</v>
      </c>
    </row>
    <row r="239" spans="1:2" x14ac:dyDescent="0.25">
      <c r="A239" s="59" t="s">
        <v>1306</v>
      </c>
      <c r="B239" s="59">
        <v>4003</v>
      </c>
    </row>
    <row r="240" spans="1:2" x14ac:dyDescent="0.25">
      <c r="A240" s="59" t="s">
        <v>797</v>
      </c>
      <c r="B240" s="59" t="s">
        <v>798</v>
      </c>
    </row>
    <row r="241" spans="1:2" x14ac:dyDescent="0.25">
      <c r="A241" s="59" t="s">
        <v>291</v>
      </c>
      <c r="B241" s="59" t="s">
        <v>293</v>
      </c>
    </row>
    <row r="242" spans="1:2" x14ac:dyDescent="0.25">
      <c r="A242" s="59" t="s">
        <v>111</v>
      </c>
      <c r="B242" s="59">
        <v>4178</v>
      </c>
    </row>
    <row r="243" spans="1:2" x14ac:dyDescent="0.25">
      <c r="A243" s="59" t="s">
        <v>98</v>
      </c>
      <c r="B243" s="59">
        <v>3158</v>
      </c>
    </row>
    <row r="244" spans="1:2" x14ac:dyDescent="0.25">
      <c r="A244" s="59" t="s">
        <v>32</v>
      </c>
      <c r="B244" s="59">
        <v>2619</v>
      </c>
    </row>
    <row r="245" spans="1:2" x14ac:dyDescent="0.25">
      <c r="A245" s="59" t="s">
        <v>1388</v>
      </c>
      <c r="B245" s="59">
        <v>479542</v>
      </c>
    </row>
    <row r="246" spans="1:2" x14ac:dyDescent="0.25">
      <c r="A246" s="59" t="s">
        <v>1389</v>
      </c>
      <c r="B246" s="59" t="s">
        <v>1390</v>
      </c>
    </row>
    <row r="247" spans="1:2" x14ac:dyDescent="0.25">
      <c r="A247" s="59" t="s">
        <v>799</v>
      </c>
      <c r="B247" s="59" t="s">
        <v>800</v>
      </c>
    </row>
    <row r="248" spans="1:2" x14ac:dyDescent="0.25">
      <c r="A248" s="59" t="s">
        <v>1391</v>
      </c>
      <c r="B248" s="59">
        <v>487369</v>
      </c>
    </row>
    <row r="249" spans="1:2" x14ac:dyDescent="0.25">
      <c r="A249" s="59" t="s">
        <v>1392</v>
      </c>
      <c r="B249" s="59">
        <v>477763</v>
      </c>
    </row>
    <row r="250" spans="1:2" x14ac:dyDescent="0.25">
      <c r="A250" s="59" t="s">
        <v>294</v>
      </c>
      <c r="B250" s="59" t="s">
        <v>295</v>
      </c>
    </row>
    <row r="251" spans="1:2" x14ac:dyDescent="0.25">
      <c r="A251" s="59" t="s">
        <v>296</v>
      </c>
      <c r="B251" s="59">
        <v>258417</v>
      </c>
    </row>
    <row r="252" spans="1:2" x14ac:dyDescent="0.25">
      <c r="A252" s="59" t="s">
        <v>298</v>
      </c>
      <c r="B252" s="59" t="s">
        <v>300</v>
      </c>
    </row>
    <row r="253" spans="1:2" x14ac:dyDescent="0.25">
      <c r="A253" s="59" t="s">
        <v>301</v>
      </c>
      <c r="B253" s="59" t="s">
        <v>303</v>
      </c>
    </row>
    <row r="254" spans="1:2" x14ac:dyDescent="0.25">
      <c r="A254" s="59" t="s">
        <v>33</v>
      </c>
      <c r="B254" s="59">
        <v>2518</v>
      </c>
    </row>
    <row r="255" spans="1:2" x14ac:dyDescent="0.25">
      <c r="A255" s="59" t="s">
        <v>801</v>
      </c>
      <c r="B255" s="59" t="s">
        <v>802</v>
      </c>
    </row>
    <row r="256" spans="1:2" x14ac:dyDescent="0.25">
      <c r="A256" s="59" t="s">
        <v>304</v>
      </c>
      <c r="B256" s="59">
        <v>206106</v>
      </c>
    </row>
    <row r="257" spans="1:2" x14ac:dyDescent="0.25">
      <c r="A257" s="59" t="s">
        <v>306</v>
      </c>
      <c r="B257" s="59" t="s">
        <v>307</v>
      </c>
    </row>
    <row r="258" spans="1:2" x14ac:dyDescent="0.25">
      <c r="A258" s="59" t="s">
        <v>803</v>
      </c>
      <c r="B258" s="59" t="s">
        <v>804</v>
      </c>
    </row>
    <row r="259" spans="1:2" x14ac:dyDescent="0.25">
      <c r="A259" s="59" t="s">
        <v>34</v>
      </c>
      <c r="B259" s="59">
        <v>2457</v>
      </c>
    </row>
    <row r="260" spans="1:2" x14ac:dyDescent="0.25">
      <c r="A260" s="59" t="s">
        <v>99</v>
      </c>
      <c r="B260" s="59">
        <v>2010</v>
      </c>
    </row>
    <row r="261" spans="1:2" x14ac:dyDescent="0.25">
      <c r="A261" s="59" t="s">
        <v>35</v>
      </c>
      <c r="B261" s="59">
        <v>2002</v>
      </c>
    </row>
    <row r="262" spans="1:2" x14ac:dyDescent="0.25">
      <c r="A262" s="59" t="s">
        <v>36</v>
      </c>
      <c r="B262" s="59">
        <v>3544</v>
      </c>
    </row>
    <row r="263" spans="1:2" x14ac:dyDescent="0.25">
      <c r="A263" s="59" t="s">
        <v>5</v>
      </c>
      <c r="B263" s="59">
        <v>1008</v>
      </c>
    </row>
    <row r="264" spans="1:2" x14ac:dyDescent="0.25">
      <c r="A264" s="59" t="s">
        <v>308</v>
      </c>
      <c r="B264" s="59" t="s">
        <v>309</v>
      </c>
    </row>
    <row r="265" spans="1:2" x14ac:dyDescent="0.25">
      <c r="A265" s="59" t="s">
        <v>100</v>
      </c>
      <c r="B265" s="59">
        <v>2006</v>
      </c>
    </row>
    <row r="266" spans="1:2" x14ac:dyDescent="0.25">
      <c r="A266" s="59" t="s">
        <v>310</v>
      </c>
      <c r="B266" s="59" t="s">
        <v>311</v>
      </c>
    </row>
    <row r="267" spans="1:2" x14ac:dyDescent="0.25">
      <c r="A267" s="59" t="s">
        <v>312</v>
      </c>
      <c r="B267" s="59">
        <v>206133</v>
      </c>
    </row>
    <row r="268" spans="1:2" x14ac:dyDescent="0.25">
      <c r="A268" s="59" t="s">
        <v>806</v>
      </c>
      <c r="B268" s="59" t="s">
        <v>807</v>
      </c>
    </row>
    <row r="269" spans="1:2" x14ac:dyDescent="0.25">
      <c r="A269" s="59" t="s">
        <v>314</v>
      </c>
      <c r="B269" s="59" t="s">
        <v>316</v>
      </c>
    </row>
    <row r="270" spans="1:2" x14ac:dyDescent="0.25">
      <c r="A270" s="59" t="s">
        <v>317</v>
      </c>
      <c r="B270" s="59">
        <v>206134</v>
      </c>
    </row>
    <row r="271" spans="1:2" x14ac:dyDescent="0.25">
      <c r="A271" s="59" t="s">
        <v>321</v>
      </c>
      <c r="B271" s="59" t="s">
        <v>322</v>
      </c>
    </row>
    <row r="272" spans="1:2" x14ac:dyDescent="0.25">
      <c r="A272" s="59" t="s">
        <v>319</v>
      </c>
      <c r="B272" s="59" t="s">
        <v>320</v>
      </c>
    </row>
    <row r="273" spans="1:2" x14ac:dyDescent="0.25">
      <c r="A273" s="59" t="s">
        <v>323</v>
      </c>
      <c r="B273" s="59" t="s">
        <v>324</v>
      </c>
    </row>
    <row r="274" spans="1:2" x14ac:dyDescent="0.25">
      <c r="A274" s="59" t="s">
        <v>325</v>
      </c>
      <c r="B274" s="59">
        <v>206109</v>
      </c>
    </row>
    <row r="275" spans="1:2" x14ac:dyDescent="0.25">
      <c r="A275" s="59" t="s">
        <v>37</v>
      </c>
      <c r="B275" s="59">
        <v>2434</v>
      </c>
    </row>
    <row r="276" spans="1:2" x14ac:dyDescent="0.25">
      <c r="A276" s="59" t="s">
        <v>42</v>
      </c>
      <c r="B276" s="59">
        <v>2009</v>
      </c>
    </row>
    <row r="277" spans="1:2" x14ac:dyDescent="0.25">
      <c r="A277" s="59" t="s">
        <v>569</v>
      </c>
      <c r="B277" s="59">
        <v>6905</v>
      </c>
    </row>
    <row r="278" spans="1:2" x14ac:dyDescent="0.25">
      <c r="A278" s="59" t="s">
        <v>38</v>
      </c>
      <c r="B278" s="59">
        <v>2522</v>
      </c>
    </row>
    <row r="279" spans="1:2" x14ac:dyDescent="0.25">
      <c r="A279" s="59" t="s">
        <v>327</v>
      </c>
      <c r="B279" s="59">
        <v>206110</v>
      </c>
    </row>
    <row r="280" spans="1:2" x14ac:dyDescent="0.25">
      <c r="A280" s="59" t="s">
        <v>329</v>
      </c>
      <c r="B280" s="59">
        <v>206135</v>
      </c>
    </row>
    <row r="281" spans="1:2" x14ac:dyDescent="0.25">
      <c r="A281" s="59" t="s">
        <v>69</v>
      </c>
      <c r="B281" s="59">
        <v>4181</v>
      </c>
    </row>
    <row r="282" spans="1:2" x14ac:dyDescent="0.25">
      <c r="A282" s="59" t="s">
        <v>331</v>
      </c>
      <c r="B282" s="59">
        <v>509195</v>
      </c>
    </row>
    <row r="283" spans="1:2" x14ac:dyDescent="0.25">
      <c r="A283" s="59" t="s">
        <v>1393</v>
      </c>
      <c r="B283" s="59">
        <v>480857</v>
      </c>
    </row>
    <row r="284" spans="1:2" x14ac:dyDescent="0.25">
      <c r="A284" s="59" t="s">
        <v>333</v>
      </c>
      <c r="B284" s="59" t="s">
        <v>334</v>
      </c>
    </row>
    <row r="285" spans="1:2" x14ac:dyDescent="0.25">
      <c r="A285" s="59" t="s">
        <v>335</v>
      </c>
      <c r="B285" s="59" t="s">
        <v>336</v>
      </c>
    </row>
    <row r="286" spans="1:2" x14ac:dyDescent="0.25">
      <c r="A286" s="59" t="s">
        <v>1394</v>
      </c>
      <c r="B286" s="59">
        <v>492973</v>
      </c>
    </row>
    <row r="287" spans="1:2" x14ac:dyDescent="0.25">
      <c r="A287" s="59" t="s">
        <v>337</v>
      </c>
      <c r="B287" s="59" t="s">
        <v>339</v>
      </c>
    </row>
    <row r="288" spans="1:2" x14ac:dyDescent="0.25">
      <c r="A288" s="59" t="s">
        <v>340</v>
      </c>
      <c r="B288" s="59">
        <v>509199</v>
      </c>
    </row>
    <row r="289" spans="1:2" x14ac:dyDescent="0.25">
      <c r="A289" s="59" t="s">
        <v>342</v>
      </c>
      <c r="B289" s="59">
        <v>509197</v>
      </c>
    </row>
    <row r="290" spans="1:2" x14ac:dyDescent="0.25">
      <c r="A290" s="59" t="s">
        <v>808</v>
      </c>
      <c r="B290" s="59">
        <v>479383</v>
      </c>
    </row>
    <row r="291" spans="1:2" x14ac:dyDescent="0.25">
      <c r="A291" s="59" t="s">
        <v>347</v>
      </c>
      <c r="B291" s="59" t="s">
        <v>348</v>
      </c>
    </row>
    <row r="292" spans="1:2" x14ac:dyDescent="0.25">
      <c r="A292" s="59" t="s">
        <v>70</v>
      </c>
      <c r="B292" s="59">
        <v>4182</v>
      </c>
    </row>
    <row r="293" spans="1:2" x14ac:dyDescent="0.25">
      <c r="A293" s="59" t="s">
        <v>344</v>
      </c>
      <c r="B293" s="59" t="s">
        <v>346</v>
      </c>
    </row>
    <row r="294" spans="1:2" x14ac:dyDescent="0.25">
      <c r="A294" s="59" t="s">
        <v>6</v>
      </c>
      <c r="B294" s="59">
        <v>1005</v>
      </c>
    </row>
    <row r="295" spans="1:2" x14ac:dyDescent="0.25">
      <c r="A295" s="59" t="s">
        <v>809</v>
      </c>
      <c r="B295" s="59" t="s">
        <v>810</v>
      </c>
    </row>
    <row r="296" spans="1:2" x14ac:dyDescent="0.25">
      <c r="A296" s="59" t="s">
        <v>39</v>
      </c>
      <c r="B296" s="59">
        <v>2436</v>
      </c>
    </row>
    <row r="297" spans="1:2" x14ac:dyDescent="0.25">
      <c r="A297" s="59" t="s">
        <v>349</v>
      </c>
      <c r="B297" s="59">
        <v>206117</v>
      </c>
    </row>
    <row r="298" spans="1:2" x14ac:dyDescent="0.25">
      <c r="A298" s="59" t="s">
        <v>40</v>
      </c>
      <c r="B298" s="59">
        <v>2452</v>
      </c>
    </row>
    <row r="299" spans="1:2" x14ac:dyDescent="0.25">
      <c r="A299" s="59" t="s">
        <v>71</v>
      </c>
      <c r="B299" s="59">
        <v>4001</v>
      </c>
    </row>
    <row r="300" spans="1:2" x14ac:dyDescent="0.25">
      <c r="A300" s="59" t="s">
        <v>351</v>
      </c>
      <c r="B300" s="59">
        <v>206141</v>
      </c>
    </row>
    <row r="301" spans="1:2" x14ac:dyDescent="0.25">
      <c r="A301" s="59" t="s">
        <v>41</v>
      </c>
      <c r="B301" s="59">
        <v>2627</v>
      </c>
    </row>
    <row r="302" spans="1:2" x14ac:dyDescent="0.25">
      <c r="A302" s="59" t="s">
        <v>112</v>
      </c>
      <c r="B302" s="59">
        <v>5406</v>
      </c>
    </row>
    <row r="303" spans="1:2" x14ac:dyDescent="0.25">
      <c r="A303" s="59" t="s">
        <v>113</v>
      </c>
      <c r="B303" s="59">
        <v>5407</v>
      </c>
    </row>
    <row r="304" spans="1:2" x14ac:dyDescent="0.25">
      <c r="A304" s="59" t="s">
        <v>353</v>
      </c>
      <c r="B304" s="59" t="s">
        <v>355</v>
      </c>
    </row>
    <row r="305" spans="1:2" x14ac:dyDescent="0.25">
      <c r="A305" s="59" t="s">
        <v>356</v>
      </c>
      <c r="B305" s="59">
        <v>258404</v>
      </c>
    </row>
    <row r="306" spans="1:2" x14ac:dyDescent="0.25">
      <c r="A306" s="59" t="s">
        <v>101</v>
      </c>
      <c r="B306" s="59">
        <v>2473</v>
      </c>
    </row>
    <row r="307" spans="1:2" x14ac:dyDescent="0.25">
      <c r="A307" s="59" t="s">
        <v>44</v>
      </c>
      <c r="B307" s="59">
        <v>2471</v>
      </c>
    </row>
    <row r="308" spans="1:2" x14ac:dyDescent="0.25">
      <c r="A308" s="59" t="s">
        <v>358</v>
      </c>
      <c r="B308" s="59">
        <v>258405</v>
      </c>
    </row>
    <row r="309" spans="1:2" x14ac:dyDescent="0.25">
      <c r="A309" s="59" t="s">
        <v>360</v>
      </c>
      <c r="B309" s="59">
        <v>258406</v>
      </c>
    </row>
    <row r="310" spans="1:2" x14ac:dyDescent="0.25">
      <c r="A310" s="59" t="s">
        <v>1395</v>
      </c>
      <c r="B310" s="59">
        <v>206145</v>
      </c>
    </row>
    <row r="311" spans="1:2" x14ac:dyDescent="0.25">
      <c r="A311" s="59" t="s">
        <v>43</v>
      </c>
      <c r="B311" s="59">
        <v>2420</v>
      </c>
    </row>
    <row r="312" spans="1:2" x14ac:dyDescent="0.25">
      <c r="A312" s="59" t="s">
        <v>362</v>
      </c>
      <c r="B312" s="59">
        <v>206160</v>
      </c>
    </row>
    <row r="313" spans="1:2" x14ac:dyDescent="0.25">
      <c r="A313" s="59" t="s">
        <v>45</v>
      </c>
      <c r="B313" s="59">
        <v>2003</v>
      </c>
    </row>
    <row r="314" spans="1:2" x14ac:dyDescent="0.25">
      <c r="A314" s="59" t="s">
        <v>46</v>
      </c>
      <c r="B314" s="59">
        <v>2423</v>
      </c>
    </row>
    <row r="315" spans="1:2" x14ac:dyDescent="0.25">
      <c r="A315" s="59" t="s">
        <v>47</v>
      </c>
      <c r="B315" s="59">
        <v>2424</v>
      </c>
    </row>
    <row r="316" spans="1:2" x14ac:dyDescent="0.25">
      <c r="A316" s="59" t="s">
        <v>364</v>
      </c>
      <c r="B316" s="59" t="s">
        <v>366</v>
      </c>
    </row>
    <row r="317" spans="1:2" x14ac:dyDescent="0.25">
      <c r="A317" s="59" t="s">
        <v>367</v>
      </c>
      <c r="B317" s="59" t="s">
        <v>368</v>
      </c>
    </row>
    <row r="318" spans="1:2" x14ac:dyDescent="0.25">
      <c r="A318" s="59" t="s">
        <v>369</v>
      </c>
      <c r="B318" s="59" t="s">
        <v>371</v>
      </c>
    </row>
    <row r="319" spans="1:2" x14ac:dyDescent="0.25">
      <c r="A319" s="59" t="s">
        <v>811</v>
      </c>
      <c r="B319" s="59" t="s">
        <v>812</v>
      </c>
    </row>
    <row r="320" spans="1:2" x14ac:dyDescent="0.25">
      <c r="A320" s="59" t="s">
        <v>372</v>
      </c>
      <c r="B320" s="59">
        <v>206146</v>
      </c>
    </row>
    <row r="321" spans="1:2" x14ac:dyDescent="0.25">
      <c r="A321" s="59" t="s">
        <v>48</v>
      </c>
      <c r="B321" s="59">
        <v>2439</v>
      </c>
    </row>
    <row r="322" spans="1:2" x14ac:dyDescent="0.25">
      <c r="A322" s="59" t="s">
        <v>49</v>
      </c>
      <c r="B322" s="59">
        <v>2440</v>
      </c>
    </row>
    <row r="323" spans="1:2" x14ac:dyDescent="0.25">
      <c r="A323" s="59" t="s">
        <v>374</v>
      </c>
      <c r="B323" s="59" t="s">
        <v>375</v>
      </c>
    </row>
    <row r="324" spans="1:2" x14ac:dyDescent="0.25">
      <c r="A324" s="59" t="s">
        <v>813</v>
      </c>
      <c r="B324" s="59" t="s">
        <v>814</v>
      </c>
    </row>
    <row r="325" spans="1:2" x14ac:dyDescent="0.25">
      <c r="A325" s="59" t="s">
        <v>815</v>
      </c>
      <c r="B325" s="59" t="s">
        <v>816</v>
      </c>
    </row>
    <row r="326" spans="1:2" x14ac:dyDescent="0.25">
      <c r="A326" s="67" t="s">
        <v>377</v>
      </c>
      <c r="B326" s="67" t="s">
        <v>378</v>
      </c>
    </row>
    <row r="327" spans="1:2" x14ac:dyDescent="0.25">
      <c r="A327" s="105" t="s">
        <v>377</v>
      </c>
      <c r="B327" s="110" t="s">
        <v>817</v>
      </c>
    </row>
    <row r="328" spans="1:2" x14ac:dyDescent="0.25">
      <c r="A328" s="105" t="s">
        <v>102</v>
      </c>
      <c r="B328" s="110">
        <v>2462</v>
      </c>
    </row>
    <row r="329" spans="1:2" x14ac:dyDescent="0.25">
      <c r="A329" s="105" t="s">
        <v>50</v>
      </c>
      <c r="B329" s="110">
        <v>2463</v>
      </c>
    </row>
    <row r="330" spans="1:2" x14ac:dyDescent="0.25">
      <c r="A330" s="105" t="s">
        <v>51</v>
      </c>
      <c r="B330" s="67">
        <v>2505</v>
      </c>
    </row>
    <row r="331" spans="1:2" x14ac:dyDescent="0.25">
      <c r="A331" s="105" t="s">
        <v>1304</v>
      </c>
      <c r="B331" s="110">
        <v>2000</v>
      </c>
    </row>
    <row r="332" spans="1:2" x14ac:dyDescent="0.25">
      <c r="A332" s="105" t="s">
        <v>53</v>
      </c>
      <c r="B332" s="67">
        <v>2458</v>
      </c>
    </row>
    <row r="333" spans="1:2" x14ac:dyDescent="0.25">
      <c r="A333" s="105" t="s">
        <v>379</v>
      </c>
      <c r="B333" s="67" t="s">
        <v>381</v>
      </c>
    </row>
    <row r="334" spans="1:2" x14ac:dyDescent="0.25">
      <c r="A334" s="105" t="s">
        <v>54</v>
      </c>
      <c r="B334" s="67">
        <v>2001</v>
      </c>
    </row>
    <row r="335" spans="1:2" x14ac:dyDescent="0.25">
      <c r="A335" s="105" t="s">
        <v>382</v>
      </c>
      <c r="B335" s="67" t="s">
        <v>383</v>
      </c>
    </row>
    <row r="336" spans="1:2" x14ac:dyDescent="0.25">
      <c r="A336" s="105" t="s">
        <v>55</v>
      </c>
      <c r="B336" s="67">
        <v>2429</v>
      </c>
    </row>
    <row r="337" spans="1:2" x14ac:dyDescent="0.25">
      <c r="A337" s="105" t="s">
        <v>384</v>
      </c>
      <c r="B337" s="67">
        <v>113044</v>
      </c>
    </row>
    <row r="338" spans="1:2" x14ac:dyDescent="0.25">
      <c r="A338" s="105" t="s">
        <v>386</v>
      </c>
      <c r="B338" s="67" t="s">
        <v>388</v>
      </c>
    </row>
    <row r="339" spans="1:2" x14ac:dyDescent="0.25">
      <c r="A339" s="105" t="s">
        <v>72</v>
      </c>
      <c r="B339" s="67">
        <v>4607</v>
      </c>
    </row>
    <row r="340" spans="1:2" x14ac:dyDescent="0.25">
      <c r="A340" s="105" t="s">
        <v>818</v>
      </c>
      <c r="B340" s="67" t="s">
        <v>819</v>
      </c>
    </row>
    <row r="341" spans="1:2" x14ac:dyDescent="0.25">
      <c r="A341" s="105" t="s">
        <v>820</v>
      </c>
      <c r="B341" s="67" t="s">
        <v>821</v>
      </c>
    </row>
    <row r="342" spans="1:2" x14ac:dyDescent="0.25">
      <c r="A342" s="105" t="s">
        <v>56</v>
      </c>
      <c r="B342" s="67">
        <v>2444</v>
      </c>
    </row>
    <row r="343" spans="1:2" x14ac:dyDescent="0.25">
      <c r="A343" s="105" t="s">
        <v>57</v>
      </c>
      <c r="B343" s="67">
        <v>5209</v>
      </c>
    </row>
    <row r="344" spans="1:2" x14ac:dyDescent="0.25">
      <c r="A344" s="105" t="s">
        <v>389</v>
      </c>
      <c r="B344" s="67" t="s">
        <v>391</v>
      </c>
    </row>
    <row r="345" spans="1:2" x14ac:dyDescent="0.25">
      <c r="A345" s="105" t="s">
        <v>392</v>
      </c>
      <c r="B345" s="67" t="s">
        <v>394</v>
      </c>
    </row>
    <row r="346" spans="1:2" x14ac:dyDescent="0.25">
      <c r="A346" s="105" t="s">
        <v>58</v>
      </c>
      <c r="B346" s="67">
        <v>2469</v>
      </c>
    </row>
    <row r="347" spans="1:2" x14ac:dyDescent="0.25">
      <c r="A347" s="105" t="s">
        <v>395</v>
      </c>
      <c r="B347" s="110" t="s">
        <v>397</v>
      </c>
    </row>
    <row r="348" spans="1:2" x14ac:dyDescent="0.25">
      <c r="A348" s="105" t="s">
        <v>398</v>
      </c>
      <c r="B348" s="67" t="s">
        <v>399</v>
      </c>
    </row>
    <row r="349" spans="1:2" x14ac:dyDescent="0.25">
      <c r="A349" s="59" t="s">
        <v>59</v>
      </c>
      <c r="B349" s="59">
        <v>2466</v>
      </c>
    </row>
    <row r="350" spans="1:2" x14ac:dyDescent="0.25">
      <c r="A350" s="59" t="s">
        <v>60</v>
      </c>
      <c r="B350" s="59">
        <v>3543</v>
      </c>
    </row>
    <row r="351" spans="1:2" x14ac:dyDescent="0.25">
      <c r="A351" s="59" t="s">
        <v>400</v>
      </c>
      <c r="B351" s="59">
        <v>206152</v>
      </c>
    </row>
    <row r="352" spans="1:2" x14ac:dyDescent="0.25">
      <c r="A352" s="59" t="s">
        <v>402</v>
      </c>
      <c r="B352" s="59">
        <v>206153</v>
      </c>
    </row>
    <row r="353" spans="1:2" x14ac:dyDescent="0.25">
      <c r="A353" s="59" t="s">
        <v>62</v>
      </c>
      <c r="B353" s="59">
        <v>3531</v>
      </c>
    </row>
    <row r="354" spans="1:2" x14ac:dyDescent="0.25">
      <c r="A354" s="59" t="s">
        <v>63</v>
      </c>
      <c r="B354" s="59">
        <v>3526</v>
      </c>
    </row>
    <row r="355" spans="1:2" x14ac:dyDescent="0.25">
      <c r="A355" s="59" t="s">
        <v>104</v>
      </c>
      <c r="B355" s="59">
        <v>3535</v>
      </c>
    </row>
    <row r="356" spans="1:2" x14ac:dyDescent="0.25">
      <c r="A356" s="59" t="s">
        <v>64</v>
      </c>
      <c r="B356" s="59">
        <v>2008</v>
      </c>
    </row>
    <row r="357" spans="1:2" x14ac:dyDescent="0.25">
      <c r="A357" s="59" t="s">
        <v>105</v>
      </c>
      <c r="B357" s="59">
        <v>3542</v>
      </c>
    </row>
    <row r="358" spans="1:2" x14ac:dyDescent="0.25">
      <c r="A358" s="59" t="s">
        <v>404</v>
      </c>
      <c r="B358" s="59">
        <v>206154</v>
      </c>
    </row>
    <row r="359" spans="1:2" x14ac:dyDescent="0.25">
      <c r="A359" s="59" t="s">
        <v>106</v>
      </c>
      <c r="B359" s="59">
        <v>3528</v>
      </c>
    </row>
    <row r="360" spans="1:2" x14ac:dyDescent="0.25">
      <c r="A360" s="59" t="s">
        <v>406</v>
      </c>
      <c r="B360" s="59" t="s">
        <v>407</v>
      </c>
    </row>
    <row r="361" spans="1:2" x14ac:dyDescent="0.25">
      <c r="A361" s="59" t="s">
        <v>107</v>
      </c>
      <c r="B361" s="59">
        <v>3534</v>
      </c>
    </row>
    <row r="362" spans="1:2" x14ac:dyDescent="0.25">
      <c r="A362" s="59" t="s">
        <v>108</v>
      </c>
      <c r="B362" s="59">
        <v>3532</v>
      </c>
    </row>
    <row r="363" spans="1:2" x14ac:dyDescent="0.25">
      <c r="A363" s="59" t="s">
        <v>7</v>
      </c>
      <c r="B363" s="59">
        <v>1010</v>
      </c>
    </row>
    <row r="364" spans="1:2" x14ac:dyDescent="0.25">
      <c r="A364" s="59" t="s">
        <v>1396</v>
      </c>
      <c r="B364" s="59">
        <v>484523</v>
      </c>
    </row>
    <row r="365" spans="1:2" x14ac:dyDescent="0.25">
      <c r="A365" s="59" t="s">
        <v>408</v>
      </c>
      <c r="B365" s="59" t="s">
        <v>410</v>
      </c>
    </row>
    <row r="366" spans="1:2" x14ac:dyDescent="0.25">
      <c r="A366" s="59" t="s">
        <v>114</v>
      </c>
      <c r="B366" s="59">
        <v>4177</v>
      </c>
    </row>
    <row r="367" spans="1:2" x14ac:dyDescent="0.25">
      <c r="A367" s="59" t="s">
        <v>822</v>
      </c>
      <c r="B367" s="59" t="s">
        <v>824</v>
      </c>
    </row>
    <row r="368" spans="1:2" x14ac:dyDescent="0.25">
      <c r="A368" s="59" t="s">
        <v>411</v>
      </c>
      <c r="B368" s="59" t="s">
        <v>413</v>
      </c>
    </row>
    <row r="369" spans="1:2" x14ac:dyDescent="0.25">
      <c r="A369" s="59" t="s">
        <v>414</v>
      </c>
      <c r="B369" s="59">
        <v>206103</v>
      </c>
    </row>
    <row r="370" spans="1:2" x14ac:dyDescent="0.25">
      <c r="A370" s="59" t="s">
        <v>415</v>
      </c>
      <c r="B370" s="59" t="s">
        <v>417</v>
      </c>
    </row>
    <row r="371" spans="1:2" x14ac:dyDescent="0.25">
      <c r="A371" s="59" t="s">
        <v>418</v>
      </c>
      <c r="B371" s="59" t="s">
        <v>420</v>
      </c>
    </row>
    <row r="372" spans="1:2" x14ac:dyDescent="0.25">
      <c r="A372" s="59" t="s">
        <v>421</v>
      </c>
      <c r="B372" s="59">
        <v>258420</v>
      </c>
    </row>
    <row r="373" spans="1:2" x14ac:dyDescent="0.25">
      <c r="A373" s="59" t="s">
        <v>423</v>
      </c>
      <c r="B373" s="59">
        <v>258424</v>
      </c>
    </row>
    <row r="374" spans="1:2" x14ac:dyDescent="0.25">
      <c r="A374" s="59" t="s">
        <v>1397</v>
      </c>
      <c r="B374" s="59">
        <v>482634</v>
      </c>
    </row>
    <row r="375" spans="1:2" x14ac:dyDescent="0.25">
      <c r="A375" s="59" t="s">
        <v>425</v>
      </c>
      <c r="B375" s="59" t="s">
        <v>426</v>
      </c>
    </row>
    <row r="376" spans="1:2" x14ac:dyDescent="0.25">
      <c r="A376" s="59" t="s">
        <v>65</v>
      </c>
      <c r="B376" s="59">
        <v>3546</v>
      </c>
    </row>
    <row r="377" spans="1:2" x14ac:dyDescent="0.25">
      <c r="A377" s="59" t="s">
        <v>8</v>
      </c>
      <c r="B377" s="59">
        <v>1009</v>
      </c>
    </row>
    <row r="378" spans="1:2" x14ac:dyDescent="0.25">
      <c r="A378" s="59" t="s">
        <v>1398</v>
      </c>
      <c r="B378" s="59">
        <v>476554</v>
      </c>
    </row>
    <row r="379" spans="1:2" x14ac:dyDescent="0.25">
      <c r="A379" s="59" t="s">
        <v>66</v>
      </c>
      <c r="B379" s="59">
        <v>3530</v>
      </c>
    </row>
    <row r="380" spans="1:2" x14ac:dyDescent="0.25">
      <c r="A380" s="59" t="s">
        <v>74</v>
      </c>
      <c r="B380" s="59">
        <v>5412</v>
      </c>
    </row>
    <row r="381" spans="1:2" x14ac:dyDescent="0.25">
      <c r="A381" s="59" t="s">
        <v>432</v>
      </c>
      <c r="B381" s="59" t="s">
        <v>433</v>
      </c>
    </row>
    <row r="382" spans="1:2" x14ac:dyDescent="0.25">
      <c r="A382" s="59" t="s">
        <v>427</v>
      </c>
      <c r="B382" s="59" t="s">
        <v>429</v>
      </c>
    </row>
    <row r="383" spans="1:2" x14ac:dyDescent="0.25">
      <c r="A383" s="59" t="s">
        <v>9</v>
      </c>
      <c r="B383" s="59">
        <v>1015</v>
      </c>
    </row>
    <row r="384" spans="1:2" x14ac:dyDescent="0.25">
      <c r="A384" s="59" t="s">
        <v>430</v>
      </c>
      <c r="B384" s="59" t="s">
        <v>431</v>
      </c>
    </row>
    <row r="385" spans="1:2" x14ac:dyDescent="0.25">
      <c r="A385" s="59" t="s">
        <v>434</v>
      </c>
      <c r="B385" s="59">
        <v>509204</v>
      </c>
    </row>
    <row r="386" spans="1:2" x14ac:dyDescent="0.25">
      <c r="A386" s="59" t="s">
        <v>434</v>
      </c>
      <c r="B386" s="59" t="s">
        <v>825</v>
      </c>
    </row>
    <row r="387" spans="1:2" x14ac:dyDescent="0.25">
      <c r="A387" s="59" t="s">
        <v>67</v>
      </c>
      <c r="B387" s="59">
        <v>2459</v>
      </c>
    </row>
    <row r="388" spans="1:2" x14ac:dyDescent="0.25">
      <c r="A388" s="59" t="s">
        <v>96</v>
      </c>
      <c r="B388" s="59">
        <v>2007</v>
      </c>
    </row>
    <row r="389" spans="1:2" x14ac:dyDescent="0.25">
      <c r="A389" s="11"/>
      <c r="B389" s="2"/>
    </row>
    <row r="390" spans="1:2" x14ac:dyDescent="0.25">
      <c r="A390" s="11"/>
      <c r="B390" s="2"/>
    </row>
  </sheetData>
  <sheetProtection password="EF5C" sheet="1" objects="1" scenarios="1"/>
  <pageMargins left="0.7" right="0.7" top="0.75" bottom="0.75" header="0.3" footer="0.3"/>
  <pageSetup paperSize="9" orientation="portrait"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A1:K407"/>
  <sheetViews>
    <sheetView workbookViewId="0">
      <pane xSplit="2" ySplit="6" topLeftCell="C7" activePane="bottomRight" state="frozen"/>
      <selection activeCell="D102" sqref="D102"/>
      <selection pane="topRight" activeCell="D102" sqref="D102"/>
      <selection pane="bottomLeft" activeCell="D102" sqref="D102"/>
      <selection pane="bottomRight" activeCell="D26" sqref="D26"/>
    </sheetView>
  </sheetViews>
  <sheetFormatPr defaultColWidth="9.109375" defaultRowHeight="13.2" x14ac:dyDescent="0.25"/>
  <cols>
    <col min="1" max="1" width="52.44140625" style="30" bestFit="1" customWidth="1"/>
    <col min="2" max="2" width="17.109375" style="30" bestFit="1" customWidth="1"/>
    <col min="3" max="3" width="13.33203125" style="30" customWidth="1"/>
    <col min="4" max="4" width="13.109375" style="30" customWidth="1"/>
    <col min="5" max="5" width="10.5546875" style="30" customWidth="1"/>
    <col min="6" max="6" width="13.5546875" style="30" customWidth="1"/>
    <col min="7" max="7" width="11.33203125" style="30" bestFit="1" customWidth="1"/>
    <col min="8" max="16384" width="9.109375" style="30"/>
  </cols>
  <sheetData>
    <row r="1" spans="1:11" ht="12.75" customHeight="1" x14ac:dyDescent="0.25">
      <c r="A1" s="1" t="s">
        <v>958</v>
      </c>
      <c r="B1" s="1253" t="s">
        <v>833</v>
      </c>
      <c r="C1" s="926"/>
      <c r="D1" s="926"/>
      <c r="E1" s="927">
        <f>1469-269.32</f>
        <v>1199.68</v>
      </c>
      <c r="F1" s="21"/>
      <c r="G1" s="926"/>
    </row>
    <row r="2" spans="1:11" x14ac:dyDescent="0.25">
      <c r="A2" s="1" t="s">
        <v>77</v>
      </c>
      <c r="B2" s="1253"/>
      <c r="C2" s="926"/>
      <c r="D2" s="926"/>
      <c r="F2" s="21">
        <f>2474.22-453.6159</f>
        <v>2020.6040999999998</v>
      </c>
      <c r="G2" s="926"/>
    </row>
    <row r="3" spans="1:11" x14ac:dyDescent="0.25">
      <c r="A3" s="1" t="s">
        <v>78</v>
      </c>
      <c r="B3" s="1253"/>
      <c r="C3" s="926"/>
      <c r="D3" s="926"/>
      <c r="E3" s="926"/>
      <c r="F3" s="926"/>
      <c r="G3" s="926"/>
    </row>
    <row r="4" spans="1:11" x14ac:dyDescent="0.25">
      <c r="A4" s="1" t="s">
        <v>79</v>
      </c>
      <c r="B4" s="1253"/>
      <c r="C4" s="926"/>
      <c r="D4" s="926"/>
      <c r="E4" s="926"/>
      <c r="F4" s="926"/>
      <c r="G4" s="926"/>
    </row>
    <row r="5" spans="1:11" x14ac:dyDescent="0.25">
      <c r="A5" s="1" t="s">
        <v>80</v>
      </c>
      <c r="B5" s="1253"/>
      <c r="C5" s="926"/>
      <c r="D5" s="926"/>
      <c r="E5" s="926"/>
      <c r="F5" s="926"/>
      <c r="G5" s="926"/>
    </row>
    <row r="6" spans="1:11" ht="26.4" x14ac:dyDescent="0.25">
      <c r="A6" s="13" t="s">
        <v>118</v>
      </c>
      <c r="B6" s="6" t="s">
        <v>81</v>
      </c>
      <c r="C6" s="957" t="s">
        <v>942</v>
      </c>
      <c r="D6" s="957" t="s">
        <v>943</v>
      </c>
      <c r="E6" s="957" t="s">
        <v>991</v>
      </c>
      <c r="F6" s="957" t="s">
        <v>992</v>
      </c>
      <c r="G6" s="8" t="s">
        <v>993</v>
      </c>
    </row>
    <row r="7" spans="1:11" ht="12.75" x14ac:dyDescent="0.2">
      <c r="A7" s="9" t="s">
        <v>1301</v>
      </c>
      <c r="B7" s="10">
        <v>2014</v>
      </c>
      <c r="C7" s="23">
        <v>0</v>
      </c>
      <c r="D7" s="23">
        <v>0</v>
      </c>
      <c r="E7" s="958">
        <f>E$1*C7</f>
        <v>0</v>
      </c>
      <c r="F7" s="958">
        <f>F$2*D7</f>
        <v>0</v>
      </c>
      <c r="G7" s="958">
        <f>F7+E7</f>
        <v>0</v>
      </c>
      <c r="I7" s="23"/>
      <c r="J7" s="23"/>
      <c r="K7" s="23"/>
    </row>
    <row r="8" spans="1:11" ht="12.75" x14ac:dyDescent="0.2">
      <c r="A8" s="9" t="s">
        <v>10</v>
      </c>
      <c r="B8" s="10">
        <v>2012</v>
      </c>
      <c r="C8" s="959">
        <v>0</v>
      </c>
      <c r="D8" s="23">
        <v>0</v>
      </c>
      <c r="E8" s="958">
        <f>E$1*C8</f>
        <v>0</v>
      </c>
      <c r="F8" s="958">
        <f>F$2*D8</f>
        <v>0</v>
      </c>
      <c r="G8" s="958">
        <f>F8+E8</f>
        <v>0</v>
      </c>
      <c r="I8" s="23"/>
      <c r="J8" s="23"/>
      <c r="K8" s="23"/>
    </row>
    <row r="9" spans="1:11" ht="12.75" x14ac:dyDescent="0.2">
      <c r="A9" s="9" t="s">
        <v>11</v>
      </c>
      <c r="B9" s="10">
        <v>2443</v>
      </c>
      <c r="C9" s="23">
        <v>0</v>
      </c>
      <c r="D9" s="23">
        <v>0</v>
      </c>
      <c r="E9" s="958">
        <f t="shared" ref="E9:E72" si="0">E$1*C9</f>
        <v>0</v>
      </c>
      <c r="F9" s="958">
        <f t="shared" ref="F9:F72" si="1">F$2*D9</f>
        <v>0</v>
      </c>
      <c r="G9" s="958">
        <f t="shared" ref="G9:G72" si="2">F9+E9</f>
        <v>0</v>
      </c>
      <c r="I9" s="23"/>
      <c r="J9" s="23"/>
      <c r="K9" s="23"/>
    </row>
    <row r="10" spans="1:11" ht="12.75" x14ac:dyDescent="0.2">
      <c r="A10" s="9" t="s">
        <v>94</v>
      </c>
      <c r="B10" s="10">
        <v>2442</v>
      </c>
      <c r="C10" s="23">
        <v>0</v>
      </c>
      <c r="D10" s="23">
        <v>0</v>
      </c>
      <c r="E10" s="958">
        <f t="shared" si="0"/>
        <v>0</v>
      </c>
      <c r="F10" s="958">
        <f t="shared" si="1"/>
        <v>0</v>
      </c>
      <c r="G10" s="958">
        <f t="shared" si="2"/>
        <v>0</v>
      </c>
      <c r="I10" s="23"/>
      <c r="J10" s="23"/>
      <c r="K10" s="23"/>
    </row>
    <row r="11" spans="1:11" ht="12.75" x14ac:dyDescent="0.2">
      <c r="A11" s="9" t="s">
        <v>13</v>
      </c>
      <c r="B11" s="10">
        <v>2629</v>
      </c>
      <c r="C11" s="23">
        <v>8.6253218884118343</v>
      </c>
      <c r="D11" s="23">
        <v>0</v>
      </c>
      <c r="E11" s="958">
        <f t="shared" si="0"/>
        <v>10347.62616308991</v>
      </c>
      <c r="F11" s="958">
        <f t="shared" si="1"/>
        <v>0</v>
      </c>
      <c r="G11" s="958">
        <f t="shared" si="2"/>
        <v>10347.62616308991</v>
      </c>
      <c r="I11" s="23"/>
      <c r="J11" s="23"/>
      <c r="K11" s="23"/>
    </row>
    <row r="12" spans="1:11" ht="12.75" x14ac:dyDescent="0.2">
      <c r="A12" s="9" t="s">
        <v>14</v>
      </c>
      <c r="B12" s="10">
        <v>2509</v>
      </c>
      <c r="C12" s="23">
        <v>22.40000000000002</v>
      </c>
      <c r="D12" s="23">
        <v>0</v>
      </c>
      <c r="E12" s="958">
        <f t="shared" si="0"/>
        <v>26872.832000000024</v>
      </c>
      <c r="F12" s="958">
        <f t="shared" si="1"/>
        <v>0</v>
      </c>
      <c r="G12" s="958">
        <f t="shared" si="2"/>
        <v>26872.832000000024</v>
      </c>
      <c r="I12" s="23"/>
      <c r="J12" s="23"/>
      <c r="K12" s="23"/>
    </row>
    <row r="13" spans="1:11" ht="12.75" x14ac:dyDescent="0.2">
      <c r="A13" s="9" t="s">
        <v>15</v>
      </c>
      <c r="B13" s="10">
        <v>2005</v>
      </c>
      <c r="C13" s="23">
        <v>21.09999999999992</v>
      </c>
      <c r="D13" s="23">
        <v>0</v>
      </c>
      <c r="E13" s="958">
        <f t="shared" si="0"/>
        <v>25313.247999999905</v>
      </c>
      <c r="F13" s="958">
        <f t="shared" si="1"/>
        <v>0</v>
      </c>
      <c r="G13" s="958">
        <f t="shared" si="2"/>
        <v>25313.247999999905</v>
      </c>
      <c r="I13" s="23"/>
      <c r="J13" s="23"/>
      <c r="K13" s="23"/>
    </row>
    <row r="14" spans="1:11" ht="12.75" x14ac:dyDescent="0.2">
      <c r="A14" s="9" t="s">
        <v>16</v>
      </c>
      <c r="B14" s="10">
        <v>2464</v>
      </c>
      <c r="C14" s="23">
        <v>0</v>
      </c>
      <c r="D14" s="23">
        <v>0</v>
      </c>
      <c r="E14" s="958">
        <f t="shared" si="0"/>
        <v>0</v>
      </c>
      <c r="F14" s="958">
        <f t="shared" si="1"/>
        <v>0</v>
      </c>
      <c r="G14" s="958">
        <f t="shared" si="2"/>
        <v>0</v>
      </c>
      <c r="I14" s="23"/>
      <c r="J14" s="23"/>
      <c r="K14" s="23"/>
    </row>
    <row r="15" spans="1:11" ht="12.75" x14ac:dyDescent="0.2">
      <c r="A15" s="9" t="s">
        <v>17</v>
      </c>
      <c r="B15" s="10">
        <v>2004</v>
      </c>
      <c r="C15" s="23">
        <v>0</v>
      </c>
      <c r="D15" s="23">
        <v>0</v>
      </c>
      <c r="E15" s="958">
        <f t="shared" si="0"/>
        <v>0</v>
      </c>
      <c r="F15" s="958">
        <f t="shared" si="1"/>
        <v>0</v>
      </c>
      <c r="G15" s="958">
        <f t="shared" si="2"/>
        <v>0</v>
      </c>
      <c r="I15" s="23"/>
      <c r="J15" s="23"/>
      <c r="K15" s="23"/>
    </row>
    <row r="16" spans="1:11" ht="12.75" x14ac:dyDescent="0.2">
      <c r="A16" s="9" t="s">
        <v>18</v>
      </c>
      <c r="B16" s="10">
        <v>2405</v>
      </c>
      <c r="C16" s="23">
        <v>0</v>
      </c>
      <c r="D16" s="23">
        <v>0</v>
      </c>
      <c r="E16" s="958">
        <f t="shared" si="0"/>
        <v>0</v>
      </c>
      <c r="F16" s="958">
        <f t="shared" si="1"/>
        <v>0</v>
      </c>
      <c r="G16" s="958">
        <f t="shared" si="2"/>
        <v>0</v>
      </c>
      <c r="I16" s="23"/>
      <c r="J16" s="23"/>
      <c r="K16" s="23"/>
    </row>
    <row r="17" spans="1:11" ht="12.75" x14ac:dyDescent="0.2">
      <c r="A17" s="9" t="s">
        <v>95</v>
      </c>
      <c r="B17" s="10">
        <v>2011</v>
      </c>
      <c r="C17" s="959">
        <v>0</v>
      </c>
      <c r="D17" s="23">
        <v>0</v>
      </c>
      <c r="E17" s="958">
        <f t="shared" si="0"/>
        <v>0</v>
      </c>
      <c r="F17" s="958">
        <f t="shared" si="1"/>
        <v>0</v>
      </c>
      <c r="G17" s="958">
        <f t="shared" si="2"/>
        <v>0</v>
      </c>
      <c r="H17" s="30" t="s">
        <v>994</v>
      </c>
      <c r="J17" s="23"/>
      <c r="K17" s="23"/>
    </row>
    <row r="18" spans="1:11" ht="12.75" x14ac:dyDescent="0.2">
      <c r="A18" s="9" t="s">
        <v>20</v>
      </c>
      <c r="B18" s="10">
        <v>5201</v>
      </c>
      <c r="C18" s="23">
        <v>0</v>
      </c>
      <c r="D18" s="23">
        <v>0</v>
      </c>
      <c r="E18" s="958">
        <f t="shared" si="0"/>
        <v>0</v>
      </c>
      <c r="F18" s="958">
        <f t="shared" si="1"/>
        <v>0</v>
      </c>
      <c r="G18" s="958">
        <f t="shared" si="2"/>
        <v>0</v>
      </c>
      <c r="I18" s="23"/>
      <c r="J18" s="23"/>
      <c r="K18" s="23"/>
    </row>
    <row r="19" spans="1:11" ht="12.75" x14ac:dyDescent="0.2">
      <c r="A19" s="9" t="s">
        <v>96</v>
      </c>
      <c r="B19" s="10">
        <v>2007</v>
      </c>
      <c r="C19" s="23">
        <v>28.699999999999964</v>
      </c>
      <c r="D19" s="23">
        <v>0</v>
      </c>
      <c r="E19" s="958">
        <f t="shared" si="0"/>
        <v>34430.815999999955</v>
      </c>
      <c r="F19" s="958">
        <f t="shared" si="1"/>
        <v>0</v>
      </c>
      <c r="G19" s="958">
        <f t="shared" si="2"/>
        <v>34430.815999999955</v>
      </c>
      <c r="I19" s="23"/>
      <c r="J19" s="23"/>
      <c r="K19" s="23"/>
    </row>
    <row r="20" spans="1:11" ht="12.75" x14ac:dyDescent="0.2">
      <c r="A20" s="9" t="s">
        <v>21</v>
      </c>
      <c r="B20" s="10">
        <v>2433</v>
      </c>
      <c r="C20" s="23">
        <v>0</v>
      </c>
      <c r="D20" s="23">
        <v>0</v>
      </c>
      <c r="E20" s="958">
        <f t="shared" si="0"/>
        <v>0</v>
      </c>
      <c r="F20" s="958">
        <f t="shared" si="1"/>
        <v>0</v>
      </c>
      <c r="G20" s="958">
        <f t="shared" si="2"/>
        <v>0</v>
      </c>
      <c r="I20" s="23"/>
      <c r="J20" s="23"/>
      <c r="K20" s="23"/>
    </row>
    <row r="21" spans="1:11" ht="12.75" x14ac:dyDescent="0.2">
      <c r="A21" s="9" t="s">
        <v>22</v>
      </c>
      <c r="B21" s="10">
        <v>2432</v>
      </c>
      <c r="C21" s="23">
        <v>0</v>
      </c>
      <c r="D21" s="23">
        <v>0</v>
      </c>
      <c r="E21" s="958">
        <f t="shared" si="0"/>
        <v>0</v>
      </c>
      <c r="F21" s="958">
        <f t="shared" si="1"/>
        <v>0</v>
      </c>
      <c r="G21" s="958">
        <f t="shared" si="2"/>
        <v>0</v>
      </c>
      <c r="I21" s="23"/>
      <c r="J21" s="23"/>
      <c r="K21" s="23"/>
    </row>
    <row r="22" spans="1:11" ht="12.75" x14ac:dyDescent="0.2">
      <c r="A22" s="9" t="s">
        <v>949</v>
      </c>
      <c r="B22" s="10">
        <v>2447</v>
      </c>
      <c r="C22" s="959">
        <v>0</v>
      </c>
      <c r="D22" s="23">
        <v>0</v>
      </c>
      <c r="E22" s="958">
        <f t="shared" si="0"/>
        <v>0</v>
      </c>
      <c r="F22" s="958">
        <f t="shared" si="1"/>
        <v>0</v>
      </c>
      <c r="G22" s="958">
        <f t="shared" si="2"/>
        <v>0</v>
      </c>
      <c r="H22" s="30" t="s">
        <v>995</v>
      </c>
      <c r="J22" s="23"/>
      <c r="K22" s="23"/>
    </row>
    <row r="23" spans="1:11" ht="12.75" x14ac:dyDescent="0.2">
      <c r="A23" s="9" t="s">
        <v>23</v>
      </c>
      <c r="B23" s="10">
        <v>2512</v>
      </c>
      <c r="C23" s="23">
        <v>0</v>
      </c>
      <c r="D23" s="23">
        <v>0</v>
      </c>
      <c r="E23" s="958">
        <f t="shared" si="0"/>
        <v>0</v>
      </c>
      <c r="F23" s="958">
        <f t="shared" si="1"/>
        <v>0</v>
      </c>
      <c r="G23" s="958">
        <f t="shared" si="2"/>
        <v>0</v>
      </c>
      <c r="I23" s="23"/>
      <c r="J23" s="23"/>
      <c r="K23" s="23"/>
    </row>
    <row r="24" spans="1:11" ht="12.75" x14ac:dyDescent="0.2">
      <c r="A24" s="9" t="s">
        <v>24</v>
      </c>
      <c r="B24" s="10">
        <v>2456</v>
      </c>
      <c r="C24" s="23">
        <v>0</v>
      </c>
      <c r="D24" s="23">
        <v>0</v>
      </c>
      <c r="E24" s="958">
        <f t="shared" si="0"/>
        <v>0</v>
      </c>
      <c r="F24" s="958">
        <f t="shared" si="1"/>
        <v>0</v>
      </c>
      <c r="G24" s="958">
        <f t="shared" si="2"/>
        <v>0</v>
      </c>
      <c r="I24" s="23"/>
      <c r="J24" s="23"/>
      <c r="K24" s="23"/>
    </row>
    <row r="25" spans="1:11" ht="12.75" x14ac:dyDescent="0.2">
      <c r="A25" s="9" t="s">
        <v>25</v>
      </c>
      <c r="B25" s="10">
        <v>2449</v>
      </c>
      <c r="C25" s="23">
        <v>0</v>
      </c>
      <c r="D25" s="23">
        <v>0</v>
      </c>
      <c r="E25" s="958">
        <f t="shared" si="0"/>
        <v>0</v>
      </c>
      <c r="F25" s="958">
        <f t="shared" si="1"/>
        <v>0</v>
      </c>
      <c r="G25" s="958">
        <f t="shared" si="2"/>
        <v>0</v>
      </c>
      <c r="I25" s="23"/>
      <c r="J25" s="23"/>
      <c r="K25" s="23"/>
    </row>
    <row r="26" spans="1:11" ht="12.75" x14ac:dyDescent="0.2">
      <c r="A26" s="9" t="s">
        <v>26</v>
      </c>
      <c r="B26" s="10">
        <v>2448</v>
      </c>
      <c r="C26" s="23">
        <v>0</v>
      </c>
      <c r="D26" s="23">
        <v>0</v>
      </c>
      <c r="E26" s="958">
        <f t="shared" si="0"/>
        <v>0</v>
      </c>
      <c r="F26" s="958">
        <f t="shared" si="1"/>
        <v>0</v>
      </c>
      <c r="G26" s="958">
        <f t="shared" si="2"/>
        <v>0</v>
      </c>
      <c r="I26" s="23"/>
      <c r="J26" s="23"/>
      <c r="K26" s="23"/>
    </row>
    <row r="27" spans="1:11" ht="12.75" x14ac:dyDescent="0.2">
      <c r="A27" s="9" t="s">
        <v>126</v>
      </c>
      <c r="B27" s="10">
        <v>2467</v>
      </c>
      <c r="C27" s="23">
        <v>0</v>
      </c>
      <c r="D27" s="23">
        <v>0</v>
      </c>
      <c r="E27" s="958">
        <f t="shared" si="0"/>
        <v>0</v>
      </c>
      <c r="F27" s="958">
        <f t="shared" si="1"/>
        <v>0</v>
      </c>
      <c r="G27" s="958">
        <f t="shared" si="2"/>
        <v>0</v>
      </c>
      <c r="I27" s="23"/>
      <c r="J27" s="23"/>
      <c r="K27" s="23"/>
    </row>
    <row r="28" spans="1:11" ht="12.75" x14ac:dyDescent="0.2">
      <c r="A28" s="9" t="s">
        <v>28</v>
      </c>
      <c r="B28" s="10">
        <v>2455</v>
      </c>
      <c r="C28" s="23">
        <v>0</v>
      </c>
      <c r="D28" s="23">
        <v>0</v>
      </c>
      <c r="E28" s="958">
        <f t="shared" si="0"/>
        <v>0</v>
      </c>
      <c r="F28" s="958">
        <f t="shared" si="1"/>
        <v>0</v>
      </c>
      <c r="G28" s="958">
        <f t="shared" si="2"/>
        <v>0</v>
      </c>
      <c r="I28" s="23"/>
      <c r="J28" s="23"/>
      <c r="K28" s="23"/>
    </row>
    <row r="29" spans="1:11" ht="12.75" x14ac:dyDescent="0.2">
      <c r="A29" s="9" t="s">
        <v>29</v>
      </c>
      <c r="B29" s="10">
        <v>5203</v>
      </c>
      <c r="C29" s="23">
        <v>0</v>
      </c>
      <c r="D29" s="23">
        <v>0</v>
      </c>
      <c r="E29" s="958">
        <f t="shared" si="0"/>
        <v>0</v>
      </c>
      <c r="F29" s="958">
        <f t="shared" si="1"/>
        <v>0</v>
      </c>
      <c r="G29" s="958">
        <f t="shared" si="2"/>
        <v>0</v>
      </c>
      <c r="I29" s="23"/>
      <c r="J29" s="23"/>
      <c r="K29" s="23"/>
    </row>
    <row r="30" spans="1:11" x14ac:dyDescent="0.25">
      <c r="A30" s="9" t="s">
        <v>30</v>
      </c>
      <c r="B30" s="10">
        <v>2451</v>
      </c>
      <c r="C30" s="23">
        <v>0</v>
      </c>
      <c r="D30" s="23">
        <v>0</v>
      </c>
      <c r="E30" s="958">
        <f t="shared" si="0"/>
        <v>0</v>
      </c>
      <c r="F30" s="958">
        <f t="shared" si="1"/>
        <v>0</v>
      </c>
      <c r="G30" s="958">
        <f t="shared" si="2"/>
        <v>0</v>
      </c>
      <c r="I30" s="23"/>
      <c r="J30" s="23"/>
      <c r="K30" s="23"/>
    </row>
    <row r="31" spans="1:11" x14ac:dyDescent="0.25">
      <c r="A31" s="9" t="s">
        <v>31</v>
      </c>
      <c r="B31" s="10">
        <v>2409</v>
      </c>
      <c r="C31" s="23">
        <v>0</v>
      </c>
      <c r="D31" s="23">
        <v>0</v>
      </c>
      <c r="E31" s="958">
        <f t="shared" si="0"/>
        <v>0</v>
      </c>
      <c r="F31" s="958">
        <f t="shared" si="1"/>
        <v>0</v>
      </c>
      <c r="G31" s="958">
        <f t="shared" si="2"/>
        <v>0</v>
      </c>
      <c r="I31" s="23"/>
      <c r="J31" s="23"/>
      <c r="K31" s="23"/>
    </row>
    <row r="32" spans="1:11" x14ac:dyDescent="0.25">
      <c r="A32" s="9" t="s">
        <v>98</v>
      </c>
      <c r="B32" s="10">
        <v>3158</v>
      </c>
      <c r="C32" s="23">
        <v>0</v>
      </c>
      <c r="D32" s="23">
        <v>0</v>
      </c>
      <c r="E32" s="958">
        <f t="shared" si="0"/>
        <v>0</v>
      </c>
      <c r="F32" s="958">
        <f t="shared" si="1"/>
        <v>0</v>
      </c>
      <c r="G32" s="958">
        <f t="shared" si="2"/>
        <v>0</v>
      </c>
      <c r="I32" s="23"/>
      <c r="J32" s="23"/>
      <c r="K32" s="23"/>
    </row>
    <row r="33" spans="1:11" x14ac:dyDescent="0.25">
      <c r="A33" s="9" t="s">
        <v>32</v>
      </c>
      <c r="B33" s="10">
        <v>2619</v>
      </c>
      <c r="C33" s="23">
        <v>0</v>
      </c>
      <c r="D33" s="23">
        <v>0</v>
      </c>
      <c r="E33" s="958">
        <f t="shared" si="0"/>
        <v>0</v>
      </c>
      <c r="F33" s="958">
        <f t="shared" si="1"/>
        <v>0</v>
      </c>
      <c r="G33" s="958">
        <f t="shared" si="2"/>
        <v>0</v>
      </c>
      <c r="I33" s="23"/>
      <c r="J33" s="23"/>
      <c r="K33" s="23"/>
    </row>
    <row r="34" spans="1:11" x14ac:dyDescent="0.25">
      <c r="A34" s="9" t="s">
        <v>33</v>
      </c>
      <c r="B34" s="10">
        <v>2518</v>
      </c>
      <c r="C34" s="23">
        <v>70.500000000000057</v>
      </c>
      <c r="D34" s="23">
        <v>0</v>
      </c>
      <c r="E34" s="958">
        <f t="shared" si="0"/>
        <v>84577.440000000075</v>
      </c>
      <c r="F34" s="958">
        <f t="shared" si="1"/>
        <v>0</v>
      </c>
      <c r="G34" s="958">
        <f t="shared" si="2"/>
        <v>84577.440000000075</v>
      </c>
      <c r="I34" s="23"/>
      <c r="J34" s="23"/>
      <c r="K34" s="23"/>
    </row>
    <row r="35" spans="1:11" x14ac:dyDescent="0.25">
      <c r="A35" s="9" t="s">
        <v>34</v>
      </c>
      <c r="B35" s="10">
        <v>2457</v>
      </c>
      <c r="C35" s="23">
        <v>0</v>
      </c>
      <c r="D35" s="23">
        <v>0</v>
      </c>
      <c r="E35" s="958">
        <f t="shared" si="0"/>
        <v>0</v>
      </c>
      <c r="F35" s="958">
        <f t="shared" si="1"/>
        <v>0</v>
      </c>
      <c r="G35" s="958">
        <f t="shared" si="2"/>
        <v>0</v>
      </c>
      <c r="I35" s="23"/>
      <c r="J35" s="23"/>
      <c r="K35" s="23"/>
    </row>
    <row r="36" spans="1:11" x14ac:dyDescent="0.25">
      <c r="A36" s="9" t="s">
        <v>99</v>
      </c>
      <c r="B36" s="10">
        <v>2010</v>
      </c>
      <c r="C36" s="959">
        <v>0</v>
      </c>
      <c r="D36" s="23">
        <v>0</v>
      </c>
      <c r="E36" s="958">
        <f t="shared" si="0"/>
        <v>0</v>
      </c>
      <c r="F36" s="958">
        <f t="shared" si="1"/>
        <v>0</v>
      </c>
      <c r="G36" s="958">
        <f t="shared" si="2"/>
        <v>0</v>
      </c>
      <c r="H36" s="30" t="s">
        <v>1339</v>
      </c>
      <c r="I36" s="23"/>
      <c r="J36" s="23"/>
      <c r="K36" s="23"/>
    </row>
    <row r="37" spans="1:11" x14ac:dyDescent="0.25">
      <c r="A37" s="9" t="s">
        <v>35</v>
      </c>
      <c r="B37" s="10">
        <v>2002</v>
      </c>
      <c r="C37" s="23">
        <v>0</v>
      </c>
      <c r="D37" s="23">
        <v>0</v>
      </c>
      <c r="E37" s="958">
        <f t="shared" si="0"/>
        <v>0</v>
      </c>
      <c r="F37" s="958">
        <f t="shared" si="1"/>
        <v>0</v>
      </c>
      <c r="G37" s="958">
        <f t="shared" si="2"/>
        <v>0</v>
      </c>
      <c r="I37" s="23"/>
      <c r="J37" s="23"/>
      <c r="K37" s="23"/>
    </row>
    <row r="38" spans="1:11" x14ac:dyDescent="0.25">
      <c r="A38" s="9" t="s">
        <v>36</v>
      </c>
      <c r="B38" s="10">
        <v>3544</v>
      </c>
      <c r="C38" s="23">
        <v>0</v>
      </c>
      <c r="D38" s="23">
        <v>0</v>
      </c>
      <c r="E38" s="958">
        <f t="shared" si="0"/>
        <v>0</v>
      </c>
      <c r="F38" s="958">
        <f t="shared" si="1"/>
        <v>0</v>
      </c>
      <c r="G38" s="958">
        <f t="shared" si="2"/>
        <v>0</v>
      </c>
      <c r="I38" s="23"/>
      <c r="J38" s="23"/>
      <c r="K38" s="23"/>
    </row>
    <row r="39" spans="1:11" x14ac:dyDescent="0.25">
      <c r="A39" s="9" t="s">
        <v>100</v>
      </c>
      <c r="B39" s="10">
        <v>2006</v>
      </c>
      <c r="C39" s="23">
        <v>0</v>
      </c>
      <c r="D39" s="23">
        <v>0</v>
      </c>
      <c r="E39" s="958">
        <f t="shared" si="0"/>
        <v>0</v>
      </c>
      <c r="F39" s="958">
        <f t="shared" si="1"/>
        <v>0</v>
      </c>
      <c r="G39" s="958">
        <f t="shared" si="2"/>
        <v>0</v>
      </c>
      <c r="I39" s="23"/>
      <c r="J39" s="23"/>
      <c r="K39" s="23"/>
    </row>
    <row r="40" spans="1:11" x14ac:dyDescent="0.25">
      <c r="A40" s="9" t="s">
        <v>37</v>
      </c>
      <c r="B40" s="10">
        <v>2434</v>
      </c>
      <c r="C40" s="23">
        <v>12.81497175141218</v>
      </c>
      <c r="D40" s="23">
        <v>0</v>
      </c>
      <c r="E40" s="958">
        <f t="shared" si="0"/>
        <v>15373.865310734165</v>
      </c>
      <c r="F40" s="958">
        <f t="shared" si="1"/>
        <v>0</v>
      </c>
      <c r="G40" s="958">
        <f t="shared" si="2"/>
        <v>15373.865310734165</v>
      </c>
      <c r="I40" s="23"/>
      <c r="J40" s="23"/>
      <c r="K40" s="23"/>
    </row>
    <row r="41" spans="1:11" x14ac:dyDescent="0.25">
      <c r="A41" s="9" t="s">
        <v>38</v>
      </c>
      <c r="B41" s="10">
        <v>2522</v>
      </c>
      <c r="C41" s="23">
        <v>0</v>
      </c>
      <c r="D41" s="23">
        <v>0</v>
      </c>
      <c r="E41" s="958">
        <f t="shared" si="0"/>
        <v>0</v>
      </c>
      <c r="F41" s="958">
        <f t="shared" si="1"/>
        <v>0</v>
      </c>
      <c r="G41" s="958">
        <f t="shared" si="2"/>
        <v>0</v>
      </c>
      <c r="I41" s="23"/>
      <c r="J41" s="23"/>
      <c r="K41" s="23"/>
    </row>
    <row r="42" spans="1:11" x14ac:dyDescent="0.25">
      <c r="A42" s="9" t="s">
        <v>39</v>
      </c>
      <c r="B42" s="10">
        <v>2436</v>
      </c>
      <c r="C42" s="23">
        <v>0</v>
      </c>
      <c r="D42" s="23">
        <v>0</v>
      </c>
      <c r="E42" s="958">
        <f t="shared" si="0"/>
        <v>0</v>
      </c>
      <c r="F42" s="958">
        <f t="shared" si="1"/>
        <v>0</v>
      </c>
      <c r="G42" s="958">
        <f t="shared" si="2"/>
        <v>0</v>
      </c>
      <c r="I42" s="23"/>
      <c r="J42" s="23"/>
      <c r="K42" s="23"/>
    </row>
    <row r="43" spans="1:11" x14ac:dyDescent="0.25">
      <c r="A43" s="9" t="s">
        <v>40</v>
      </c>
      <c r="B43" s="10">
        <v>2452</v>
      </c>
      <c r="C43" s="23">
        <v>0</v>
      </c>
      <c r="D43" s="23">
        <v>0</v>
      </c>
      <c r="E43" s="958">
        <f t="shared" si="0"/>
        <v>0</v>
      </c>
      <c r="F43" s="958">
        <f t="shared" si="1"/>
        <v>0</v>
      </c>
      <c r="G43" s="958">
        <f t="shared" si="2"/>
        <v>0</v>
      </c>
      <c r="I43" s="23"/>
      <c r="J43" s="23"/>
      <c r="K43" s="23"/>
    </row>
    <row r="44" spans="1:11" x14ac:dyDescent="0.25">
      <c r="A44" s="9" t="s">
        <v>41</v>
      </c>
      <c r="B44" s="10">
        <v>2627</v>
      </c>
      <c r="C44" s="23">
        <v>0</v>
      </c>
      <c r="D44" s="23">
        <v>0</v>
      </c>
      <c r="E44" s="958">
        <f t="shared" si="0"/>
        <v>0</v>
      </c>
      <c r="F44" s="958">
        <f t="shared" si="1"/>
        <v>0</v>
      </c>
      <c r="G44" s="958">
        <f t="shared" si="2"/>
        <v>0</v>
      </c>
      <c r="I44" s="23"/>
      <c r="J44" s="23"/>
      <c r="K44" s="23"/>
    </row>
    <row r="45" spans="1:11" x14ac:dyDescent="0.25">
      <c r="A45" s="9" t="s">
        <v>42</v>
      </c>
      <c r="B45" s="10">
        <v>2009</v>
      </c>
      <c r="C45" s="23">
        <v>0</v>
      </c>
      <c r="D45" s="23">
        <v>0</v>
      </c>
      <c r="E45" s="958">
        <f t="shared" si="0"/>
        <v>0</v>
      </c>
      <c r="F45" s="958">
        <f t="shared" si="1"/>
        <v>0</v>
      </c>
      <c r="G45" s="958">
        <f t="shared" si="2"/>
        <v>0</v>
      </c>
      <c r="I45" s="23"/>
      <c r="J45" s="23"/>
      <c r="K45" s="23"/>
    </row>
    <row r="46" spans="1:11" x14ac:dyDescent="0.25">
      <c r="A46" s="9" t="s">
        <v>101</v>
      </c>
      <c r="B46" s="10">
        <v>2473</v>
      </c>
      <c r="C46" s="23">
        <v>0</v>
      </c>
      <c r="D46" s="23">
        <v>0</v>
      </c>
      <c r="E46" s="958">
        <f t="shared" si="0"/>
        <v>0</v>
      </c>
      <c r="F46" s="958">
        <f t="shared" si="1"/>
        <v>0</v>
      </c>
      <c r="G46" s="958">
        <f t="shared" si="2"/>
        <v>0</v>
      </c>
      <c r="I46" s="23"/>
      <c r="J46" s="23"/>
      <c r="K46" s="23"/>
    </row>
    <row r="47" spans="1:11" x14ac:dyDescent="0.25">
      <c r="A47" s="9" t="s">
        <v>44</v>
      </c>
      <c r="B47" s="10">
        <v>2471</v>
      </c>
      <c r="C47" s="23">
        <v>0</v>
      </c>
      <c r="D47" s="23">
        <v>0</v>
      </c>
      <c r="E47" s="958">
        <f t="shared" si="0"/>
        <v>0</v>
      </c>
      <c r="F47" s="958">
        <f t="shared" si="1"/>
        <v>0</v>
      </c>
      <c r="G47" s="958">
        <f t="shared" si="2"/>
        <v>0</v>
      </c>
      <c r="I47" s="23"/>
      <c r="J47" s="23"/>
      <c r="K47" s="23"/>
    </row>
    <row r="48" spans="1:11" x14ac:dyDescent="0.25">
      <c r="A48" s="9" t="s">
        <v>43</v>
      </c>
      <c r="B48" s="10">
        <v>2420</v>
      </c>
      <c r="C48" s="23">
        <v>56.033765801729693</v>
      </c>
      <c r="D48" s="23">
        <v>0</v>
      </c>
      <c r="E48" s="958">
        <f t="shared" si="0"/>
        <v>67222.588157019083</v>
      </c>
      <c r="F48" s="958">
        <f t="shared" si="1"/>
        <v>0</v>
      </c>
      <c r="G48" s="958">
        <f t="shared" si="2"/>
        <v>67222.588157019083</v>
      </c>
      <c r="I48" s="23"/>
      <c r="J48" s="23"/>
      <c r="K48" s="23"/>
    </row>
    <row r="49" spans="1:11" x14ac:dyDescent="0.25">
      <c r="A49" s="9" t="s">
        <v>45</v>
      </c>
      <c r="B49" s="10">
        <v>2003</v>
      </c>
      <c r="C49" s="23">
        <v>0</v>
      </c>
      <c r="D49" s="23">
        <v>0</v>
      </c>
      <c r="E49" s="958">
        <f t="shared" si="0"/>
        <v>0</v>
      </c>
      <c r="F49" s="958">
        <f t="shared" si="1"/>
        <v>0</v>
      </c>
      <c r="G49" s="958">
        <f t="shared" si="2"/>
        <v>0</v>
      </c>
      <c r="I49" s="23"/>
      <c r="J49" s="23"/>
      <c r="K49" s="23"/>
    </row>
    <row r="50" spans="1:11" x14ac:dyDescent="0.25">
      <c r="A50" s="9" t="s">
        <v>46</v>
      </c>
      <c r="B50" s="10">
        <v>2423</v>
      </c>
      <c r="C50" s="23">
        <v>27.900000000000055</v>
      </c>
      <c r="D50" s="23">
        <v>0</v>
      </c>
      <c r="E50" s="958">
        <f t="shared" si="0"/>
        <v>33471.072000000066</v>
      </c>
      <c r="F50" s="958">
        <f t="shared" si="1"/>
        <v>0</v>
      </c>
      <c r="G50" s="958">
        <f t="shared" si="2"/>
        <v>33471.072000000066</v>
      </c>
      <c r="I50" s="23"/>
      <c r="J50" s="23"/>
      <c r="K50" s="23"/>
    </row>
    <row r="51" spans="1:11" x14ac:dyDescent="0.25">
      <c r="A51" s="9" t="s">
        <v>47</v>
      </c>
      <c r="B51" s="10">
        <v>2424</v>
      </c>
      <c r="C51" s="23">
        <v>0</v>
      </c>
      <c r="D51" s="23">
        <v>0</v>
      </c>
      <c r="E51" s="958">
        <f t="shared" si="0"/>
        <v>0</v>
      </c>
      <c r="F51" s="958">
        <f t="shared" si="1"/>
        <v>0</v>
      </c>
      <c r="G51" s="958">
        <f t="shared" si="2"/>
        <v>0</v>
      </c>
      <c r="I51" s="23"/>
      <c r="J51" s="23"/>
      <c r="K51" s="23"/>
    </row>
    <row r="52" spans="1:11" x14ac:dyDescent="0.25">
      <c r="A52" s="9" t="s">
        <v>48</v>
      </c>
      <c r="B52" s="10">
        <v>2439</v>
      </c>
      <c r="C52" s="23">
        <v>0</v>
      </c>
      <c r="D52" s="23">
        <v>0</v>
      </c>
      <c r="E52" s="958">
        <f t="shared" si="0"/>
        <v>0</v>
      </c>
      <c r="F52" s="958">
        <f t="shared" si="1"/>
        <v>0</v>
      </c>
      <c r="G52" s="958">
        <f t="shared" si="2"/>
        <v>0</v>
      </c>
      <c r="I52" s="23"/>
      <c r="J52" s="23"/>
      <c r="K52" s="23"/>
    </row>
    <row r="53" spans="1:11" x14ac:dyDescent="0.25">
      <c r="A53" s="9" t="s">
        <v>49</v>
      </c>
      <c r="B53" s="10">
        <v>2440</v>
      </c>
      <c r="C53" s="23">
        <v>0</v>
      </c>
      <c r="D53" s="23">
        <v>0</v>
      </c>
      <c r="E53" s="958">
        <f t="shared" si="0"/>
        <v>0</v>
      </c>
      <c r="F53" s="958">
        <f t="shared" si="1"/>
        <v>0</v>
      </c>
      <c r="G53" s="958">
        <f t="shared" si="2"/>
        <v>0</v>
      </c>
      <c r="I53" s="23"/>
      <c r="J53" s="23"/>
      <c r="K53" s="23"/>
    </row>
    <row r="54" spans="1:11" x14ac:dyDescent="0.25">
      <c r="A54" s="9" t="s">
        <v>102</v>
      </c>
      <c r="B54" s="10">
        <v>2462</v>
      </c>
      <c r="C54" s="23">
        <v>0</v>
      </c>
      <c r="D54" s="23">
        <v>0</v>
      </c>
      <c r="E54" s="958">
        <f t="shared" si="0"/>
        <v>0</v>
      </c>
      <c r="F54" s="958">
        <f t="shared" si="1"/>
        <v>0</v>
      </c>
      <c r="G54" s="958">
        <f t="shared" si="2"/>
        <v>0</v>
      </c>
      <c r="I54" s="23"/>
      <c r="J54" s="23"/>
      <c r="K54" s="23"/>
    </row>
    <row r="55" spans="1:11" x14ac:dyDescent="0.25">
      <c r="A55" s="9" t="s">
        <v>50</v>
      </c>
      <c r="B55" s="10">
        <v>2463</v>
      </c>
      <c r="C55" s="23">
        <v>0</v>
      </c>
      <c r="D55" s="23">
        <v>0</v>
      </c>
      <c r="E55" s="958">
        <f t="shared" si="0"/>
        <v>0</v>
      </c>
      <c r="F55" s="958">
        <f t="shared" si="1"/>
        <v>0</v>
      </c>
      <c r="G55" s="958">
        <f t="shared" si="2"/>
        <v>0</v>
      </c>
      <c r="I55" s="23"/>
      <c r="J55" s="23"/>
      <c r="K55" s="23"/>
    </row>
    <row r="56" spans="1:11" x14ac:dyDescent="0.25">
      <c r="A56" s="9" t="s">
        <v>51</v>
      </c>
      <c r="B56" s="10">
        <v>2505</v>
      </c>
      <c r="C56" s="23">
        <v>9.8999999999997623</v>
      </c>
      <c r="D56" s="23">
        <v>0</v>
      </c>
      <c r="E56" s="958">
        <f t="shared" si="0"/>
        <v>11876.831999999715</v>
      </c>
      <c r="F56" s="958">
        <f t="shared" si="1"/>
        <v>0</v>
      </c>
      <c r="G56" s="958">
        <f t="shared" si="2"/>
        <v>11876.831999999715</v>
      </c>
      <c r="I56" s="23"/>
      <c r="J56" s="23"/>
      <c r="K56" s="23"/>
    </row>
    <row r="57" spans="1:11" x14ac:dyDescent="0.25">
      <c r="A57" s="9" t="s">
        <v>1304</v>
      </c>
      <c r="B57" s="10">
        <v>2000</v>
      </c>
      <c r="C57" s="23">
        <v>10.597530864197388</v>
      </c>
      <c r="D57" s="23">
        <v>0</v>
      </c>
      <c r="E57" s="958">
        <f t="shared" si="0"/>
        <v>12713.645827160324</v>
      </c>
      <c r="F57" s="958">
        <f t="shared" si="1"/>
        <v>0</v>
      </c>
      <c r="G57" s="958">
        <f t="shared" si="2"/>
        <v>12713.645827160324</v>
      </c>
      <c r="I57" s="23"/>
      <c r="J57" s="23"/>
      <c r="K57" s="23"/>
    </row>
    <row r="58" spans="1:11" x14ac:dyDescent="0.25">
      <c r="A58" s="9" t="s">
        <v>53</v>
      </c>
      <c r="B58" s="10">
        <v>2458</v>
      </c>
      <c r="C58" s="23">
        <v>0</v>
      </c>
      <c r="D58" s="23">
        <v>0</v>
      </c>
      <c r="E58" s="958">
        <f t="shared" si="0"/>
        <v>0</v>
      </c>
      <c r="F58" s="958">
        <f t="shared" si="1"/>
        <v>0</v>
      </c>
      <c r="G58" s="958">
        <f t="shared" si="2"/>
        <v>0</v>
      </c>
      <c r="I58" s="23"/>
      <c r="J58" s="23"/>
      <c r="K58" s="23"/>
    </row>
    <row r="59" spans="1:11" x14ac:dyDescent="0.25">
      <c r="A59" s="9" t="s">
        <v>54</v>
      </c>
      <c r="B59" s="10">
        <v>2001</v>
      </c>
      <c r="C59" s="23">
        <v>1.2999999999999805</v>
      </c>
      <c r="D59" s="23">
        <v>0</v>
      </c>
      <c r="E59" s="958">
        <f t="shared" si="0"/>
        <v>1559.5839999999766</v>
      </c>
      <c r="F59" s="958">
        <f t="shared" si="1"/>
        <v>0</v>
      </c>
      <c r="G59" s="958">
        <f t="shared" si="2"/>
        <v>1559.5839999999766</v>
      </c>
      <c r="I59" s="23"/>
      <c r="J59" s="23"/>
      <c r="K59" s="23"/>
    </row>
    <row r="60" spans="1:11" x14ac:dyDescent="0.25">
      <c r="A60" s="9" t="s">
        <v>55</v>
      </c>
      <c r="B60" s="10">
        <v>2429</v>
      </c>
      <c r="C60" s="23">
        <v>0</v>
      </c>
      <c r="D60" s="23">
        <v>0</v>
      </c>
      <c r="E60" s="958">
        <f t="shared" si="0"/>
        <v>0</v>
      </c>
      <c r="F60" s="958">
        <f t="shared" si="1"/>
        <v>0</v>
      </c>
      <c r="G60" s="958">
        <f t="shared" si="2"/>
        <v>0</v>
      </c>
      <c r="I60" s="23"/>
      <c r="J60" s="23"/>
      <c r="K60" s="23"/>
    </row>
    <row r="61" spans="1:11" x14ac:dyDescent="0.25">
      <c r="A61" s="9" t="s">
        <v>56</v>
      </c>
      <c r="B61" s="10">
        <v>2444</v>
      </c>
      <c r="C61" s="23">
        <v>0</v>
      </c>
      <c r="D61" s="23">
        <v>0</v>
      </c>
      <c r="E61" s="958">
        <f t="shared" si="0"/>
        <v>0</v>
      </c>
      <c r="F61" s="958">
        <f t="shared" si="1"/>
        <v>0</v>
      </c>
      <c r="G61" s="958">
        <f t="shared" si="2"/>
        <v>0</v>
      </c>
      <c r="I61" s="23"/>
      <c r="J61" s="23"/>
      <c r="K61" s="23"/>
    </row>
    <row r="62" spans="1:11" x14ac:dyDescent="0.25">
      <c r="A62" s="9" t="s">
        <v>57</v>
      </c>
      <c r="B62" s="10">
        <v>5209</v>
      </c>
      <c r="C62" s="23">
        <v>0</v>
      </c>
      <c r="D62" s="23">
        <v>0</v>
      </c>
      <c r="E62" s="958">
        <f t="shared" si="0"/>
        <v>0</v>
      </c>
      <c r="F62" s="958">
        <f t="shared" si="1"/>
        <v>0</v>
      </c>
      <c r="G62" s="958">
        <f t="shared" si="2"/>
        <v>0</v>
      </c>
      <c r="I62" s="23"/>
      <c r="J62" s="23"/>
      <c r="K62" s="23"/>
    </row>
    <row r="63" spans="1:11" x14ac:dyDescent="0.25">
      <c r="A63" s="9" t="s">
        <v>58</v>
      </c>
      <c r="B63" s="10">
        <v>2469</v>
      </c>
      <c r="C63" s="23">
        <v>0</v>
      </c>
      <c r="D63" s="23">
        <v>0</v>
      </c>
      <c r="E63" s="958">
        <f t="shared" si="0"/>
        <v>0</v>
      </c>
      <c r="F63" s="958">
        <f t="shared" si="1"/>
        <v>0</v>
      </c>
      <c r="G63" s="958">
        <f t="shared" si="2"/>
        <v>0</v>
      </c>
      <c r="I63" s="23"/>
      <c r="J63" s="23"/>
      <c r="K63" s="23"/>
    </row>
    <row r="64" spans="1:11" x14ac:dyDescent="0.25">
      <c r="A64" s="22" t="s">
        <v>437</v>
      </c>
      <c r="B64" s="10">
        <v>2430</v>
      </c>
      <c r="C64" s="23">
        <v>14.399999999999963</v>
      </c>
      <c r="D64" s="23">
        <v>0</v>
      </c>
      <c r="E64" s="958">
        <f t="shared" si="0"/>
        <v>17275.391999999956</v>
      </c>
      <c r="F64" s="958">
        <f t="shared" si="1"/>
        <v>0</v>
      </c>
      <c r="G64" s="958">
        <f t="shared" si="2"/>
        <v>17275.391999999956</v>
      </c>
      <c r="I64" s="23"/>
      <c r="J64" s="23"/>
      <c r="K64" s="23"/>
    </row>
    <row r="65" spans="1:11" x14ac:dyDescent="0.25">
      <c r="A65" s="9" t="s">
        <v>59</v>
      </c>
      <c r="B65" s="10">
        <v>2466</v>
      </c>
      <c r="C65" s="23">
        <v>31.015879828326185</v>
      </c>
      <c r="D65" s="23">
        <v>0</v>
      </c>
      <c r="E65" s="958">
        <f t="shared" si="0"/>
        <v>37209.130712446356</v>
      </c>
      <c r="F65" s="958">
        <f t="shared" si="1"/>
        <v>0</v>
      </c>
      <c r="G65" s="958">
        <f t="shared" si="2"/>
        <v>37209.130712446356</v>
      </c>
      <c r="I65" s="23"/>
      <c r="J65" s="23"/>
      <c r="K65" s="23"/>
    </row>
    <row r="66" spans="1:11" x14ac:dyDescent="0.25">
      <c r="A66" s="9" t="s">
        <v>60</v>
      </c>
      <c r="B66" s="10">
        <v>3543</v>
      </c>
      <c r="C66" s="23">
        <v>0</v>
      </c>
      <c r="D66" s="23">
        <v>0</v>
      </c>
      <c r="E66" s="958">
        <f t="shared" si="0"/>
        <v>0</v>
      </c>
      <c r="F66" s="958">
        <f t="shared" si="1"/>
        <v>0</v>
      </c>
      <c r="G66" s="958">
        <f t="shared" si="2"/>
        <v>0</v>
      </c>
      <c r="I66" s="23"/>
      <c r="J66" s="23"/>
      <c r="K66" s="23"/>
    </row>
    <row r="67" spans="1:11" x14ac:dyDescent="0.25">
      <c r="A67" s="9" t="s">
        <v>62</v>
      </c>
      <c r="B67" s="10">
        <v>3531</v>
      </c>
      <c r="C67" s="23">
        <v>0</v>
      </c>
      <c r="D67" s="23">
        <v>0</v>
      </c>
      <c r="E67" s="958">
        <f t="shared" si="0"/>
        <v>0</v>
      </c>
      <c r="F67" s="958">
        <f t="shared" si="1"/>
        <v>0</v>
      </c>
      <c r="G67" s="958">
        <f t="shared" si="2"/>
        <v>0</v>
      </c>
      <c r="I67" s="23"/>
      <c r="J67" s="23"/>
      <c r="K67" s="23"/>
    </row>
    <row r="68" spans="1:11" x14ac:dyDescent="0.25">
      <c r="A68" s="9" t="s">
        <v>103</v>
      </c>
      <c r="B68" s="10">
        <v>3526</v>
      </c>
      <c r="C68" s="23">
        <v>3.9999999999999583</v>
      </c>
      <c r="D68" s="23">
        <v>0</v>
      </c>
      <c r="E68" s="958">
        <f t="shared" si="0"/>
        <v>4798.7199999999502</v>
      </c>
      <c r="F68" s="958">
        <f t="shared" si="1"/>
        <v>0</v>
      </c>
      <c r="G68" s="958">
        <f t="shared" si="2"/>
        <v>4798.7199999999502</v>
      </c>
      <c r="I68" s="23"/>
      <c r="J68" s="23"/>
      <c r="K68" s="23"/>
    </row>
    <row r="69" spans="1:11" x14ac:dyDescent="0.25">
      <c r="A69" s="9" t="s">
        <v>104</v>
      </c>
      <c r="B69" s="10">
        <v>3535</v>
      </c>
      <c r="C69" s="23">
        <v>0</v>
      </c>
      <c r="D69" s="23">
        <v>0</v>
      </c>
      <c r="E69" s="958">
        <f t="shared" si="0"/>
        <v>0</v>
      </c>
      <c r="F69" s="958">
        <f t="shared" si="1"/>
        <v>0</v>
      </c>
      <c r="G69" s="958">
        <f t="shared" si="2"/>
        <v>0</v>
      </c>
      <c r="I69" s="23"/>
      <c r="J69" s="23"/>
      <c r="K69" s="23"/>
    </row>
    <row r="70" spans="1:11" x14ac:dyDescent="0.25">
      <c r="A70" s="12" t="s">
        <v>64</v>
      </c>
      <c r="B70" s="10">
        <v>2008</v>
      </c>
      <c r="C70" s="23">
        <v>0</v>
      </c>
      <c r="D70" s="23">
        <v>0</v>
      </c>
      <c r="E70" s="958">
        <f t="shared" si="0"/>
        <v>0</v>
      </c>
      <c r="F70" s="958">
        <f t="shared" si="1"/>
        <v>0</v>
      </c>
      <c r="G70" s="958">
        <f t="shared" si="2"/>
        <v>0</v>
      </c>
      <c r="I70" s="23"/>
      <c r="J70" s="23"/>
      <c r="K70" s="23"/>
    </row>
    <row r="71" spans="1:11" x14ac:dyDescent="0.25">
      <c r="A71" s="9" t="s">
        <v>105</v>
      </c>
      <c r="B71" s="10">
        <v>3542</v>
      </c>
      <c r="C71" s="23">
        <v>0</v>
      </c>
      <c r="D71" s="23">
        <v>0</v>
      </c>
      <c r="E71" s="958">
        <f t="shared" si="0"/>
        <v>0</v>
      </c>
      <c r="F71" s="958">
        <f t="shared" si="1"/>
        <v>0</v>
      </c>
      <c r="G71" s="958">
        <f t="shared" si="2"/>
        <v>0</v>
      </c>
      <c r="I71" s="23"/>
      <c r="J71" s="23"/>
      <c r="K71" s="23"/>
    </row>
    <row r="72" spans="1:11" x14ac:dyDescent="0.25">
      <c r="A72" s="9" t="s">
        <v>106</v>
      </c>
      <c r="B72" s="10">
        <v>3528</v>
      </c>
      <c r="C72" s="23">
        <v>5.4000000000000066</v>
      </c>
      <c r="D72" s="23">
        <v>0</v>
      </c>
      <c r="E72" s="958">
        <f t="shared" si="0"/>
        <v>6478.2720000000081</v>
      </c>
      <c r="F72" s="958">
        <f t="shared" si="1"/>
        <v>0</v>
      </c>
      <c r="G72" s="958">
        <f t="shared" si="2"/>
        <v>6478.2720000000081</v>
      </c>
      <c r="I72" s="23"/>
      <c r="J72" s="23"/>
      <c r="K72" s="23"/>
    </row>
    <row r="73" spans="1:11" x14ac:dyDescent="0.25">
      <c r="A73" s="9" t="s">
        <v>107</v>
      </c>
      <c r="B73" s="10">
        <v>3534</v>
      </c>
      <c r="C73" s="23">
        <v>0</v>
      </c>
      <c r="D73" s="23">
        <v>0</v>
      </c>
      <c r="E73" s="958">
        <f t="shared" ref="E73:E78" si="3">E$1*C73</f>
        <v>0</v>
      </c>
      <c r="F73" s="958">
        <f t="shared" ref="F73:F78" si="4">F$2*D73</f>
        <v>0</v>
      </c>
      <c r="G73" s="958">
        <f t="shared" ref="G73:G78" si="5">F73+E73</f>
        <v>0</v>
      </c>
      <c r="I73" s="23"/>
      <c r="J73" s="23"/>
      <c r="K73" s="23"/>
    </row>
    <row r="74" spans="1:11" x14ac:dyDescent="0.25">
      <c r="A74" s="9" t="s">
        <v>108</v>
      </c>
      <c r="B74" s="10">
        <v>3532</v>
      </c>
      <c r="C74" s="23">
        <v>0</v>
      </c>
      <c r="D74" s="23">
        <v>0</v>
      </c>
      <c r="E74" s="958">
        <f t="shared" si="3"/>
        <v>0</v>
      </c>
      <c r="F74" s="958">
        <f t="shared" si="4"/>
        <v>0</v>
      </c>
      <c r="G74" s="958">
        <f t="shared" si="5"/>
        <v>0</v>
      </c>
      <c r="I74" s="23"/>
      <c r="J74" s="23"/>
      <c r="K74" s="23"/>
    </row>
    <row r="75" spans="1:11" x14ac:dyDescent="0.25">
      <c r="A75" s="9" t="s">
        <v>65</v>
      </c>
      <c r="B75" s="10">
        <v>3546</v>
      </c>
      <c r="C75" s="23">
        <v>0.50000000000007938</v>
      </c>
      <c r="D75" s="23">
        <v>0</v>
      </c>
      <c r="E75" s="958">
        <f t="shared" si="3"/>
        <v>599.8400000000953</v>
      </c>
      <c r="F75" s="958">
        <f t="shared" si="4"/>
        <v>0</v>
      </c>
      <c r="G75" s="958">
        <f t="shared" si="5"/>
        <v>599.8400000000953</v>
      </c>
      <c r="I75" s="23"/>
      <c r="J75" s="23"/>
      <c r="K75" s="23"/>
    </row>
    <row r="76" spans="1:11" x14ac:dyDescent="0.25">
      <c r="A76" s="9" t="s">
        <v>109</v>
      </c>
      <c r="B76" s="10">
        <v>3530</v>
      </c>
      <c r="C76" s="23">
        <v>0</v>
      </c>
      <c r="D76" s="23">
        <v>0</v>
      </c>
      <c r="E76" s="958">
        <f t="shared" si="3"/>
        <v>0</v>
      </c>
      <c r="F76" s="958">
        <f t="shared" si="4"/>
        <v>0</v>
      </c>
      <c r="G76" s="958">
        <f t="shared" si="5"/>
        <v>0</v>
      </c>
      <c r="I76" s="23"/>
      <c r="J76" s="23"/>
      <c r="K76" s="23"/>
    </row>
    <row r="77" spans="1:11" x14ac:dyDescent="0.25">
      <c r="A77" s="9" t="s">
        <v>67</v>
      </c>
      <c r="B77" s="10">
        <v>2459</v>
      </c>
      <c r="C77" s="23">
        <v>0</v>
      </c>
      <c r="D77" s="23">
        <v>0</v>
      </c>
      <c r="E77" s="958">
        <f t="shared" si="3"/>
        <v>0</v>
      </c>
      <c r="F77" s="958">
        <f t="shared" si="4"/>
        <v>0</v>
      </c>
      <c r="G77" s="958">
        <f t="shared" si="5"/>
        <v>0</v>
      </c>
      <c r="I77" s="23"/>
      <c r="J77" s="23"/>
      <c r="K77" s="23"/>
    </row>
    <row r="78" spans="1:11" x14ac:dyDescent="0.25">
      <c r="A78" s="9" t="s">
        <v>846</v>
      </c>
      <c r="B78" s="10">
        <v>4000</v>
      </c>
      <c r="C78" s="23">
        <v>22.886363636363619</v>
      </c>
      <c r="D78" s="23">
        <v>0</v>
      </c>
      <c r="E78" s="958">
        <f t="shared" si="3"/>
        <v>27456.312727272707</v>
      </c>
      <c r="F78" s="958">
        <f t="shared" si="4"/>
        <v>0</v>
      </c>
      <c r="G78" s="958">
        <f t="shared" si="5"/>
        <v>27456.312727272707</v>
      </c>
      <c r="I78" s="23"/>
      <c r="J78" s="23"/>
      <c r="K78" s="23"/>
    </row>
    <row r="79" spans="1:11" x14ac:dyDescent="0.25">
      <c r="A79" s="9"/>
      <c r="B79" s="10"/>
      <c r="C79" s="23"/>
      <c r="D79" s="23"/>
      <c r="E79" s="958"/>
      <c r="F79" s="958"/>
      <c r="G79" s="23"/>
      <c r="I79" s="23"/>
      <c r="J79" s="23"/>
      <c r="K79" s="23"/>
    </row>
    <row r="80" spans="1:11" x14ac:dyDescent="0.25">
      <c r="A80" s="1" t="s">
        <v>110</v>
      </c>
      <c r="B80" s="1" t="s">
        <v>110</v>
      </c>
      <c r="C80" s="29">
        <f>SUM(C7:C78)</f>
        <v>348.07383377044067</v>
      </c>
      <c r="D80" s="29">
        <f>SUM(D7:D78)</f>
        <v>0</v>
      </c>
      <c r="E80" s="29">
        <f>SUM(E7:E78)</f>
        <v>417577.21689772222</v>
      </c>
      <c r="F80" s="29">
        <f>SUM(F7:F78)</f>
        <v>0</v>
      </c>
      <c r="G80" s="29">
        <f>SUM(G7:G78)</f>
        <v>417577.21689772222</v>
      </c>
      <c r="I80" s="23"/>
      <c r="J80" s="23"/>
      <c r="K80" s="23"/>
    </row>
    <row r="81" spans="1:11" x14ac:dyDescent="0.25">
      <c r="A81" s="9"/>
      <c r="B81" s="10"/>
      <c r="C81" s="23"/>
      <c r="D81" s="23"/>
      <c r="E81" s="958"/>
      <c r="F81" s="958"/>
      <c r="G81" s="23"/>
      <c r="I81" s="23"/>
      <c r="J81" s="23"/>
      <c r="K81" s="23"/>
    </row>
    <row r="82" spans="1:11" x14ac:dyDescent="0.25">
      <c r="A82" s="9" t="s">
        <v>75</v>
      </c>
      <c r="B82" s="10">
        <v>5402</v>
      </c>
      <c r="C82" s="23">
        <v>0</v>
      </c>
      <c r="D82" s="23">
        <v>0</v>
      </c>
      <c r="E82" s="958">
        <f>E$1*C82</f>
        <v>0</v>
      </c>
      <c r="F82" s="958">
        <f>F$2*D82</f>
        <v>0</v>
      </c>
      <c r="G82" s="958">
        <f t="shared" ref="G82:G95" si="6">F82+E82</f>
        <v>0</v>
      </c>
      <c r="I82" s="23"/>
      <c r="J82" s="23"/>
      <c r="K82" s="23"/>
    </row>
    <row r="83" spans="1:11" x14ac:dyDescent="0.25">
      <c r="A83" s="9" t="s">
        <v>68</v>
      </c>
      <c r="B83" s="10">
        <v>4608</v>
      </c>
      <c r="C83" s="23">
        <v>0</v>
      </c>
      <c r="D83" s="23">
        <v>0</v>
      </c>
      <c r="E83" s="958">
        <f t="shared" ref="E83:E95" si="7">E$1*C83</f>
        <v>0</v>
      </c>
      <c r="F83" s="958">
        <f t="shared" ref="F83:F95" si="8">F$2*D83</f>
        <v>0</v>
      </c>
      <c r="G83" s="958">
        <f t="shared" si="6"/>
        <v>0</v>
      </c>
      <c r="I83" s="23"/>
      <c r="J83" s="23"/>
      <c r="K83" s="23"/>
    </row>
    <row r="84" spans="1:11" x14ac:dyDescent="0.25">
      <c r="A84" s="9" t="s">
        <v>111</v>
      </c>
      <c r="B84" s="10">
        <v>4178</v>
      </c>
      <c r="C84" s="23">
        <v>0</v>
      </c>
      <c r="D84" s="23">
        <v>0</v>
      </c>
      <c r="E84" s="958">
        <f t="shared" si="7"/>
        <v>0</v>
      </c>
      <c r="F84" s="958">
        <f t="shared" si="8"/>
        <v>0</v>
      </c>
      <c r="G84" s="958">
        <f t="shared" si="6"/>
        <v>0</v>
      </c>
      <c r="I84" s="23"/>
      <c r="J84" s="23"/>
      <c r="K84" s="23"/>
    </row>
    <row r="85" spans="1:11" x14ac:dyDescent="0.25">
      <c r="A85" s="9" t="s">
        <v>69</v>
      </c>
      <c r="B85" s="10">
        <v>4181</v>
      </c>
      <c r="C85" s="23">
        <v>0</v>
      </c>
      <c r="D85" s="23">
        <v>0</v>
      </c>
      <c r="E85" s="958">
        <f t="shared" si="7"/>
        <v>0</v>
      </c>
      <c r="F85" s="958">
        <f t="shared" si="8"/>
        <v>0</v>
      </c>
      <c r="G85" s="958">
        <f t="shared" si="6"/>
        <v>0</v>
      </c>
      <c r="I85" s="23"/>
      <c r="J85" s="23"/>
      <c r="K85" s="23"/>
    </row>
    <row r="86" spans="1:11" x14ac:dyDescent="0.25">
      <c r="A86" s="9" t="s">
        <v>70</v>
      </c>
      <c r="B86" s="10">
        <v>4182</v>
      </c>
      <c r="C86" s="23">
        <v>0</v>
      </c>
      <c r="D86" s="23">
        <v>0</v>
      </c>
      <c r="E86" s="958">
        <f t="shared" si="7"/>
        <v>0</v>
      </c>
      <c r="F86" s="958">
        <f t="shared" si="8"/>
        <v>0</v>
      </c>
      <c r="G86" s="958">
        <f t="shared" si="6"/>
        <v>0</v>
      </c>
      <c r="I86" s="23"/>
      <c r="J86" s="23"/>
      <c r="K86" s="23"/>
    </row>
    <row r="87" spans="1:11" x14ac:dyDescent="0.25">
      <c r="A87" s="9" t="s">
        <v>71</v>
      </c>
      <c r="B87" s="936">
        <v>4001</v>
      </c>
      <c r="C87" s="23">
        <v>0</v>
      </c>
      <c r="D87" s="959">
        <v>0</v>
      </c>
      <c r="E87" s="958">
        <f t="shared" si="7"/>
        <v>0</v>
      </c>
      <c r="F87" s="958">
        <f t="shared" si="8"/>
        <v>0</v>
      </c>
      <c r="G87" s="958">
        <f t="shared" si="6"/>
        <v>0</v>
      </c>
      <c r="H87" s="30" t="s">
        <v>996</v>
      </c>
      <c r="I87" s="23"/>
      <c r="J87" s="23"/>
      <c r="K87" s="23"/>
    </row>
    <row r="88" spans="1:11" x14ac:dyDescent="0.25">
      <c r="A88" s="9" t="s">
        <v>112</v>
      </c>
      <c r="B88" s="10">
        <v>5406</v>
      </c>
      <c r="C88" s="23">
        <v>0</v>
      </c>
      <c r="D88" s="23">
        <v>0</v>
      </c>
      <c r="E88" s="958">
        <f t="shared" si="7"/>
        <v>0</v>
      </c>
      <c r="F88" s="958">
        <f t="shared" si="8"/>
        <v>0</v>
      </c>
      <c r="G88" s="958">
        <f t="shared" si="6"/>
        <v>0</v>
      </c>
      <c r="I88" s="23"/>
      <c r="J88" s="23"/>
      <c r="K88" s="23"/>
    </row>
    <row r="89" spans="1:11" x14ac:dyDescent="0.25">
      <c r="A89" s="9" t="s">
        <v>113</v>
      </c>
      <c r="B89" s="10">
        <v>5407</v>
      </c>
      <c r="C89" s="23">
        <v>0</v>
      </c>
      <c r="D89" s="23">
        <v>0</v>
      </c>
      <c r="E89" s="958">
        <f t="shared" si="7"/>
        <v>0</v>
      </c>
      <c r="F89" s="958">
        <f t="shared" si="8"/>
        <v>0</v>
      </c>
      <c r="G89" s="958">
        <f t="shared" si="6"/>
        <v>0</v>
      </c>
      <c r="I89" s="23"/>
      <c r="J89" s="23"/>
      <c r="K89" s="23"/>
    </row>
    <row r="90" spans="1:11" x14ac:dyDescent="0.25">
      <c r="A90" s="9" t="s">
        <v>72</v>
      </c>
      <c r="B90" s="10">
        <v>4607</v>
      </c>
      <c r="C90" s="23">
        <v>0</v>
      </c>
      <c r="D90" s="23">
        <v>0</v>
      </c>
      <c r="E90" s="958">
        <f t="shared" si="7"/>
        <v>0</v>
      </c>
      <c r="F90" s="958">
        <f t="shared" si="8"/>
        <v>0</v>
      </c>
      <c r="G90" s="958">
        <f t="shared" si="6"/>
        <v>0</v>
      </c>
      <c r="I90" s="23"/>
      <c r="J90" s="23"/>
      <c r="K90" s="23"/>
    </row>
    <row r="91" spans="1:11" x14ac:dyDescent="0.25">
      <c r="A91" s="9" t="s">
        <v>997</v>
      </c>
      <c r="B91" s="936">
        <v>4002</v>
      </c>
      <c r="C91" s="23">
        <v>0</v>
      </c>
      <c r="D91" s="959">
        <v>0</v>
      </c>
      <c r="E91" s="958">
        <f t="shared" si="7"/>
        <v>0</v>
      </c>
      <c r="F91" s="958">
        <f t="shared" si="8"/>
        <v>0</v>
      </c>
      <c r="G91" s="958">
        <f t="shared" si="6"/>
        <v>0</v>
      </c>
      <c r="H91" s="30" t="s">
        <v>996</v>
      </c>
      <c r="I91" s="23"/>
      <c r="J91" s="23"/>
      <c r="K91" s="23"/>
    </row>
    <row r="92" spans="1:11" x14ac:dyDescent="0.25">
      <c r="A92" s="9" t="s">
        <v>74</v>
      </c>
      <c r="B92" s="10">
        <v>5412</v>
      </c>
      <c r="C92" s="23">
        <v>0</v>
      </c>
      <c r="D92" s="23">
        <v>0</v>
      </c>
      <c r="E92" s="958">
        <f t="shared" si="7"/>
        <v>0</v>
      </c>
      <c r="F92" s="958">
        <f t="shared" si="8"/>
        <v>0</v>
      </c>
      <c r="G92" s="958">
        <f t="shared" si="6"/>
        <v>0</v>
      </c>
      <c r="I92" s="23"/>
      <c r="J92" s="23"/>
      <c r="K92" s="23"/>
    </row>
    <row r="93" spans="1:11" x14ac:dyDescent="0.25">
      <c r="A93" s="9" t="s">
        <v>1306</v>
      </c>
      <c r="B93" s="10">
        <v>4003</v>
      </c>
      <c r="C93" s="23">
        <v>0</v>
      </c>
      <c r="D93" s="23">
        <v>0</v>
      </c>
      <c r="E93" s="958">
        <f t="shared" si="7"/>
        <v>0</v>
      </c>
      <c r="F93" s="958">
        <f t="shared" si="8"/>
        <v>0</v>
      </c>
      <c r="G93" s="958">
        <f t="shared" si="6"/>
        <v>0</v>
      </c>
      <c r="I93" s="23"/>
      <c r="J93" s="23"/>
      <c r="K93" s="23"/>
    </row>
    <row r="94" spans="1:11" x14ac:dyDescent="0.25">
      <c r="A94" s="9" t="s">
        <v>73</v>
      </c>
      <c r="B94" s="10">
        <v>5414</v>
      </c>
      <c r="C94" s="23">
        <v>0</v>
      </c>
      <c r="D94" s="23">
        <v>0</v>
      </c>
      <c r="E94" s="958">
        <f t="shared" si="7"/>
        <v>0</v>
      </c>
      <c r="F94" s="958">
        <f t="shared" si="8"/>
        <v>0</v>
      </c>
      <c r="G94" s="958">
        <f t="shared" si="6"/>
        <v>0</v>
      </c>
      <c r="I94" s="23"/>
      <c r="J94" s="23"/>
      <c r="K94" s="23"/>
    </row>
    <row r="95" spans="1:11" x14ac:dyDescent="0.25">
      <c r="A95" s="9" t="s">
        <v>569</v>
      </c>
      <c r="B95" s="10">
        <v>6905</v>
      </c>
      <c r="C95" s="23">
        <v>0</v>
      </c>
      <c r="D95" s="23">
        <v>0</v>
      </c>
      <c r="E95" s="958">
        <f t="shared" si="7"/>
        <v>0</v>
      </c>
      <c r="F95" s="958">
        <f t="shared" si="8"/>
        <v>0</v>
      </c>
      <c r="G95" s="958">
        <f t="shared" si="6"/>
        <v>0</v>
      </c>
      <c r="I95" s="23"/>
      <c r="J95" s="23"/>
      <c r="K95" s="23"/>
    </row>
    <row r="96" spans="1:11" x14ac:dyDescent="0.25">
      <c r="A96" s="9"/>
      <c r="B96" s="10"/>
      <c r="C96" s="23"/>
      <c r="D96" s="23"/>
      <c r="E96" s="23"/>
      <c r="F96" s="23"/>
      <c r="G96" s="23"/>
      <c r="I96" s="23"/>
      <c r="J96" s="23"/>
    </row>
    <row r="97" spans="1:11" x14ac:dyDescent="0.25">
      <c r="A97" s="1" t="s">
        <v>115</v>
      </c>
      <c r="B97" s="1" t="s">
        <v>115</v>
      </c>
      <c r="C97" s="29">
        <f>SUM(C82:C95)</f>
        <v>0</v>
      </c>
      <c r="D97" s="29">
        <f>SUM(D82:D95)</f>
        <v>0</v>
      </c>
      <c r="E97" s="29">
        <f>SUM(E82:E95)</f>
        <v>0</v>
      </c>
      <c r="F97" s="29">
        <f>SUM(F82:F95)</f>
        <v>0</v>
      </c>
      <c r="G97" s="29">
        <f>SUM(G82:G95)</f>
        <v>0</v>
      </c>
      <c r="I97" s="29"/>
      <c r="J97" s="29"/>
    </row>
    <row r="98" spans="1:11" x14ac:dyDescent="0.25">
      <c r="A98" s="1"/>
      <c r="B98" s="1"/>
      <c r="C98" s="29"/>
      <c r="D98" s="29"/>
      <c r="E98" s="29"/>
      <c r="F98" s="29"/>
      <c r="G98" s="29"/>
      <c r="I98" s="29"/>
      <c r="J98" s="29"/>
    </row>
    <row r="99" spans="1:11" x14ac:dyDescent="0.25">
      <c r="A99" s="9" t="s">
        <v>114</v>
      </c>
      <c r="B99" s="10">
        <v>4177</v>
      </c>
      <c r="C99" s="23">
        <v>33.423500000000004</v>
      </c>
      <c r="D99" s="23">
        <v>71.499386503067612</v>
      </c>
      <c r="E99" s="958">
        <f t="shared" ref="E99" si="9">E$1*C99</f>
        <v>40097.504480000011</v>
      </c>
      <c r="F99" s="958">
        <f t="shared" ref="F99" si="10">F$2*D99</f>
        <v>144471.95351558307</v>
      </c>
      <c r="G99" s="958">
        <f t="shared" ref="G99" si="11">F99+E99</f>
        <v>184569.45799558307</v>
      </c>
      <c r="I99" s="23"/>
      <c r="J99" s="23"/>
      <c r="K99" s="23"/>
    </row>
    <row r="100" spans="1:11" x14ac:dyDescent="0.25">
      <c r="A100" s="1"/>
      <c r="B100" s="1"/>
      <c r="C100" s="29"/>
      <c r="D100" s="29"/>
      <c r="E100" s="29"/>
      <c r="F100" s="29"/>
      <c r="G100" s="29"/>
      <c r="I100" s="29"/>
      <c r="J100" s="29"/>
    </row>
    <row r="101" spans="1:11" x14ac:dyDescent="0.25">
      <c r="A101" s="1" t="s">
        <v>848</v>
      </c>
      <c r="B101" s="1" t="s">
        <v>849</v>
      </c>
      <c r="C101" s="29">
        <f>C99</f>
        <v>33.423500000000004</v>
      </c>
      <c r="D101" s="29">
        <f>D99</f>
        <v>71.499386503067612</v>
      </c>
      <c r="E101" s="29">
        <f>E99</f>
        <v>40097.504480000011</v>
      </c>
      <c r="F101" s="29">
        <f>F99</f>
        <v>144471.95351558307</v>
      </c>
      <c r="G101" s="29">
        <f>G99</f>
        <v>184569.45799558307</v>
      </c>
      <c r="I101" s="29"/>
      <c r="J101" s="29"/>
    </row>
    <row r="102" spans="1:11" x14ac:dyDescent="0.25">
      <c r="A102" s="9"/>
      <c r="B102" s="10"/>
      <c r="C102" s="942"/>
      <c r="D102" s="942"/>
      <c r="E102" s="942"/>
      <c r="F102" s="942"/>
      <c r="G102" s="942"/>
      <c r="I102" s="942"/>
      <c r="J102" s="942"/>
    </row>
    <row r="103" spans="1:11" x14ac:dyDescent="0.25">
      <c r="A103" s="1" t="s">
        <v>116</v>
      </c>
      <c r="B103" s="1" t="s">
        <v>117</v>
      </c>
      <c r="C103" s="29">
        <f>C97+C80+C101</f>
        <v>381.49733377044066</v>
      </c>
      <c r="D103" s="29">
        <f>D97+D80+D101</f>
        <v>71.499386503067612</v>
      </c>
      <c r="E103" s="29">
        <f>E97+E80+E101</f>
        <v>457674.72137772222</v>
      </c>
      <c r="F103" s="29">
        <f>F97+F80+F101</f>
        <v>144471.95351558307</v>
      </c>
      <c r="G103" s="29">
        <f>G97+G80+G101</f>
        <v>602146.67489330529</v>
      </c>
      <c r="I103" s="29"/>
      <c r="J103" s="29"/>
    </row>
    <row r="104" spans="1:11" x14ac:dyDescent="0.25">
      <c r="B104" t="s">
        <v>981</v>
      </c>
      <c r="C104" s="960">
        <v>956.29733377044033</v>
      </c>
      <c r="D104" s="960">
        <v>320.29938650306758</v>
      </c>
    </row>
    <row r="105" spans="1:11" x14ac:dyDescent="0.25">
      <c r="B105" s="1" t="s">
        <v>855</v>
      </c>
      <c r="C105" s="961">
        <f>C104-C103</f>
        <v>574.79999999999973</v>
      </c>
      <c r="D105" s="961">
        <f>D104-D103</f>
        <v>248.79999999999995</v>
      </c>
    </row>
    <row r="106" spans="1:11" x14ac:dyDescent="0.25">
      <c r="A106" s="30" t="s">
        <v>998</v>
      </c>
      <c r="B106" s="1"/>
    </row>
    <row r="107" spans="1:11" x14ac:dyDescent="0.25">
      <c r="A107" s="30" t="s">
        <v>999</v>
      </c>
      <c r="B107" s="1027" t="s">
        <v>1000</v>
      </c>
      <c r="C107" s="30">
        <v>96.899999999999906</v>
      </c>
    </row>
    <row r="108" spans="1:11" x14ac:dyDescent="0.25">
      <c r="A108" s="30" t="s">
        <v>999</v>
      </c>
      <c r="B108" s="1027" t="s">
        <v>1001</v>
      </c>
      <c r="D108" s="30">
        <v>9.6999999999999655</v>
      </c>
    </row>
    <row r="109" spans="1:11" x14ac:dyDescent="0.25">
      <c r="A109" s="30" t="s">
        <v>1002</v>
      </c>
      <c r="B109" s="1027" t="s">
        <v>1003</v>
      </c>
      <c r="C109" s="30">
        <v>142.59999999999994</v>
      </c>
    </row>
    <row r="110" spans="1:11" x14ac:dyDescent="0.25">
      <c r="A110" s="30" t="s">
        <v>999</v>
      </c>
      <c r="B110" s="1027" t="s">
        <v>1004</v>
      </c>
      <c r="D110" s="30">
        <v>239.10000000000002</v>
      </c>
    </row>
    <row r="111" spans="1:11" x14ac:dyDescent="0.25">
      <c r="A111" s="30" t="s">
        <v>999</v>
      </c>
      <c r="B111" s="1027" t="s">
        <v>1340</v>
      </c>
      <c r="C111" s="30">
        <v>215.39999999999984</v>
      </c>
    </row>
    <row r="112" spans="1:11" x14ac:dyDescent="0.25">
      <c r="A112" s="30" t="s">
        <v>999</v>
      </c>
      <c r="B112" s="1027" t="s">
        <v>1005</v>
      </c>
      <c r="C112" s="30">
        <v>119.89999999999993</v>
      </c>
    </row>
    <row r="113" spans="1:8" x14ac:dyDescent="0.25">
      <c r="C113" s="962">
        <f>SUM(C107:C112)</f>
        <v>574.79999999999961</v>
      </c>
      <c r="D113" s="962">
        <f>SUM(D107:D112)</f>
        <v>248.79999999999998</v>
      </c>
    </row>
    <row r="117" spans="1:8" x14ac:dyDescent="0.25">
      <c r="E117" s="30">
        <v>555499.60097325826</v>
      </c>
      <c r="F117" s="30">
        <v>2285527.7120416136</v>
      </c>
      <c r="G117" s="30" t="s">
        <v>1006</v>
      </c>
    </row>
    <row r="118" spans="1:8" x14ac:dyDescent="0.25">
      <c r="E118" s="905">
        <v>167595.29600000006</v>
      </c>
      <c r="G118" s="1" t="s">
        <v>1000</v>
      </c>
      <c r="H118" s="1">
        <f>E118</f>
        <v>167595.29600000006</v>
      </c>
    </row>
    <row r="119" spans="1:8" x14ac:dyDescent="0.25">
      <c r="F119" s="905">
        <v>1057786.2463499997</v>
      </c>
      <c r="G119" s="1" t="s">
        <v>1001</v>
      </c>
      <c r="H119" s="1">
        <f>F119</f>
        <v>1057786.2463499997</v>
      </c>
    </row>
    <row r="120" spans="1:8" x14ac:dyDescent="0.25">
      <c r="F120" s="905">
        <v>1123455.8795999994</v>
      </c>
      <c r="G120" s="1" t="s">
        <v>1004</v>
      </c>
      <c r="H120" s="1">
        <f>F120</f>
        <v>1123455.8795999994</v>
      </c>
    </row>
    <row r="121" spans="1:8" x14ac:dyDescent="0.25">
      <c r="E121" s="30">
        <v>0</v>
      </c>
      <c r="G121" s="1" t="s">
        <v>1005</v>
      </c>
      <c r="H121" s="1"/>
    </row>
    <row r="122" spans="1:8" x14ac:dyDescent="0.25">
      <c r="G122" s="1"/>
      <c r="H122" s="1"/>
    </row>
    <row r="123" spans="1:8" x14ac:dyDescent="0.25">
      <c r="E123" s="30">
        <f>SUM(E118:E121)</f>
        <v>167595.29600000006</v>
      </c>
      <c r="F123" s="30">
        <f>SUM(F118:F121)</f>
        <v>2181242.1259499993</v>
      </c>
      <c r="G123" s="30">
        <f>F123+E123</f>
        <v>2348837.4219499994</v>
      </c>
    </row>
    <row r="125" spans="1:8" x14ac:dyDescent="0.25">
      <c r="E125" s="905">
        <f>E117-E123</f>
        <v>387904.30497325817</v>
      </c>
      <c r="F125" s="905">
        <f>F117-F123</f>
        <v>104285.58609161433</v>
      </c>
    </row>
    <row r="126" spans="1:8" x14ac:dyDescent="0.25">
      <c r="E126" s="11">
        <f>E125-E103</f>
        <v>-69770.416404464049</v>
      </c>
      <c r="F126" s="11">
        <f>F125-F103</f>
        <v>-40186.367423968739</v>
      </c>
    </row>
    <row r="128" spans="1:8" x14ac:dyDescent="0.25">
      <c r="A128" s="59" t="s">
        <v>238</v>
      </c>
      <c r="B128" s="59">
        <v>206189</v>
      </c>
    </row>
    <row r="129" spans="1:2" x14ac:dyDescent="0.25">
      <c r="A129" s="59" t="s">
        <v>1301</v>
      </c>
      <c r="B129" s="59">
        <v>2014</v>
      </c>
    </row>
    <row r="130" spans="1:2" x14ac:dyDescent="0.25">
      <c r="A130" s="59" t="s">
        <v>10</v>
      </c>
      <c r="B130" s="59">
        <v>2012</v>
      </c>
    </row>
    <row r="131" spans="1:2" x14ac:dyDescent="0.25">
      <c r="A131" s="59" t="s">
        <v>73</v>
      </c>
      <c r="B131" s="59">
        <v>5414</v>
      </c>
    </row>
    <row r="132" spans="1:2" x14ac:dyDescent="0.25">
      <c r="A132" s="59" t="s">
        <v>846</v>
      </c>
      <c r="B132" s="59">
        <v>4000</v>
      </c>
    </row>
    <row r="133" spans="1:2" x14ac:dyDescent="0.25">
      <c r="A133" s="59" t="s">
        <v>11</v>
      </c>
      <c r="B133" s="59">
        <v>2443</v>
      </c>
    </row>
    <row r="134" spans="1:2" x14ac:dyDescent="0.25">
      <c r="A134" s="59" t="s">
        <v>94</v>
      </c>
      <c r="B134" s="59">
        <v>2442</v>
      </c>
    </row>
    <row r="135" spans="1:2" x14ac:dyDescent="0.25">
      <c r="A135" s="59" t="s">
        <v>241</v>
      </c>
      <c r="B135" s="59" t="s">
        <v>242</v>
      </c>
    </row>
    <row r="136" spans="1:2" x14ac:dyDescent="0.25">
      <c r="A136" s="59" t="s">
        <v>13</v>
      </c>
      <c r="B136" s="59">
        <v>2629</v>
      </c>
    </row>
    <row r="137" spans="1:2" x14ac:dyDescent="0.25">
      <c r="A137" s="59" t="s">
        <v>14</v>
      </c>
      <c r="B137" s="59">
        <v>2509</v>
      </c>
    </row>
    <row r="138" spans="1:2" x14ac:dyDescent="0.25">
      <c r="A138" s="59" t="s">
        <v>2</v>
      </c>
      <c r="B138" s="59">
        <v>1014</v>
      </c>
    </row>
    <row r="139" spans="1:2" x14ac:dyDescent="0.25">
      <c r="A139" s="59" t="s">
        <v>15</v>
      </c>
      <c r="B139" s="59">
        <v>2005</v>
      </c>
    </row>
    <row r="140" spans="1:2" x14ac:dyDescent="0.25">
      <c r="A140" s="59" t="s">
        <v>16</v>
      </c>
      <c r="B140" s="59">
        <v>2464</v>
      </c>
    </row>
    <row r="141" spans="1:2" x14ac:dyDescent="0.25">
      <c r="A141" s="59" t="s">
        <v>706</v>
      </c>
      <c r="B141" s="59" t="s">
        <v>708</v>
      </c>
    </row>
    <row r="142" spans="1:2" x14ac:dyDescent="0.25">
      <c r="A142" s="59" t="s">
        <v>17</v>
      </c>
      <c r="B142" s="59">
        <v>2004</v>
      </c>
    </row>
    <row r="143" spans="1:2" x14ac:dyDescent="0.25">
      <c r="A143" s="59" t="s">
        <v>18</v>
      </c>
      <c r="B143" s="59">
        <v>2405</v>
      </c>
    </row>
    <row r="144" spans="1:2" x14ac:dyDescent="0.25">
      <c r="A144" s="59" t="s">
        <v>243</v>
      </c>
      <c r="B144" s="59" t="s">
        <v>245</v>
      </c>
    </row>
    <row r="145" spans="1:2" x14ac:dyDescent="0.25">
      <c r="A145" s="59" t="s">
        <v>250</v>
      </c>
      <c r="B145" s="59" t="s">
        <v>709</v>
      </c>
    </row>
    <row r="146" spans="1:2" x14ac:dyDescent="0.25">
      <c r="A146" s="59" t="s">
        <v>246</v>
      </c>
      <c r="B146" s="59" t="s">
        <v>247</v>
      </c>
    </row>
    <row r="147" spans="1:2" x14ac:dyDescent="0.25">
      <c r="A147" s="59" t="s">
        <v>248</v>
      </c>
      <c r="B147" s="59" t="s">
        <v>249</v>
      </c>
    </row>
    <row r="148" spans="1:2" x14ac:dyDescent="0.25">
      <c r="A148" s="59" t="s">
        <v>19</v>
      </c>
      <c r="B148" s="59">
        <v>2011</v>
      </c>
    </row>
    <row r="149" spans="1:2" x14ac:dyDescent="0.25">
      <c r="A149" s="59" t="s">
        <v>251</v>
      </c>
      <c r="B149" s="59" t="s">
        <v>252</v>
      </c>
    </row>
    <row r="150" spans="1:2" x14ac:dyDescent="0.25">
      <c r="A150" s="59" t="s">
        <v>20</v>
      </c>
      <c r="B150" s="59">
        <v>5201</v>
      </c>
    </row>
    <row r="151" spans="1:2" x14ac:dyDescent="0.25">
      <c r="A151" s="59" t="s">
        <v>253</v>
      </c>
      <c r="B151" s="59">
        <v>206124</v>
      </c>
    </row>
    <row r="152" spans="1:2" x14ac:dyDescent="0.25">
      <c r="A152" s="59" t="s">
        <v>21</v>
      </c>
      <c r="B152" s="59">
        <v>2433</v>
      </c>
    </row>
    <row r="153" spans="1:2" x14ac:dyDescent="0.25">
      <c r="A153" s="59" t="s">
        <v>22</v>
      </c>
      <c r="B153" s="59">
        <v>2432</v>
      </c>
    </row>
    <row r="154" spans="1:2" x14ac:dyDescent="0.25">
      <c r="A154" s="59" t="s">
        <v>256</v>
      </c>
      <c r="B154" s="59" t="s">
        <v>258</v>
      </c>
    </row>
    <row r="155" spans="1:2" x14ac:dyDescent="0.25">
      <c r="A155" s="59" t="s">
        <v>188</v>
      </c>
      <c r="B155" s="59">
        <v>2447</v>
      </c>
    </row>
    <row r="156" spans="1:2" x14ac:dyDescent="0.25">
      <c r="A156" s="59" t="s">
        <v>23</v>
      </c>
      <c r="B156" s="59">
        <v>2512</v>
      </c>
    </row>
    <row r="157" spans="1:2" x14ac:dyDescent="0.25">
      <c r="A157" s="59" t="s">
        <v>259</v>
      </c>
      <c r="B157" s="59">
        <v>206126</v>
      </c>
    </row>
    <row r="158" spans="1:2" x14ac:dyDescent="0.25">
      <c r="A158" s="59" t="s">
        <v>261</v>
      </c>
      <c r="B158" s="59">
        <v>206111</v>
      </c>
    </row>
    <row r="159" spans="1:2" x14ac:dyDescent="0.25">
      <c r="A159" s="59" t="s">
        <v>263</v>
      </c>
      <c r="B159" s="59">
        <v>206091</v>
      </c>
    </row>
    <row r="160" spans="1:2" x14ac:dyDescent="0.25">
      <c r="A160" s="59" t="s">
        <v>24</v>
      </c>
      <c r="B160" s="59">
        <v>2456</v>
      </c>
    </row>
    <row r="161" spans="1:2" x14ac:dyDescent="0.25">
      <c r="A161" s="59" t="s">
        <v>3</v>
      </c>
      <c r="B161" s="59">
        <v>1017</v>
      </c>
    </row>
    <row r="162" spans="1:2" x14ac:dyDescent="0.25">
      <c r="A162" s="59" t="s">
        <v>25</v>
      </c>
      <c r="B162" s="59">
        <v>2449</v>
      </c>
    </row>
    <row r="163" spans="1:2" x14ac:dyDescent="0.25">
      <c r="A163" s="59" t="s">
        <v>26</v>
      </c>
      <c r="B163" s="59">
        <v>2448</v>
      </c>
    </row>
    <row r="164" spans="1:2" x14ac:dyDescent="0.25">
      <c r="A164" s="59" t="s">
        <v>4</v>
      </c>
      <c r="B164" s="59">
        <v>1006</v>
      </c>
    </row>
    <row r="165" spans="1:2" x14ac:dyDescent="0.25">
      <c r="A165" s="59" t="s">
        <v>27</v>
      </c>
      <c r="B165" s="59">
        <v>2467</v>
      </c>
    </row>
    <row r="166" spans="1:2" x14ac:dyDescent="0.25">
      <c r="A166" s="59" t="s">
        <v>1373</v>
      </c>
      <c r="B166" s="59">
        <v>484300</v>
      </c>
    </row>
    <row r="167" spans="1:2" x14ac:dyDescent="0.25">
      <c r="A167" s="59" t="s">
        <v>75</v>
      </c>
      <c r="B167" s="59">
        <v>5402</v>
      </c>
    </row>
    <row r="168" spans="1:2" x14ac:dyDescent="0.25">
      <c r="A168" s="59" t="s">
        <v>28</v>
      </c>
      <c r="B168" s="59">
        <v>2455</v>
      </c>
    </row>
    <row r="169" spans="1:2" x14ac:dyDescent="0.25">
      <c r="A169" s="59" t="s">
        <v>29</v>
      </c>
      <c r="B169" s="59">
        <v>5203</v>
      </c>
    </row>
    <row r="170" spans="1:2" x14ac:dyDescent="0.25">
      <c r="A170" s="59" t="s">
        <v>30</v>
      </c>
      <c r="B170" s="59">
        <v>2451</v>
      </c>
    </row>
    <row r="171" spans="1:2" x14ac:dyDescent="0.25">
      <c r="A171" s="59" t="s">
        <v>265</v>
      </c>
      <c r="B171" s="59" t="s">
        <v>266</v>
      </c>
    </row>
    <row r="172" spans="1:2" x14ac:dyDescent="0.25">
      <c r="A172" s="59" t="s">
        <v>267</v>
      </c>
      <c r="B172" s="59">
        <v>206128</v>
      </c>
    </row>
    <row r="173" spans="1:2" x14ac:dyDescent="0.25">
      <c r="A173" s="59" t="s">
        <v>438</v>
      </c>
      <c r="B173" s="59">
        <v>4002</v>
      </c>
    </row>
    <row r="174" spans="1:2" x14ac:dyDescent="0.25">
      <c r="A174" s="59" t="s">
        <v>441</v>
      </c>
      <c r="B174" s="59">
        <v>2430</v>
      </c>
    </row>
    <row r="175" spans="1:2" x14ac:dyDescent="0.25">
      <c r="A175" s="59" t="s">
        <v>269</v>
      </c>
      <c r="B175" s="59" t="s">
        <v>710</v>
      </c>
    </row>
    <row r="176" spans="1:2" x14ac:dyDescent="0.25">
      <c r="A176" s="59" t="s">
        <v>711</v>
      </c>
      <c r="B176" s="59" t="s">
        <v>712</v>
      </c>
    </row>
    <row r="177" spans="1:2" x14ac:dyDescent="0.25">
      <c r="A177" s="59" t="s">
        <v>68</v>
      </c>
      <c r="B177" s="59">
        <v>4608</v>
      </c>
    </row>
    <row r="178" spans="1:2" x14ac:dyDescent="0.25">
      <c r="A178" s="59" t="s">
        <v>31</v>
      </c>
      <c r="B178" s="59">
        <v>2409</v>
      </c>
    </row>
    <row r="179" spans="1:2" x14ac:dyDescent="0.25">
      <c r="A179" s="59" t="s">
        <v>270</v>
      </c>
      <c r="B179" s="59" t="s">
        <v>271</v>
      </c>
    </row>
    <row r="180" spans="1:2" x14ac:dyDescent="0.25">
      <c r="A180" s="59" t="s">
        <v>1283</v>
      </c>
      <c r="B180" s="59" t="s">
        <v>714</v>
      </c>
    </row>
    <row r="181" spans="1:2" x14ac:dyDescent="0.25">
      <c r="A181" s="59" t="s">
        <v>525</v>
      </c>
      <c r="B181" s="59">
        <v>205921</v>
      </c>
    </row>
    <row r="182" spans="1:2" x14ac:dyDescent="0.25">
      <c r="A182" s="59" t="s">
        <v>1256</v>
      </c>
      <c r="B182" s="59" t="s">
        <v>719</v>
      </c>
    </row>
    <row r="183" spans="1:2" x14ac:dyDescent="0.25">
      <c r="A183" s="59" t="s">
        <v>1375</v>
      </c>
      <c r="B183" s="59">
        <v>398922</v>
      </c>
    </row>
    <row r="184" spans="1:2" x14ac:dyDescent="0.25">
      <c r="A184" s="59" t="s">
        <v>1374</v>
      </c>
      <c r="B184" s="59">
        <v>479804</v>
      </c>
    </row>
    <row r="185" spans="1:2" x14ac:dyDescent="0.25">
      <c r="A185" s="59" t="s">
        <v>524</v>
      </c>
      <c r="B185" s="59">
        <v>205999</v>
      </c>
    </row>
    <row r="186" spans="1:2" x14ac:dyDescent="0.25">
      <c r="A186" s="59" t="s">
        <v>523</v>
      </c>
      <c r="B186" s="59" t="s">
        <v>272</v>
      </c>
    </row>
    <row r="187" spans="1:2" x14ac:dyDescent="0.25">
      <c r="A187" s="59" t="s">
        <v>1257</v>
      </c>
      <c r="B187" s="59">
        <v>206065</v>
      </c>
    </row>
    <row r="188" spans="1:2" x14ac:dyDescent="0.25">
      <c r="A188" s="59" t="s">
        <v>1376</v>
      </c>
      <c r="B188" s="59">
        <v>314105</v>
      </c>
    </row>
    <row r="189" spans="1:2" x14ac:dyDescent="0.25">
      <c r="A189" s="59" t="s">
        <v>1400</v>
      </c>
      <c r="B189" s="59" t="s">
        <v>277</v>
      </c>
    </row>
    <row r="190" spans="1:2" x14ac:dyDescent="0.25">
      <c r="A190" s="59" t="s">
        <v>1377</v>
      </c>
      <c r="B190" s="59">
        <v>206076</v>
      </c>
    </row>
    <row r="191" spans="1:2" x14ac:dyDescent="0.25">
      <c r="A191" s="59" t="s">
        <v>561</v>
      </c>
      <c r="B191" s="59" t="s">
        <v>727</v>
      </c>
    </row>
    <row r="192" spans="1:2" x14ac:dyDescent="0.25">
      <c r="A192" s="59" t="s">
        <v>1399</v>
      </c>
      <c r="B192" s="59" t="s">
        <v>730</v>
      </c>
    </row>
    <row r="193" spans="1:2" x14ac:dyDescent="0.25">
      <c r="A193" s="59" t="s">
        <v>562</v>
      </c>
      <c r="B193" s="59" t="s">
        <v>275</v>
      </c>
    </row>
    <row r="194" spans="1:2" x14ac:dyDescent="0.25">
      <c r="A194" s="59" t="s">
        <v>1258</v>
      </c>
      <c r="B194" s="59" t="s">
        <v>724</v>
      </c>
    </row>
    <row r="195" spans="1:2" x14ac:dyDescent="0.25">
      <c r="A195" s="59" t="s">
        <v>1259</v>
      </c>
      <c r="B195" s="59">
        <v>205919</v>
      </c>
    </row>
    <row r="196" spans="1:2" x14ac:dyDescent="0.25">
      <c r="A196" s="59" t="s">
        <v>526</v>
      </c>
      <c r="B196" s="59" t="s">
        <v>276</v>
      </c>
    </row>
    <row r="197" spans="1:2" x14ac:dyDescent="0.25">
      <c r="A197" s="59" t="s">
        <v>1378</v>
      </c>
      <c r="B197" s="59">
        <v>477405</v>
      </c>
    </row>
    <row r="198" spans="1:2" x14ac:dyDescent="0.25">
      <c r="A198" s="59" t="s">
        <v>1260</v>
      </c>
      <c r="B198" s="59" t="s">
        <v>734</v>
      </c>
    </row>
    <row r="199" spans="1:2" x14ac:dyDescent="0.25">
      <c r="A199" s="59" t="s">
        <v>1379</v>
      </c>
      <c r="B199" s="59">
        <v>401536</v>
      </c>
    </row>
    <row r="200" spans="1:2" x14ac:dyDescent="0.25">
      <c r="A200" s="59" t="s">
        <v>1261</v>
      </c>
      <c r="B200" s="59" t="s">
        <v>736</v>
      </c>
    </row>
    <row r="201" spans="1:2" x14ac:dyDescent="0.25">
      <c r="A201" s="59" t="s">
        <v>1263</v>
      </c>
      <c r="B201" s="59" t="s">
        <v>739</v>
      </c>
    </row>
    <row r="202" spans="1:2" x14ac:dyDescent="0.25">
      <c r="A202" s="59" t="s">
        <v>1262</v>
      </c>
      <c r="B202" s="59">
        <v>205849</v>
      </c>
    </row>
    <row r="203" spans="1:2" x14ac:dyDescent="0.25">
      <c r="A203" s="59" t="s">
        <v>566</v>
      </c>
      <c r="B203" s="59" t="s">
        <v>273</v>
      </c>
    </row>
    <row r="204" spans="1:2" x14ac:dyDescent="0.25">
      <c r="A204" s="59" t="s">
        <v>1264</v>
      </c>
      <c r="B204" s="59" t="s">
        <v>741</v>
      </c>
    </row>
    <row r="205" spans="1:2" x14ac:dyDescent="0.25">
      <c r="A205" s="59" t="s">
        <v>1268</v>
      </c>
      <c r="B205" s="59">
        <v>205922</v>
      </c>
    </row>
    <row r="206" spans="1:2" x14ac:dyDescent="0.25">
      <c r="A206" s="59" t="s">
        <v>1267</v>
      </c>
      <c r="B206" s="59">
        <v>205881</v>
      </c>
    </row>
    <row r="207" spans="1:2" x14ac:dyDescent="0.25">
      <c r="A207" s="59" t="s">
        <v>1265</v>
      </c>
      <c r="B207" s="59" t="s">
        <v>744</v>
      </c>
    </row>
    <row r="208" spans="1:2" x14ac:dyDescent="0.25">
      <c r="A208" s="59" t="s">
        <v>527</v>
      </c>
      <c r="B208" s="59" t="s">
        <v>278</v>
      </c>
    </row>
    <row r="209" spans="1:2" x14ac:dyDescent="0.25">
      <c r="A209" s="59" t="s">
        <v>1266</v>
      </c>
      <c r="B209" s="59" t="s">
        <v>749</v>
      </c>
    </row>
    <row r="210" spans="1:2" x14ac:dyDescent="0.25">
      <c r="A210" s="59" t="s">
        <v>1380</v>
      </c>
      <c r="B210" s="59">
        <v>462623</v>
      </c>
    </row>
    <row r="211" spans="1:2" x14ac:dyDescent="0.25">
      <c r="A211" s="59" t="s">
        <v>750</v>
      </c>
      <c r="B211" s="59" t="s">
        <v>751</v>
      </c>
    </row>
    <row r="212" spans="1:2" x14ac:dyDescent="0.25">
      <c r="A212" s="59" t="s">
        <v>1269</v>
      </c>
      <c r="B212" s="59" t="s">
        <v>754</v>
      </c>
    </row>
    <row r="213" spans="1:2" x14ac:dyDescent="0.25">
      <c r="A213" s="59" t="s">
        <v>528</v>
      </c>
      <c r="B213" s="59">
        <v>2</v>
      </c>
    </row>
    <row r="214" spans="1:2" x14ac:dyDescent="0.25">
      <c r="A214" s="59" t="s">
        <v>1270</v>
      </c>
      <c r="B214" s="59" t="s">
        <v>621</v>
      </c>
    </row>
    <row r="215" spans="1:2" x14ac:dyDescent="0.25">
      <c r="A215" s="59" t="s">
        <v>1271</v>
      </c>
      <c r="B215" s="59" t="s">
        <v>639</v>
      </c>
    </row>
    <row r="216" spans="1:2" x14ac:dyDescent="0.25">
      <c r="A216" s="59" t="s">
        <v>1271</v>
      </c>
      <c r="B216" s="59">
        <v>205878</v>
      </c>
    </row>
    <row r="217" spans="1:2" x14ac:dyDescent="0.25">
      <c r="A217" s="59" t="s">
        <v>529</v>
      </c>
      <c r="B217" s="59">
        <v>205956</v>
      </c>
    </row>
    <row r="218" spans="1:2" x14ac:dyDescent="0.25">
      <c r="A218" s="59" t="s">
        <v>1273</v>
      </c>
      <c r="B218" s="59" t="s">
        <v>759</v>
      </c>
    </row>
    <row r="219" spans="1:2" x14ac:dyDescent="0.25">
      <c r="A219" s="59" t="s">
        <v>1382</v>
      </c>
      <c r="B219" s="59">
        <v>472319</v>
      </c>
    </row>
    <row r="220" spans="1:2" x14ac:dyDescent="0.25">
      <c r="A220" s="59" t="s">
        <v>1272</v>
      </c>
      <c r="B220" s="59">
        <v>260849</v>
      </c>
    </row>
    <row r="221" spans="1:2" x14ac:dyDescent="0.25">
      <c r="A221" s="59" t="s">
        <v>1383</v>
      </c>
      <c r="B221" s="59">
        <v>482805</v>
      </c>
    </row>
    <row r="222" spans="1:2" x14ac:dyDescent="0.25">
      <c r="A222" s="59" t="s">
        <v>1381</v>
      </c>
      <c r="B222" s="59">
        <v>447579</v>
      </c>
    </row>
    <row r="223" spans="1:2" x14ac:dyDescent="0.25">
      <c r="A223" s="59" t="s">
        <v>1274</v>
      </c>
      <c r="B223" s="59" t="s">
        <v>280</v>
      </c>
    </row>
    <row r="224" spans="1:2" x14ac:dyDescent="0.25">
      <c r="A224" s="59" t="s">
        <v>1275</v>
      </c>
      <c r="B224" s="59" t="s">
        <v>762</v>
      </c>
    </row>
    <row r="225" spans="1:2" x14ac:dyDescent="0.25">
      <c r="A225" s="59" t="s">
        <v>1277</v>
      </c>
      <c r="B225" s="59" t="s">
        <v>766</v>
      </c>
    </row>
    <row r="226" spans="1:2" x14ac:dyDescent="0.25">
      <c r="A226" s="59" t="s">
        <v>1276</v>
      </c>
      <c r="B226" s="59" t="s">
        <v>764</v>
      </c>
    </row>
    <row r="227" spans="1:2" x14ac:dyDescent="0.25">
      <c r="A227" s="59" t="s">
        <v>1279</v>
      </c>
      <c r="B227" s="59" t="s">
        <v>771</v>
      </c>
    </row>
    <row r="228" spans="1:2" x14ac:dyDescent="0.25">
      <c r="A228" s="437" t="s">
        <v>1278</v>
      </c>
      <c r="B228" s="529" t="s">
        <v>768</v>
      </c>
    </row>
    <row r="229" spans="1:2" x14ac:dyDescent="0.25">
      <c r="A229" s="437" t="s">
        <v>564</v>
      </c>
      <c r="B229" s="529" t="s">
        <v>281</v>
      </c>
    </row>
    <row r="230" spans="1:2" x14ac:dyDescent="0.25">
      <c r="A230" s="59" t="s">
        <v>1284</v>
      </c>
      <c r="B230" s="59" t="s">
        <v>774</v>
      </c>
    </row>
    <row r="231" spans="1:2" x14ac:dyDescent="0.25">
      <c r="A231" s="59" t="s">
        <v>1384</v>
      </c>
      <c r="B231" s="59">
        <v>484039</v>
      </c>
    </row>
    <row r="232" spans="1:2" x14ac:dyDescent="0.25">
      <c r="A232" s="59" t="s">
        <v>1285</v>
      </c>
      <c r="B232" s="59" t="s">
        <v>776</v>
      </c>
    </row>
    <row r="233" spans="1:2" x14ac:dyDescent="0.25">
      <c r="A233" s="59" t="s">
        <v>1385</v>
      </c>
      <c r="B233" s="59">
        <v>343478</v>
      </c>
    </row>
    <row r="234" spans="1:2" x14ac:dyDescent="0.25">
      <c r="A234" s="59" t="s">
        <v>532</v>
      </c>
      <c r="B234" s="59" t="s">
        <v>283</v>
      </c>
    </row>
    <row r="235" spans="1:2" x14ac:dyDescent="0.25">
      <c r="A235" s="59" t="s">
        <v>1280</v>
      </c>
      <c r="B235" s="59">
        <v>206031</v>
      </c>
    </row>
    <row r="236" spans="1:2" x14ac:dyDescent="0.25">
      <c r="A236" s="59" t="s">
        <v>531</v>
      </c>
      <c r="B236" s="59" t="s">
        <v>284</v>
      </c>
    </row>
    <row r="237" spans="1:2" x14ac:dyDescent="0.25">
      <c r="A237" s="59" t="s">
        <v>530</v>
      </c>
      <c r="B237" s="59" t="s">
        <v>282</v>
      </c>
    </row>
    <row r="238" spans="1:2" x14ac:dyDescent="0.25">
      <c r="A238" s="59" t="s">
        <v>1281</v>
      </c>
      <c r="B238" s="59" t="s">
        <v>781</v>
      </c>
    </row>
    <row r="239" spans="1:2" x14ac:dyDescent="0.25">
      <c r="A239" s="59" t="s">
        <v>1255</v>
      </c>
      <c r="B239" s="59" t="s">
        <v>285</v>
      </c>
    </row>
    <row r="240" spans="1:2" x14ac:dyDescent="0.25">
      <c r="A240" s="59" t="s">
        <v>1289</v>
      </c>
      <c r="B240" s="59">
        <v>260848</v>
      </c>
    </row>
    <row r="241" spans="1:2" x14ac:dyDescent="0.25">
      <c r="A241" s="59" t="s">
        <v>565</v>
      </c>
      <c r="B241" s="59">
        <v>206043</v>
      </c>
    </row>
    <row r="242" spans="1:2" x14ac:dyDescent="0.25">
      <c r="A242" s="59" t="s">
        <v>533</v>
      </c>
      <c r="B242" s="59" t="s">
        <v>286</v>
      </c>
    </row>
    <row r="243" spans="1:2" x14ac:dyDescent="0.25">
      <c r="A243" s="59" t="s">
        <v>533</v>
      </c>
      <c r="B243" s="59">
        <v>505502</v>
      </c>
    </row>
    <row r="244" spans="1:2" x14ac:dyDescent="0.25">
      <c r="A244" s="59" t="s">
        <v>563</v>
      </c>
      <c r="B244" s="59">
        <v>205978</v>
      </c>
    </row>
    <row r="245" spans="1:2" x14ac:dyDescent="0.25">
      <c r="A245" s="59" t="s">
        <v>1296</v>
      </c>
      <c r="B245" s="59">
        <v>435150</v>
      </c>
    </row>
    <row r="246" spans="1:2" x14ac:dyDescent="0.25">
      <c r="A246" s="59" t="s">
        <v>1288</v>
      </c>
      <c r="B246" s="59">
        <v>206067</v>
      </c>
    </row>
    <row r="247" spans="1:2" x14ac:dyDescent="0.25">
      <c r="A247" s="59" t="s">
        <v>534</v>
      </c>
      <c r="B247" s="59" t="s">
        <v>287</v>
      </c>
    </row>
    <row r="248" spans="1:2" x14ac:dyDescent="0.25">
      <c r="A248" s="59" t="s">
        <v>1282</v>
      </c>
      <c r="B248" s="59" t="s">
        <v>279</v>
      </c>
    </row>
    <row r="249" spans="1:2" x14ac:dyDescent="0.25">
      <c r="A249" s="59" t="s">
        <v>535</v>
      </c>
      <c r="B249" s="59" t="s">
        <v>288</v>
      </c>
    </row>
    <row r="250" spans="1:2" x14ac:dyDescent="0.25">
      <c r="A250" s="59" t="s">
        <v>1286</v>
      </c>
      <c r="B250" s="59" t="s">
        <v>793</v>
      </c>
    </row>
    <row r="251" spans="1:2" x14ac:dyDescent="0.25">
      <c r="A251" s="59" t="s">
        <v>1386</v>
      </c>
      <c r="B251" s="59">
        <v>414019</v>
      </c>
    </row>
    <row r="252" spans="1:2" x14ac:dyDescent="0.25">
      <c r="A252" s="59" t="s">
        <v>567</v>
      </c>
      <c r="B252" s="59" t="s">
        <v>274</v>
      </c>
    </row>
    <row r="253" spans="1:2" x14ac:dyDescent="0.25">
      <c r="A253" s="59" t="s">
        <v>1387</v>
      </c>
      <c r="B253" s="59">
        <v>458078</v>
      </c>
    </row>
    <row r="254" spans="1:2" x14ac:dyDescent="0.25">
      <c r="A254" s="59" t="s">
        <v>1287</v>
      </c>
      <c r="B254" s="59" t="s">
        <v>795</v>
      </c>
    </row>
    <row r="255" spans="1:2" x14ac:dyDescent="0.25">
      <c r="A255" s="59" t="s">
        <v>289</v>
      </c>
      <c r="B255" s="59" t="s">
        <v>290</v>
      </c>
    </row>
    <row r="256" spans="1:2" x14ac:dyDescent="0.25">
      <c r="A256" s="59" t="s">
        <v>1306</v>
      </c>
      <c r="B256" s="59">
        <v>4003</v>
      </c>
    </row>
    <row r="257" spans="1:2" x14ac:dyDescent="0.25">
      <c r="A257" s="59" t="s">
        <v>797</v>
      </c>
      <c r="B257" s="59" t="s">
        <v>798</v>
      </c>
    </row>
    <row r="258" spans="1:2" x14ac:dyDescent="0.25">
      <c r="A258" s="59" t="s">
        <v>291</v>
      </c>
      <c r="B258" s="59" t="s">
        <v>293</v>
      </c>
    </row>
    <row r="259" spans="1:2" x14ac:dyDescent="0.25">
      <c r="A259" s="59" t="s">
        <v>111</v>
      </c>
      <c r="B259" s="59">
        <v>4178</v>
      </c>
    </row>
    <row r="260" spans="1:2" x14ac:dyDescent="0.25">
      <c r="A260" s="59" t="s">
        <v>98</v>
      </c>
      <c r="B260" s="59">
        <v>3158</v>
      </c>
    </row>
    <row r="261" spans="1:2" x14ac:dyDescent="0.25">
      <c r="A261" s="59" t="s">
        <v>32</v>
      </c>
      <c r="B261" s="59">
        <v>2619</v>
      </c>
    </row>
    <row r="262" spans="1:2" x14ac:dyDescent="0.25">
      <c r="A262" s="59" t="s">
        <v>1388</v>
      </c>
      <c r="B262" s="59">
        <v>479542</v>
      </c>
    </row>
    <row r="263" spans="1:2" x14ac:dyDescent="0.25">
      <c r="A263" s="59" t="s">
        <v>1389</v>
      </c>
      <c r="B263" s="59" t="s">
        <v>1390</v>
      </c>
    </row>
    <row r="264" spans="1:2" x14ac:dyDescent="0.25">
      <c r="A264" s="59" t="s">
        <v>799</v>
      </c>
      <c r="B264" s="59" t="s">
        <v>800</v>
      </c>
    </row>
    <row r="265" spans="1:2" x14ac:dyDescent="0.25">
      <c r="A265" s="59" t="s">
        <v>1391</v>
      </c>
      <c r="B265" s="59">
        <v>487369</v>
      </c>
    </row>
    <row r="266" spans="1:2" x14ac:dyDescent="0.25">
      <c r="A266" s="59" t="s">
        <v>1392</v>
      </c>
      <c r="B266" s="59">
        <v>477763</v>
      </c>
    </row>
    <row r="267" spans="1:2" x14ac:dyDescent="0.25">
      <c r="A267" s="59" t="s">
        <v>294</v>
      </c>
      <c r="B267" s="59" t="s">
        <v>295</v>
      </c>
    </row>
    <row r="268" spans="1:2" x14ac:dyDescent="0.25">
      <c r="A268" s="59" t="s">
        <v>296</v>
      </c>
      <c r="B268" s="59">
        <v>258417</v>
      </c>
    </row>
    <row r="269" spans="1:2" x14ac:dyDescent="0.25">
      <c r="A269" s="59" t="s">
        <v>298</v>
      </c>
      <c r="B269" s="59" t="s">
        <v>300</v>
      </c>
    </row>
    <row r="270" spans="1:2" x14ac:dyDescent="0.25">
      <c r="A270" s="59" t="s">
        <v>301</v>
      </c>
      <c r="B270" s="59" t="s">
        <v>303</v>
      </c>
    </row>
    <row r="271" spans="1:2" x14ac:dyDescent="0.25">
      <c r="A271" s="59" t="s">
        <v>33</v>
      </c>
      <c r="B271" s="59">
        <v>2518</v>
      </c>
    </row>
    <row r="272" spans="1:2" x14ac:dyDescent="0.25">
      <c r="A272" s="59" t="s">
        <v>801</v>
      </c>
      <c r="B272" s="59" t="s">
        <v>802</v>
      </c>
    </row>
    <row r="273" spans="1:2" x14ac:dyDescent="0.25">
      <c r="A273" s="59" t="s">
        <v>304</v>
      </c>
      <c r="B273" s="59">
        <v>206106</v>
      </c>
    </row>
    <row r="274" spans="1:2" x14ac:dyDescent="0.25">
      <c r="A274" s="59" t="s">
        <v>306</v>
      </c>
      <c r="B274" s="59" t="s">
        <v>307</v>
      </c>
    </row>
    <row r="275" spans="1:2" x14ac:dyDescent="0.25">
      <c r="A275" s="59" t="s">
        <v>803</v>
      </c>
      <c r="B275" s="59" t="s">
        <v>804</v>
      </c>
    </row>
    <row r="276" spans="1:2" x14ac:dyDescent="0.25">
      <c r="A276" s="59" t="s">
        <v>34</v>
      </c>
      <c r="B276" s="59">
        <v>2457</v>
      </c>
    </row>
    <row r="277" spans="1:2" x14ac:dyDescent="0.25">
      <c r="A277" s="59" t="s">
        <v>99</v>
      </c>
      <c r="B277" s="59">
        <v>2010</v>
      </c>
    </row>
    <row r="278" spans="1:2" x14ac:dyDescent="0.25">
      <c r="A278" s="59" t="s">
        <v>35</v>
      </c>
      <c r="B278" s="59">
        <v>2002</v>
      </c>
    </row>
    <row r="279" spans="1:2" x14ac:dyDescent="0.25">
      <c r="A279" s="59" t="s">
        <v>36</v>
      </c>
      <c r="B279" s="59">
        <v>3544</v>
      </c>
    </row>
    <row r="280" spans="1:2" x14ac:dyDescent="0.25">
      <c r="A280" s="59" t="s">
        <v>5</v>
      </c>
      <c r="B280" s="59">
        <v>1008</v>
      </c>
    </row>
    <row r="281" spans="1:2" x14ac:dyDescent="0.25">
      <c r="A281" s="59" t="s">
        <v>308</v>
      </c>
      <c r="B281" s="59" t="s">
        <v>309</v>
      </c>
    </row>
    <row r="282" spans="1:2" x14ac:dyDescent="0.25">
      <c r="A282" s="59" t="s">
        <v>100</v>
      </c>
      <c r="B282" s="59">
        <v>2006</v>
      </c>
    </row>
    <row r="283" spans="1:2" x14ac:dyDescent="0.25">
      <c r="A283" s="59" t="s">
        <v>310</v>
      </c>
      <c r="B283" s="59" t="s">
        <v>311</v>
      </c>
    </row>
    <row r="284" spans="1:2" x14ac:dyDescent="0.25">
      <c r="A284" s="59" t="s">
        <v>312</v>
      </c>
      <c r="B284" s="59">
        <v>206133</v>
      </c>
    </row>
    <row r="285" spans="1:2" x14ac:dyDescent="0.25">
      <c r="A285" s="59" t="s">
        <v>806</v>
      </c>
      <c r="B285" s="59" t="s">
        <v>807</v>
      </c>
    </row>
    <row r="286" spans="1:2" x14ac:dyDescent="0.25">
      <c r="A286" s="59" t="s">
        <v>314</v>
      </c>
      <c r="B286" s="59" t="s">
        <v>316</v>
      </c>
    </row>
    <row r="287" spans="1:2" x14ac:dyDescent="0.25">
      <c r="A287" s="59" t="s">
        <v>317</v>
      </c>
      <c r="B287" s="59">
        <v>206134</v>
      </c>
    </row>
    <row r="288" spans="1:2" x14ac:dyDescent="0.25">
      <c r="A288" s="59" t="s">
        <v>321</v>
      </c>
      <c r="B288" s="59" t="s">
        <v>322</v>
      </c>
    </row>
    <row r="289" spans="1:2" x14ac:dyDescent="0.25">
      <c r="A289" s="59" t="s">
        <v>319</v>
      </c>
      <c r="B289" s="59" t="s">
        <v>320</v>
      </c>
    </row>
    <row r="290" spans="1:2" x14ac:dyDescent="0.25">
      <c r="A290" s="59" t="s">
        <v>323</v>
      </c>
      <c r="B290" s="59" t="s">
        <v>324</v>
      </c>
    </row>
    <row r="291" spans="1:2" x14ac:dyDescent="0.25">
      <c r="A291" s="59" t="s">
        <v>325</v>
      </c>
      <c r="B291" s="59">
        <v>206109</v>
      </c>
    </row>
    <row r="292" spans="1:2" x14ac:dyDescent="0.25">
      <c r="A292" s="59" t="s">
        <v>37</v>
      </c>
      <c r="B292" s="59">
        <v>2434</v>
      </c>
    </row>
    <row r="293" spans="1:2" x14ac:dyDescent="0.25">
      <c r="A293" s="59" t="s">
        <v>42</v>
      </c>
      <c r="B293" s="59">
        <v>2009</v>
      </c>
    </row>
    <row r="294" spans="1:2" x14ac:dyDescent="0.25">
      <c r="A294" s="59" t="s">
        <v>569</v>
      </c>
      <c r="B294" s="59">
        <v>6905</v>
      </c>
    </row>
    <row r="295" spans="1:2" x14ac:dyDescent="0.25">
      <c r="A295" s="59" t="s">
        <v>38</v>
      </c>
      <c r="B295" s="59">
        <v>2522</v>
      </c>
    </row>
    <row r="296" spans="1:2" x14ac:dyDescent="0.25">
      <c r="A296" s="59" t="s">
        <v>327</v>
      </c>
      <c r="B296" s="59">
        <v>206110</v>
      </c>
    </row>
    <row r="297" spans="1:2" x14ac:dyDescent="0.25">
      <c r="A297" s="59" t="s">
        <v>329</v>
      </c>
      <c r="B297" s="59">
        <v>206135</v>
      </c>
    </row>
    <row r="298" spans="1:2" x14ac:dyDescent="0.25">
      <c r="A298" s="59" t="s">
        <v>69</v>
      </c>
      <c r="B298" s="59">
        <v>4181</v>
      </c>
    </row>
    <row r="299" spans="1:2" x14ac:dyDescent="0.25">
      <c r="A299" s="59" t="s">
        <v>331</v>
      </c>
      <c r="B299" s="59">
        <v>509195</v>
      </c>
    </row>
    <row r="300" spans="1:2" x14ac:dyDescent="0.25">
      <c r="A300" s="59" t="s">
        <v>1393</v>
      </c>
      <c r="B300" s="59">
        <v>480857</v>
      </c>
    </row>
    <row r="301" spans="1:2" x14ac:dyDescent="0.25">
      <c r="A301" s="59" t="s">
        <v>333</v>
      </c>
      <c r="B301" s="59" t="s">
        <v>334</v>
      </c>
    </row>
    <row r="302" spans="1:2" x14ac:dyDescent="0.25">
      <c r="A302" s="59" t="s">
        <v>335</v>
      </c>
      <c r="B302" s="59" t="s">
        <v>336</v>
      </c>
    </row>
    <row r="303" spans="1:2" x14ac:dyDescent="0.25">
      <c r="A303" s="59" t="s">
        <v>1394</v>
      </c>
      <c r="B303" s="59">
        <v>492973</v>
      </c>
    </row>
    <row r="304" spans="1:2" x14ac:dyDescent="0.25">
      <c r="A304" s="59" t="s">
        <v>337</v>
      </c>
      <c r="B304" s="59" t="s">
        <v>339</v>
      </c>
    </row>
    <row r="305" spans="1:2" x14ac:dyDescent="0.25">
      <c r="A305" s="59" t="s">
        <v>340</v>
      </c>
      <c r="B305" s="59">
        <v>509199</v>
      </c>
    </row>
    <row r="306" spans="1:2" x14ac:dyDescent="0.25">
      <c r="A306" s="59" t="s">
        <v>342</v>
      </c>
      <c r="B306" s="59">
        <v>509197</v>
      </c>
    </row>
    <row r="307" spans="1:2" x14ac:dyDescent="0.25">
      <c r="A307" s="59" t="s">
        <v>808</v>
      </c>
      <c r="B307" s="59">
        <v>479383</v>
      </c>
    </row>
    <row r="308" spans="1:2" x14ac:dyDescent="0.25">
      <c r="A308" s="59" t="s">
        <v>347</v>
      </c>
      <c r="B308" s="59" t="s">
        <v>348</v>
      </c>
    </row>
    <row r="309" spans="1:2" x14ac:dyDescent="0.25">
      <c r="A309" s="59" t="s">
        <v>70</v>
      </c>
      <c r="B309" s="59">
        <v>4182</v>
      </c>
    </row>
    <row r="310" spans="1:2" x14ac:dyDescent="0.25">
      <c r="A310" s="59" t="s">
        <v>344</v>
      </c>
      <c r="B310" s="59" t="s">
        <v>346</v>
      </c>
    </row>
    <row r="311" spans="1:2" x14ac:dyDescent="0.25">
      <c r="A311" s="59" t="s">
        <v>6</v>
      </c>
      <c r="B311" s="59">
        <v>1005</v>
      </c>
    </row>
    <row r="312" spans="1:2" x14ac:dyDescent="0.25">
      <c r="A312" s="59" t="s">
        <v>809</v>
      </c>
      <c r="B312" s="59" t="s">
        <v>810</v>
      </c>
    </row>
    <row r="313" spans="1:2" x14ac:dyDescent="0.25">
      <c r="A313" s="59" t="s">
        <v>39</v>
      </c>
      <c r="B313" s="59">
        <v>2436</v>
      </c>
    </row>
    <row r="314" spans="1:2" x14ac:dyDescent="0.25">
      <c r="A314" s="59" t="s">
        <v>349</v>
      </c>
      <c r="B314" s="59">
        <v>206117</v>
      </c>
    </row>
    <row r="315" spans="1:2" x14ac:dyDescent="0.25">
      <c r="A315" s="59" t="s">
        <v>40</v>
      </c>
      <c r="B315" s="59">
        <v>2452</v>
      </c>
    </row>
    <row r="316" spans="1:2" x14ac:dyDescent="0.25">
      <c r="A316" s="59" t="s">
        <v>71</v>
      </c>
      <c r="B316" s="59">
        <v>4001</v>
      </c>
    </row>
    <row r="317" spans="1:2" x14ac:dyDescent="0.25">
      <c r="A317" s="59" t="s">
        <v>351</v>
      </c>
      <c r="B317" s="59">
        <v>206141</v>
      </c>
    </row>
    <row r="318" spans="1:2" x14ac:dyDescent="0.25">
      <c r="A318" s="59" t="s">
        <v>41</v>
      </c>
      <c r="B318" s="59">
        <v>2627</v>
      </c>
    </row>
    <row r="319" spans="1:2" x14ac:dyDescent="0.25">
      <c r="A319" s="59" t="s">
        <v>112</v>
      </c>
      <c r="B319" s="59">
        <v>5406</v>
      </c>
    </row>
    <row r="320" spans="1:2" x14ac:dyDescent="0.25">
      <c r="A320" s="59" t="s">
        <v>113</v>
      </c>
      <c r="B320" s="59">
        <v>5407</v>
      </c>
    </row>
    <row r="321" spans="1:2" x14ac:dyDescent="0.25">
      <c r="A321" s="59" t="s">
        <v>353</v>
      </c>
      <c r="B321" s="59" t="s">
        <v>355</v>
      </c>
    </row>
    <row r="322" spans="1:2" x14ac:dyDescent="0.25">
      <c r="A322" s="59" t="s">
        <v>356</v>
      </c>
      <c r="B322" s="59">
        <v>258404</v>
      </c>
    </row>
    <row r="323" spans="1:2" x14ac:dyDescent="0.25">
      <c r="A323" s="59" t="s">
        <v>101</v>
      </c>
      <c r="B323" s="59">
        <v>2473</v>
      </c>
    </row>
    <row r="324" spans="1:2" x14ac:dyDescent="0.25">
      <c r="A324" s="59" t="s">
        <v>44</v>
      </c>
      <c r="B324" s="59">
        <v>2471</v>
      </c>
    </row>
    <row r="325" spans="1:2" x14ac:dyDescent="0.25">
      <c r="A325" s="59" t="s">
        <v>358</v>
      </c>
      <c r="B325" s="59">
        <v>258405</v>
      </c>
    </row>
    <row r="326" spans="1:2" x14ac:dyDescent="0.25">
      <c r="A326" s="59" t="s">
        <v>360</v>
      </c>
      <c r="B326" s="59">
        <v>258406</v>
      </c>
    </row>
    <row r="327" spans="1:2" x14ac:dyDescent="0.25">
      <c r="A327" s="59" t="s">
        <v>1395</v>
      </c>
      <c r="B327" s="59">
        <v>206145</v>
      </c>
    </row>
    <row r="328" spans="1:2" x14ac:dyDescent="0.25">
      <c r="A328" s="59" t="s">
        <v>43</v>
      </c>
      <c r="B328" s="59">
        <v>2420</v>
      </c>
    </row>
    <row r="329" spans="1:2" x14ac:dyDescent="0.25">
      <c r="A329" s="59" t="s">
        <v>362</v>
      </c>
      <c r="B329" s="59">
        <v>206160</v>
      </c>
    </row>
    <row r="330" spans="1:2" x14ac:dyDescent="0.25">
      <c r="A330" s="59" t="s">
        <v>45</v>
      </c>
      <c r="B330" s="59">
        <v>2003</v>
      </c>
    </row>
    <row r="331" spans="1:2" x14ac:dyDescent="0.25">
      <c r="A331" s="59" t="s">
        <v>46</v>
      </c>
      <c r="B331" s="59">
        <v>2423</v>
      </c>
    </row>
    <row r="332" spans="1:2" x14ac:dyDescent="0.25">
      <c r="A332" s="59" t="s">
        <v>47</v>
      </c>
      <c r="B332" s="59">
        <v>2424</v>
      </c>
    </row>
    <row r="333" spans="1:2" x14ac:dyDescent="0.25">
      <c r="A333" s="59" t="s">
        <v>364</v>
      </c>
      <c r="B333" s="59" t="s">
        <v>366</v>
      </c>
    </row>
    <row r="334" spans="1:2" x14ac:dyDescent="0.25">
      <c r="A334" s="59" t="s">
        <v>367</v>
      </c>
      <c r="B334" s="59" t="s">
        <v>368</v>
      </c>
    </row>
    <row r="335" spans="1:2" x14ac:dyDescent="0.25">
      <c r="A335" s="59" t="s">
        <v>369</v>
      </c>
      <c r="B335" s="59" t="s">
        <v>371</v>
      </c>
    </row>
    <row r="336" spans="1:2" x14ac:dyDescent="0.25">
      <c r="A336" s="59" t="s">
        <v>811</v>
      </c>
      <c r="B336" s="59" t="s">
        <v>812</v>
      </c>
    </row>
    <row r="337" spans="1:2" x14ac:dyDescent="0.25">
      <c r="A337" s="59" t="s">
        <v>372</v>
      </c>
      <c r="B337" s="59">
        <v>206146</v>
      </c>
    </row>
    <row r="338" spans="1:2" x14ac:dyDescent="0.25">
      <c r="A338" s="59" t="s">
        <v>48</v>
      </c>
      <c r="B338" s="59">
        <v>2439</v>
      </c>
    </row>
    <row r="339" spans="1:2" x14ac:dyDescent="0.25">
      <c r="A339" s="59" t="s">
        <v>49</v>
      </c>
      <c r="B339" s="59">
        <v>2440</v>
      </c>
    </row>
    <row r="340" spans="1:2" x14ac:dyDescent="0.25">
      <c r="A340" s="59" t="s">
        <v>374</v>
      </c>
      <c r="B340" s="59" t="s">
        <v>375</v>
      </c>
    </row>
    <row r="341" spans="1:2" x14ac:dyDescent="0.25">
      <c r="A341" s="59" t="s">
        <v>813</v>
      </c>
      <c r="B341" s="59" t="s">
        <v>814</v>
      </c>
    </row>
    <row r="342" spans="1:2" x14ac:dyDescent="0.25">
      <c r="A342" s="59" t="s">
        <v>815</v>
      </c>
      <c r="B342" s="59" t="s">
        <v>816</v>
      </c>
    </row>
    <row r="343" spans="1:2" x14ac:dyDescent="0.25">
      <c r="A343" s="67" t="s">
        <v>377</v>
      </c>
      <c r="B343" s="67" t="s">
        <v>378</v>
      </c>
    </row>
    <row r="344" spans="1:2" x14ac:dyDescent="0.25">
      <c r="A344" s="105" t="s">
        <v>377</v>
      </c>
      <c r="B344" s="110" t="s">
        <v>817</v>
      </c>
    </row>
    <row r="345" spans="1:2" x14ac:dyDescent="0.25">
      <c r="A345" s="105" t="s">
        <v>102</v>
      </c>
      <c r="B345" s="110">
        <v>2462</v>
      </c>
    </row>
    <row r="346" spans="1:2" x14ac:dyDescent="0.25">
      <c r="A346" s="105" t="s">
        <v>50</v>
      </c>
      <c r="B346" s="110">
        <v>2463</v>
      </c>
    </row>
    <row r="347" spans="1:2" x14ac:dyDescent="0.25">
      <c r="A347" s="105" t="s">
        <v>51</v>
      </c>
      <c r="B347" s="67">
        <v>2505</v>
      </c>
    </row>
    <row r="348" spans="1:2" x14ac:dyDescent="0.25">
      <c r="A348" s="105" t="s">
        <v>1304</v>
      </c>
      <c r="B348" s="110">
        <v>2000</v>
      </c>
    </row>
    <row r="349" spans="1:2" x14ac:dyDescent="0.25">
      <c r="A349" s="105" t="s">
        <v>53</v>
      </c>
      <c r="B349" s="67">
        <v>2458</v>
      </c>
    </row>
    <row r="350" spans="1:2" x14ac:dyDescent="0.25">
      <c r="A350" s="105" t="s">
        <v>379</v>
      </c>
      <c r="B350" s="67" t="s">
        <v>381</v>
      </c>
    </row>
    <row r="351" spans="1:2" x14ac:dyDescent="0.25">
      <c r="A351" s="105" t="s">
        <v>54</v>
      </c>
      <c r="B351" s="67">
        <v>2001</v>
      </c>
    </row>
    <row r="352" spans="1:2" x14ac:dyDescent="0.25">
      <c r="A352" s="105" t="s">
        <v>382</v>
      </c>
      <c r="B352" s="67" t="s">
        <v>383</v>
      </c>
    </row>
    <row r="353" spans="1:2" x14ac:dyDescent="0.25">
      <c r="A353" s="105" t="s">
        <v>55</v>
      </c>
      <c r="B353" s="67">
        <v>2429</v>
      </c>
    </row>
    <row r="354" spans="1:2" x14ac:dyDescent="0.25">
      <c r="A354" s="105" t="s">
        <v>384</v>
      </c>
      <c r="B354" s="67">
        <v>113044</v>
      </c>
    </row>
    <row r="355" spans="1:2" x14ac:dyDescent="0.25">
      <c r="A355" s="105" t="s">
        <v>386</v>
      </c>
      <c r="B355" s="67" t="s">
        <v>388</v>
      </c>
    </row>
    <row r="356" spans="1:2" x14ac:dyDescent="0.25">
      <c r="A356" s="105" t="s">
        <v>72</v>
      </c>
      <c r="B356" s="67">
        <v>4607</v>
      </c>
    </row>
    <row r="357" spans="1:2" x14ac:dyDescent="0.25">
      <c r="A357" s="105" t="s">
        <v>818</v>
      </c>
      <c r="B357" s="67" t="s">
        <v>819</v>
      </c>
    </row>
    <row r="358" spans="1:2" x14ac:dyDescent="0.25">
      <c r="A358" s="105" t="s">
        <v>820</v>
      </c>
      <c r="B358" s="67" t="s">
        <v>821</v>
      </c>
    </row>
    <row r="359" spans="1:2" x14ac:dyDescent="0.25">
      <c r="A359" s="105" t="s">
        <v>56</v>
      </c>
      <c r="B359" s="67">
        <v>2444</v>
      </c>
    </row>
    <row r="360" spans="1:2" x14ac:dyDescent="0.25">
      <c r="A360" s="105" t="s">
        <v>57</v>
      </c>
      <c r="B360" s="67">
        <v>5209</v>
      </c>
    </row>
    <row r="361" spans="1:2" x14ac:dyDescent="0.25">
      <c r="A361" s="105" t="s">
        <v>389</v>
      </c>
      <c r="B361" s="67" t="s">
        <v>391</v>
      </c>
    </row>
    <row r="362" spans="1:2" x14ac:dyDescent="0.25">
      <c r="A362" s="105" t="s">
        <v>392</v>
      </c>
      <c r="B362" s="67" t="s">
        <v>394</v>
      </c>
    </row>
    <row r="363" spans="1:2" x14ac:dyDescent="0.25">
      <c r="A363" s="105" t="s">
        <v>58</v>
      </c>
      <c r="B363" s="67">
        <v>2469</v>
      </c>
    </row>
    <row r="364" spans="1:2" x14ac:dyDescent="0.25">
      <c r="A364" s="105" t="s">
        <v>395</v>
      </c>
      <c r="B364" s="110" t="s">
        <v>397</v>
      </c>
    </row>
    <row r="365" spans="1:2" x14ac:dyDescent="0.25">
      <c r="A365" s="105" t="s">
        <v>398</v>
      </c>
      <c r="B365" s="67" t="s">
        <v>399</v>
      </c>
    </row>
    <row r="366" spans="1:2" x14ac:dyDescent="0.25">
      <c r="A366" s="59" t="s">
        <v>59</v>
      </c>
      <c r="B366" s="59">
        <v>2466</v>
      </c>
    </row>
    <row r="367" spans="1:2" x14ac:dyDescent="0.25">
      <c r="A367" s="59" t="s">
        <v>60</v>
      </c>
      <c r="B367" s="59">
        <v>3543</v>
      </c>
    </row>
    <row r="368" spans="1:2" x14ac:dyDescent="0.25">
      <c r="A368" s="59" t="s">
        <v>400</v>
      </c>
      <c r="B368" s="59">
        <v>206152</v>
      </c>
    </row>
    <row r="369" spans="1:2" x14ac:dyDescent="0.25">
      <c r="A369" s="59" t="s">
        <v>402</v>
      </c>
      <c r="B369" s="59">
        <v>206153</v>
      </c>
    </row>
    <row r="370" spans="1:2" x14ac:dyDescent="0.25">
      <c r="A370" s="59" t="s">
        <v>62</v>
      </c>
      <c r="B370" s="59">
        <v>3531</v>
      </c>
    </row>
    <row r="371" spans="1:2" x14ac:dyDescent="0.25">
      <c r="A371" s="59" t="s">
        <v>63</v>
      </c>
      <c r="B371" s="59">
        <v>3526</v>
      </c>
    </row>
    <row r="372" spans="1:2" x14ac:dyDescent="0.25">
      <c r="A372" s="59" t="s">
        <v>104</v>
      </c>
      <c r="B372" s="59">
        <v>3535</v>
      </c>
    </row>
    <row r="373" spans="1:2" x14ac:dyDescent="0.25">
      <c r="A373" s="59" t="s">
        <v>64</v>
      </c>
      <c r="B373" s="59">
        <v>2008</v>
      </c>
    </row>
    <row r="374" spans="1:2" x14ac:dyDescent="0.25">
      <c r="A374" s="59" t="s">
        <v>105</v>
      </c>
      <c r="B374" s="59">
        <v>3542</v>
      </c>
    </row>
    <row r="375" spans="1:2" x14ac:dyDescent="0.25">
      <c r="A375" s="59" t="s">
        <v>404</v>
      </c>
      <c r="B375" s="59">
        <v>206154</v>
      </c>
    </row>
    <row r="376" spans="1:2" x14ac:dyDescent="0.25">
      <c r="A376" s="59" t="s">
        <v>106</v>
      </c>
      <c r="B376" s="59">
        <v>3528</v>
      </c>
    </row>
    <row r="377" spans="1:2" x14ac:dyDescent="0.25">
      <c r="A377" s="59" t="s">
        <v>406</v>
      </c>
      <c r="B377" s="59" t="s">
        <v>407</v>
      </c>
    </row>
    <row r="378" spans="1:2" x14ac:dyDescent="0.25">
      <c r="A378" s="59" t="s">
        <v>107</v>
      </c>
      <c r="B378" s="59">
        <v>3534</v>
      </c>
    </row>
    <row r="379" spans="1:2" x14ac:dyDescent="0.25">
      <c r="A379" s="59" t="s">
        <v>108</v>
      </c>
      <c r="B379" s="59">
        <v>3532</v>
      </c>
    </row>
    <row r="380" spans="1:2" x14ac:dyDescent="0.25">
      <c r="A380" s="59" t="s">
        <v>7</v>
      </c>
      <c r="B380" s="59">
        <v>1010</v>
      </c>
    </row>
    <row r="381" spans="1:2" x14ac:dyDescent="0.25">
      <c r="A381" s="59" t="s">
        <v>1396</v>
      </c>
      <c r="B381" s="59">
        <v>484523</v>
      </c>
    </row>
    <row r="382" spans="1:2" x14ac:dyDescent="0.25">
      <c r="A382" s="59" t="s">
        <v>408</v>
      </c>
      <c r="B382" s="59" t="s">
        <v>410</v>
      </c>
    </row>
    <row r="383" spans="1:2" x14ac:dyDescent="0.25">
      <c r="A383" s="59" t="s">
        <v>114</v>
      </c>
      <c r="B383" s="59">
        <v>4177</v>
      </c>
    </row>
    <row r="384" spans="1:2" x14ac:dyDescent="0.25">
      <c r="A384" s="59" t="s">
        <v>822</v>
      </c>
      <c r="B384" s="59" t="s">
        <v>824</v>
      </c>
    </row>
    <row r="385" spans="1:2" x14ac:dyDescent="0.25">
      <c r="A385" s="59" t="s">
        <v>411</v>
      </c>
      <c r="B385" s="59" t="s">
        <v>413</v>
      </c>
    </row>
    <row r="386" spans="1:2" x14ac:dyDescent="0.25">
      <c r="A386" s="59" t="s">
        <v>414</v>
      </c>
      <c r="B386" s="59">
        <v>206103</v>
      </c>
    </row>
    <row r="387" spans="1:2" x14ac:dyDescent="0.25">
      <c r="A387" s="59" t="s">
        <v>415</v>
      </c>
      <c r="B387" s="59" t="s">
        <v>417</v>
      </c>
    </row>
    <row r="388" spans="1:2" x14ac:dyDescent="0.25">
      <c r="A388" s="59" t="s">
        <v>418</v>
      </c>
      <c r="B388" s="59" t="s">
        <v>420</v>
      </c>
    </row>
    <row r="389" spans="1:2" x14ac:dyDescent="0.25">
      <c r="A389" s="59" t="s">
        <v>421</v>
      </c>
      <c r="B389" s="59">
        <v>258420</v>
      </c>
    </row>
    <row r="390" spans="1:2" x14ac:dyDescent="0.25">
      <c r="A390" s="59" t="s">
        <v>423</v>
      </c>
      <c r="B390" s="59">
        <v>258424</v>
      </c>
    </row>
    <row r="391" spans="1:2" x14ac:dyDescent="0.25">
      <c r="A391" s="59" t="s">
        <v>1397</v>
      </c>
      <c r="B391" s="59">
        <v>482634</v>
      </c>
    </row>
    <row r="392" spans="1:2" x14ac:dyDescent="0.25">
      <c r="A392" s="59" t="s">
        <v>425</v>
      </c>
      <c r="B392" s="59" t="s">
        <v>426</v>
      </c>
    </row>
    <row r="393" spans="1:2" x14ac:dyDescent="0.25">
      <c r="A393" s="59" t="s">
        <v>65</v>
      </c>
      <c r="B393" s="59">
        <v>3546</v>
      </c>
    </row>
    <row r="394" spans="1:2" x14ac:dyDescent="0.25">
      <c r="A394" s="59" t="s">
        <v>8</v>
      </c>
      <c r="B394" s="59">
        <v>1009</v>
      </c>
    </row>
    <row r="395" spans="1:2" x14ac:dyDescent="0.25">
      <c r="A395" s="59" t="s">
        <v>1398</v>
      </c>
      <c r="B395" s="59">
        <v>476554</v>
      </c>
    </row>
    <row r="396" spans="1:2" x14ac:dyDescent="0.25">
      <c r="A396" s="59" t="s">
        <v>66</v>
      </c>
      <c r="B396" s="59">
        <v>3530</v>
      </c>
    </row>
    <row r="397" spans="1:2" x14ac:dyDescent="0.25">
      <c r="A397" s="59" t="s">
        <v>74</v>
      </c>
      <c r="B397" s="59">
        <v>5412</v>
      </c>
    </row>
    <row r="398" spans="1:2" x14ac:dyDescent="0.25">
      <c r="A398" s="59" t="s">
        <v>432</v>
      </c>
      <c r="B398" s="59" t="s">
        <v>433</v>
      </c>
    </row>
    <row r="399" spans="1:2" x14ac:dyDescent="0.25">
      <c r="A399" s="59" t="s">
        <v>427</v>
      </c>
      <c r="B399" s="59" t="s">
        <v>429</v>
      </c>
    </row>
    <row r="400" spans="1:2" x14ac:dyDescent="0.25">
      <c r="A400" s="59" t="s">
        <v>9</v>
      </c>
      <c r="B400" s="59">
        <v>1015</v>
      </c>
    </row>
    <row r="401" spans="1:2" x14ac:dyDescent="0.25">
      <c r="A401" s="59" t="s">
        <v>430</v>
      </c>
      <c r="B401" s="59" t="s">
        <v>431</v>
      </c>
    </row>
    <row r="402" spans="1:2" x14ac:dyDescent="0.25">
      <c r="A402" s="59" t="s">
        <v>434</v>
      </c>
      <c r="B402" s="59">
        <v>509204</v>
      </c>
    </row>
    <row r="403" spans="1:2" x14ac:dyDescent="0.25">
      <c r="A403" s="59" t="s">
        <v>434</v>
      </c>
      <c r="B403" s="59" t="s">
        <v>825</v>
      </c>
    </row>
    <row r="404" spans="1:2" x14ac:dyDescent="0.25">
      <c r="A404" s="59" t="s">
        <v>67</v>
      </c>
      <c r="B404" s="59">
        <v>2459</v>
      </c>
    </row>
    <row r="405" spans="1:2" x14ac:dyDescent="0.25">
      <c r="A405" s="59" t="s">
        <v>96</v>
      </c>
      <c r="B405" s="59">
        <v>2007</v>
      </c>
    </row>
    <row r="406" spans="1:2" x14ac:dyDescent="0.25">
      <c r="A406" s="11"/>
      <c r="B406" s="2"/>
    </row>
    <row r="407" spans="1:2" x14ac:dyDescent="0.25">
      <c r="A407" s="11"/>
      <c r="B407" s="2"/>
    </row>
  </sheetData>
  <sheetProtection password="EF5C" sheet="1" objects="1" scenarios="1"/>
  <mergeCells count="1">
    <mergeCell ref="B1:B5"/>
  </mergeCells>
  <pageMargins left="0.7" right="0.7" top="0.75" bottom="0.75" header="0.3" footer="0.3"/>
  <pageSetup paperSize="9" orientation="portrait"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D388"/>
  <sheetViews>
    <sheetView workbookViewId="0">
      <pane xSplit="2" ySplit="6" topLeftCell="C112" activePane="bottomRight" state="frozen"/>
      <selection activeCell="C118" sqref="C118"/>
      <selection pane="topRight" activeCell="C118" sqref="C118"/>
      <selection pane="bottomLeft" activeCell="C118" sqref="C118"/>
      <selection pane="bottomRight" activeCell="E132" sqref="E132"/>
    </sheetView>
  </sheetViews>
  <sheetFormatPr defaultColWidth="9.109375" defaultRowHeight="13.2" x14ac:dyDescent="0.25"/>
  <cols>
    <col min="1" max="1" width="52.44140625" style="22" bestFit="1" customWidth="1"/>
    <col min="2" max="2" width="17.109375" style="22" bestFit="1" customWidth="1"/>
    <col min="3" max="3" width="16" style="22" bestFit="1" customWidth="1"/>
    <col min="4" max="16384" width="9.109375" style="22"/>
  </cols>
  <sheetData>
    <row r="1" spans="1:3" x14ac:dyDescent="0.25">
      <c r="A1" s="24" t="s">
        <v>1007</v>
      </c>
      <c r="B1" s="920"/>
      <c r="C1" s="926">
        <v>100000</v>
      </c>
    </row>
    <row r="2" spans="1:3" x14ac:dyDescent="0.25">
      <c r="A2" s="24" t="s">
        <v>1008</v>
      </c>
      <c r="B2" s="920"/>
      <c r="C2" s="926">
        <v>150000</v>
      </c>
    </row>
    <row r="3" spans="1:3" x14ac:dyDescent="0.25">
      <c r="A3" s="24" t="s">
        <v>78</v>
      </c>
      <c r="B3" s="920"/>
      <c r="C3" s="926"/>
    </row>
    <row r="4" spans="1:3" x14ac:dyDescent="0.25">
      <c r="A4" s="24" t="s">
        <v>79</v>
      </c>
      <c r="B4" s="920"/>
      <c r="C4" s="926"/>
    </row>
    <row r="5" spans="1:3" ht="12.75" x14ac:dyDescent="0.2">
      <c r="A5" s="24" t="s">
        <v>80</v>
      </c>
      <c r="B5" s="920"/>
      <c r="C5" s="926"/>
    </row>
    <row r="6" spans="1:3" x14ac:dyDescent="0.25">
      <c r="A6" s="938" t="s">
        <v>118</v>
      </c>
      <c r="B6" s="940" t="s">
        <v>81</v>
      </c>
      <c r="C6" s="8" t="s">
        <v>1009</v>
      </c>
    </row>
    <row r="7" spans="1:3" ht="12.75" x14ac:dyDescent="0.2">
      <c r="A7" s="25" t="s">
        <v>1301</v>
      </c>
      <c r="B7" s="26">
        <v>2014</v>
      </c>
      <c r="C7" s="958">
        <f>C$1</f>
        <v>100000</v>
      </c>
    </row>
    <row r="8" spans="1:3" ht="12.75" x14ac:dyDescent="0.2">
      <c r="A8" s="25" t="s">
        <v>10</v>
      </c>
      <c r="B8" s="26">
        <v>2012</v>
      </c>
      <c r="C8" s="958">
        <f>C$1</f>
        <v>100000</v>
      </c>
    </row>
    <row r="9" spans="1:3" ht="12.75" x14ac:dyDescent="0.2">
      <c r="A9" s="25" t="s">
        <v>11</v>
      </c>
      <c r="B9" s="26">
        <v>2443</v>
      </c>
      <c r="C9" s="958">
        <f t="shared" ref="C9:C72" si="0">C$1</f>
        <v>100000</v>
      </c>
    </row>
    <row r="10" spans="1:3" ht="12.75" x14ac:dyDescent="0.2">
      <c r="A10" s="25" t="s">
        <v>94</v>
      </c>
      <c r="B10" s="26">
        <v>2442</v>
      </c>
      <c r="C10" s="958">
        <f t="shared" si="0"/>
        <v>100000</v>
      </c>
    </row>
    <row r="11" spans="1:3" ht="12.75" x14ac:dyDescent="0.2">
      <c r="A11" s="25" t="s">
        <v>13</v>
      </c>
      <c r="B11" s="26">
        <v>2629</v>
      </c>
      <c r="C11" s="958">
        <f t="shared" si="0"/>
        <v>100000</v>
      </c>
    </row>
    <row r="12" spans="1:3" ht="12.75" x14ac:dyDescent="0.2">
      <c r="A12" s="25" t="s">
        <v>14</v>
      </c>
      <c r="B12" s="26">
        <v>2509</v>
      </c>
      <c r="C12" s="958">
        <f t="shared" si="0"/>
        <v>100000</v>
      </c>
    </row>
    <row r="13" spans="1:3" ht="12.75" x14ac:dyDescent="0.2">
      <c r="A13" s="25" t="s">
        <v>15</v>
      </c>
      <c r="B13" s="26">
        <v>2005</v>
      </c>
      <c r="C13" s="958">
        <f t="shared" si="0"/>
        <v>100000</v>
      </c>
    </row>
    <row r="14" spans="1:3" ht="12.75" x14ac:dyDescent="0.2">
      <c r="A14" s="25" t="s">
        <v>16</v>
      </c>
      <c r="B14" s="26">
        <v>2464</v>
      </c>
      <c r="C14" s="958">
        <f t="shared" si="0"/>
        <v>100000</v>
      </c>
    </row>
    <row r="15" spans="1:3" ht="12.75" x14ac:dyDescent="0.2">
      <c r="A15" s="25" t="s">
        <v>17</v>
      </c>
      <c r="B15" s="26">
        <v>2004</v>
      </c>
      <c r="C15" s="958">
        <f t="shared" si="0"/>
        <v>100000</v>
      </c>
    </row>
    <row r="16" spans="1:3" ht="12.75" x14ac:dyDescent="0.2">
      <c r="A16" s="25" t="s">
        <v>18</v>
      </c>
      <c r="B16" s="26">
        <v>2405</v>
      </c>
      <c r="C16" s="958">
        <f t="shared" si="0"/>
        <v>100000</v>
      </c>
    </row>
    <row r="17" spans="1:3" ht="12.75" x14ac:dyDescent="0.2">
      <c r="A17" s="25" t="s">
        <v>95</v>
      </c>
      <c r="B17" s="26">
        <v>2011</v>
      </c>
      <c r="C17" s="958">
        <f t="shared" si="0"/>
        <v>100000</v>
      </c>
    </row>
    <row r="18" spans="1:3" ht="12.75" x14ac:dyDescent="0.2">
      <c r="A18" s="25" t="s">
        <v>20</v>
      </c>
      <c r="B18" s="26">
        <v>5201</v>
      </c>
      <c r="C18" s="958">
        <f t="shared" si="0"/>
        <v>100000</v>
      </c>
    </row>
    <row r="19" spans="1:3" ht="12.75" x14ac:dyDescent="0.2">
      <c r="A19" s="25" t="s">
        <v>96</v>
      </c>
      <c r="B19" s="26">
        <v>2007</v>
      </c>
      <c r="C19" s="958">
        <f t="shared" si="0"/>
        <v>100000</v>
      </c>
    </row>
    <row r="20" spans="1:3" ht="12.75" x14ac:dyDescent="0.2">
      <c r="A20" s="25" t="s">
        <v>21</v>
      </c>
      <c r="B20" s="26">
        <v>2433</v>
      </c>
      <c r="C20" s="958">
        <f t="shared" si="0"/>
        <v>100000</v>
      </c>
    </row>
    <row r="21" spans="1:3" ht="12.75" x14ac:dyDescent="0.2">
      <c r="A21" s="25" t="s">
        <v>22</v>
      </c>
      <c r="B21" s="26">
        <v>2432</v>
      </c>
      <c r="C21" s="958">
        <f t="shared" si="0"/>
        <v>100000</v>
      </c>
    </row>
    <row r="22" spans="1:3" ht="12.75" x14ac:dyDescent="0.2">
      <c r="A22" s="25" t="s">
        <v>949</v>
      </c>
      <c r="B22" s="26">
        <v>2447</v>
      </c>
      <c r="C22" s="963">
        <f t="shared" si="0"/>
        <v>100000</v>
      </c>
    </row>
    <row r="23" spans="1:3" ht="12.75" x14ac:dyDescent="0.2">
      <c r="A23" s="25" t="s">
        <v>23</v>
      </c>
      <c r="B23" s="26">
        <v>2512</v>
      </c>
      <c r="C23" s="958">
        <f t="shared" si="0"/>
        <v>100000</v>
      </c>
    </row>
    <row r="24" spans="1:3" ht="12.75" x14ac:dyDescent="0.2">
      <c r="A24" s="25" t="s">
        <v>24</v>
      </c>
      <c r="B24" s="26">
        <v>2456</v>
      </c>
      <c r="C24" s="958">
        <f t="shared" si="0"/>
        <v>100000</v>
      </c>
    </row>
    <row r="25" spans="1:3" ht="12.75" x14ac:dyDescent="0.2">
      <c r="A25" s="25" t="s">
        <v>25</v>
      </c>
      <c r="B25" s="26">
        <v>2449</v>
      </c>
      <c r="C25" s="958">
        <f t="shared" si="0"/>
        <v>100000</v>
      </c>
    </row>
    <row r="26" spans="1:3" ht="12.75" x14ac:dyDescent="0.2">
      <c r="A26" s="25" t="s">
        <v>26</v>
      </c>
      <c r="B26" s="26">
        <v>2448</v>
      </c>
      <c r="C26" s="958">
        <f t="shared" si="0"/>
        <v>100000</v>
      </c>
    </row>
    <row r="27" spans="1:3" ht="12.75" x14ac:dyDescent="0.2">
      <c r="A27" s="25" t="s">
        <v>126</v>
      </c>
      <c r="B27" s="26">
        <v>2467</v>
      </c>
      <c r="C27" s="958">
        <f t="shared" si="0"/>
        <v>100000</v>
      </c>
    </row>
    <row r="28" spans="1:3" ht="12.75" x14ac:dyDescent="0.2">
      <c r="A28" s="25" t="s">
        <v>28</v>
      </c>
      <c r="B28" s="26">
        <v>2455</v>
      </c>
      <c r="C28" s="958">
        <f t="shared" si="0"/>
        <v>100000</v>
      </c>
    </row>
    <row r="29" spans="1:3" ht="12.75" x14ac:dyDescent="0.2">
      <c r="A29" s="25" t="s">
        <v>29</v>
      </c>
      <c r="B29" s="26">
        <v>5203</v>
      </c>
      <c r="C29" s="958">
        <f t="shared" si="0"/>
        <v>100000</v>
      </c>
    </row>
    <row r="30" spans="1:3" ht="12.75" x14ac:dyDescent="0.2">
      <c r="A30" s="25" t="s">
        <v>30</v>
      </c>
      <c r="B30" s="26">
        <v>2451</v>
      </c>
      <c r="C30" s="958">
        <f t="shared" si="0"/>
        <v>100000</v>
      </c>
    </row>
    <row r="31" spans="1:3" ht="12.75" x14ac:dyDescent="0.2">
      <c r="A31" s="25" t="s">
        <v>31</v>
      </c>
      <c r="B31" s="26">
        <v>2409</v>
      </c>
      <c r="C31" s="958">
        <f t="shared" si="0"/>
        <v>100000</v>
      </c>
    </row>
    <row r="32" spans="1:3" ht="12.75" x14ac:dyDescent="0.2">
      <c r="A32" s="25" t="s">
        <v>98</v>
      </c>
      <c r="B32" s="26">
        <v>3158</v>
      </c>
      <c r="C32" s="958">
        <f t="shared" si="0"/>
        <v>100000</v>
      </c>
    </row>
    <row r="33" spans="1:3" ht="12.75" x14ac:dyDescent="0.2">
      <c r="A33" s="25" t="s">
        <v>32</v>
      </c>
      <c r="B33" s="26">
        <v>2619</v>
      </c>
      <c r="C33" s="958">
        <f t="shared" si="0"/>
        <v>100000</v>
      </c>
    </row>
    <row r="34" spans="1:3" ht="12.75" x14ac:dyDescent="0.2">
      <c r="A34" s="25" t="s">
        <v>33</v>
      </c>
      <c r="B34" s="26">
        <v>2518</v>
      </c>
      <c r="C34" s="958">
        <f t="shared" si="0"/>
        <v>100000</v>
      </c>
    </row>
    <row r="35" spans="1:3" ht="12.75" x14ac:dyDescent="0.2">
      <c r="A35" s="25" t="s">
        <v>34</v>
      </c>
      <c r="B35" s="26">
        <v>2457</v>
      </c>
      <c r="C35" s="958">
        <f t="shared" si="0"/>
        <v>100000</v>
      </c>
    </row>
    <row r="36" spans="1:3" ht="12.75" x14ac:dyDescent="0.2">
      <c r="A36" s="25" t="s">
        <v>99</v>
      </c>
      <c r="B36" s="26">
        <v>2010</v>
      </c>
      <c r="C36" s="958">
        <f t="shared" si="0"/>
        <v>100000</v>
      </c>
    </row>
    <row r="37" spans="1:3" ht="12.75" x14ac:dyDescent="0.2">
      <c r="A37" s="25" t="s">
        <v>35</v>
      </c>
      <c r="B37" s="26">
        <v>2002</v>
      </c>
      <c r="C37" s="958">
        <f t="shared" si="0"/>
        <v>100000</v>
      </c>
    </row>
    <row r="38" spans="1:3" ht="12.75" x14ac:dyDescent="0.2">
      <c r="A38" s="25" t="s">
        <v>36</v>
      </c>
      <c r="B38" s="26">
        <v>3544</v>
      </c>
      <c r="C38" s="958">
        <f t="shared" si="0"/>
        <v>100000</v>
      </c>
    </row>
    <row r="39" spans="1:3" ht="12.75" x14ac:dyDescent="0.2">
      <c r="A39" s="25" t="s">
        <v>100</v>
      </c>
      <c r="B39" s="26">
        <v>2006</v>
      </c>
      <c r="C39" s="958">
        <f t="shared" si="0"/>
        <v>100000</v>
      </c>
    </row>
    <row r="40" spans="1:3" ht="12.75" x14ac:dyDescent="0.2">
      <c r="A40" s="25" t="s">
        <v>37</v>
      </c>
      <c r="B40" s="26">
        <v>2434</v>
      </c>
      <c r="C40" s="958">
        <f t="shared" si="0"/>
        <v>100000</v>
      </c>
    </row>
    <row r="41" spans="1:3" ht="12.75" x14ac:dyDescent="0.2">
      <c r="A41" s="25" t="s">
        <v>38</v>
      </c>
      <c r="B41" s="26">
        <v>2522</v>
      </c>
      <c r="C41" s="958">
        <f t="shared" si="0"/>
        <v>100000</v>
      </c>
    </row>
    <row r="42" spans="1:3" ht="12.75" x14ac:dyDescent="0.2">
      <c r="A42" s="25" t="s">
        <v>39</v>
      </c>
      <c r="B42" s="26">
        <v>2436</v>
      </c>
      <c r="C42" s="958">
        <f t="shared" si="0"/>
        <v>100000</v>
      </c>
    </row>
    <row r="43" spans="1:3" ht="12.75" x14ac:dyDescent="0.2">
      <c r="A43" s="25" t="s">
        <v>40</v>
      </c>
      <c r="B43" s="26">
        <v>2452</v>
      </c>
      <c r="C43" s="958">
        <f t="shared" si="0"/>
        <v>100000</v>
      </c>
    </row>
    <row r="44" spans="1:3" ht="12.75" x14ac:dyDescent="0.2">
      <c r="A44" s="25" t="s">
        <v>41</v>
      </c>
      <c r="B44" s="26">
        <v>2627</v>
      </c>
      <c r="C44" s="958">
        <f t="shared" si="0"/>
        <v>100000</v>
      </c>
    </row>
    <row r="45" spans="1:3" ht="12.75" x14ac:dyDescent="0.2">
      <c r="A45" s="25" t="s">
        <v>42</v>
      </c>
      <c r="B45" s="26">
        <v>2009</v>
      </c>
      <c r="C45" s="958">
        <f t="shared" si="0"/>
        <v>100000</v>
      </c>
    </row>
    <row r="46" spans="1:3" ht="12.75" x14ac:dyDescent="0.2">
      <c r="A46" s="25" t="s">
        <v>101</v>
      </c>
      <c r="B46" s="26">
        <v>2473</v>
      </c>
      <c r="C46" s="958">
        <f t="shared" si="0"/>
        <v>100000</v>
      </c>
    </row>
    <row r="47" spans="1:3" ht="12.75" x14ac:dyDescent="0.2">
      <c r="A47" s="25" t="s">
        <v>44</v>
      </c>
      <c r="B47" s="26">
        <v>2471</v>
      </c>
      <c r="C47" s="958">
        <f t="shared" si="0"/>
        <v>100000</v>
      </c>
    </row>
    <row r="48" spans="1:3" ht="12.75" x14ac:dyDescent="0.2">
      <c r="A48" s="25" t="s">
        <v>43</v>
      </c>
      <c r="B48" s="26">
        <v>2420</v>
      </c>
      <c r="C48" s="958">
        <f t="shared" si="0"/>
        <v>100000</v>
      </c>
    </row>
    <row r="49" spans="1:3" ht="12.75" x14ac:dyDescent="0.2">
      <c r="A49" s="25" t="s">
        <v>45</v>
      </c>
      <c r="B49" s="26">
        <v>2003</v>
      </c>
      <c r="C49" s="958">
        <f t="shared" si="0"/>
        <v>100000</v>
      </c>
    </row>
    <row r="50" spans="1:3" ht="12.75" x14ac:dyDescent="0.2">
      <c r="A50" s="25" t="s">
        <v>46</v>
      </c>
      <c r="B50" s="26">
        <v>2423</v>
      </c>
      <c r="C50" s="958">
        <f t="shared" si="0"/>
        <v>100000</v>
      </c>
    </row>
    <row r="51" spans="1:3" ht="12.75" x14ac:dyDescent="0.2">
      <c r="A51" s="25" t="s">
        <v>47</v>
      </c>
      <c r="B51" s="26">
        <v>2424</v>
      </c>
      <c r="C51" s="958">
        <f t="shared" si="0"/>
        <v>100000</v>
      </c>
    </row>
    <row r="52" spans="1:3" ht="12.75" x14ac:dyDescent="0.2">
      <c r="A52" s="25" t="s">
        <v>48</v>
      </c>
      <c r="B52" s="26">
        <v>2439</v>
      </c>
      <c r="C52" s="958">
        <f t="shared" si="0"/>
        <v>100000</v>
      </c>
    </row>
    <row r="53" spans="1:3" ht="12.75" x14ac:dyDescent="0.2">
      <c r="A53" s="25" t="s">
        <v>49</v>
      </c>
      <c r="B53" s="26">
        <v>2440</v>
      </c>
      <c r="C53" s="958">
        <f t="shared" si="0"/>
        <v>100000</v>
      </c>
    </row>
    <row r="54" spans="1:3" ht="12.75" x14ac:dyDescent="0.2">
      <c r="A54" s="25" t="s">
        <v>102</v>
      </c>
      <c r="B54" s="26">
        <v>2462</v>
      </c>
      <c r="C54" s="958">
        <f t="shared" si="0"/>
        <v>100000</v>
      </c>
    </row>
    <row r="55" spans="1:3" ht="12.75" x14ac:dyDescent="0.2">
      <c r="A55" s="25" t="s">
        <v>50</v>
      </c>
      <c r="B55" s="26">
        <v>2463</v>
      </c>
      <c r="C55" s="958">
        <f t="shared" si="0"/>
        <v>100000</v>
      </c>
    </row>
    <row r="56" spans="1:3" ht="12.75" x14ac:dyDescent="0.2">
      <c r="A56" s="25" t="s">
        <v>51</v>
      </c>
      <c r="B56" s="26">
        <v>2505</v>
      </c>
      <c r="C56" s="958">
        <f t="shared" si="0"/>
        <v>100000</v>
      </c>
    </row>
    <row r="57" spans="1:3" ht="12.75" x14ac:dyDescent="0.2">
      <c r="A57" s="9" t="s">
        <v>1304</v>
      </c>
      <c r="B57" s="26">
        <v>2000</v>
      </c>
      <c r="C57" s="958">
        <f t="shared" si="0"/>
        <v>100000</v>
      </c>
    </row>
    <row r="58" spans="1:3" ht="12.75" x14ac:dyDescent="0.2">
      <c r="A58" s="25" t="s">
        <v>53</v>
      </c>
      <c r="B58" s="26">
        <v>2458</v>
      </c>
      <c r="C58" s="958">
        <f t="shared" si="0"/>
        <v>100000</v>
      </c>
    </row>
    <row r="59" spans="1:3" ht="12.75" x14ac:dyDescent="0.2">
      <c r="A59" s="25" t="s">
        <v>54</v>
      </c>
      <c r="B59" s="26">
        <v>2001</v>
      </c>
      <c r="C59" s="958">
        <f t="shared" si="0"/>
        <v>100000</v>
      </c>
    </row>
    <row r="60" spans="1:3" ht="12.75" x14ac:dyDescent="0.2">
      <c r="A60" s="25" t="s">
        <v>55</v>
      </c>
      <c r="B60" s="26">
        <v>2429</v>
      </c>
      <c r="C60" s="958">
        <f t="shared" si="0"/>
        <v>100000</v>
      </c>
    </row>
    <row r="61" spans="1:3" ht="12.75" x14ac:dyDescent="0.2">
      <c r="A61" s="25" t="s">
        <v>56</v>
      </c>
      <c r="B61" s="26">
        <v>2444</v>
      </c>
      <c r="C61" s="958">
        <f t="shared" si="0"/>
        <v>100000</v>
      </c>
    </row>
    <row r="62" spans="1:3" ht="12.75" x14ac:dyDescent="0.2">
      <c r="A62" s="25" t="s">
        <v>57</v>
      </c>
      <c r="B62" s="26">
        <v>5209</v>
      </c>
      <c r="C62" s="958">
        <f t="shared" si="0"/>
        <v>100000</v>
      </c>
    </row>
    <row r="63" spans="1:3" ht="12.75" x14ac:dyDescent="0.2">
      <c r="A63" s="25" t="s">
        <v>58</v>
      </c>
      <c r="B63" s="26">
        <v>2469</v>
      </c>
      <c r="C63" s="958">
        <f t="shared" si="0"/>
        <v>100000</v>
      </c>
    </row>
    <row r="64" spans="1:3" ht="12.75" x14ac:dyDescent="0.2">
      <c r="A64" s="22" t="s">
        <v>437</v>
      </c>
      <c r="B64" s="26">
        <v>2430</v>
      </c>
      <c r="C64" s="958">
        <f t="shared" si="0"/>
        <v>100000</v>
      </c>
    </row>
    <row r="65" spans="1:4" ht="12.75" x14ac:dyDescent="0.2">
      <c r="A65" s="25" t="s">
        <v>59</v>
      </c>
      <c r="B65" s="26">
        <v>2466</v>
      </c>
      <c r="C65" s="958">
        <f t="shared" si="0"/>
        <v>100000</v>
      </c>
    </row>
    <row r="66" spans="1:4" ht="12.75" x14ac:dyDescent="0.2">
      <c r="A66" s="25" t="s">
        <v>60</v>
      </c>
      <c r="B66" s="26">
        <v>3543</v>
      </c>
      <c r="C66" s="958">
        <f t="shared" si="0"/>
        <v>100000</v>
      </c>
    </row>
    <row r="67" spans="1:4" ht="12.75" x14ac:dyDescent="0.2">
      <c r="A67" s="25" t="s">
        <v>62</v>
      </c>
      <c r="B67" s="26">
        <v>3531</v>
      </c>
      <c r="C67" s="958">
        <f t="shared" si="0"/>
        <v>100000</v>
      </c>
    </row>
    <row r="68" spans="1:4" ht="12.75" x14ac:dyDescent="0.2">
      <c r="A68" s="25" t="s">
        <v>103</v>
      </c>
      <c r="B68" s="26">
        <v>3526</v>
      </c>
      <c r="C68" s="958">
        <f t="shared" si="0"/>
        <v>100000</v>
      </c>
    </row>
    <row r="69" spans="1:4" ht="12.75" x14ac:dyDescent="0.2">
      <c r="A69" s="25" t="s">
        <v>104</v>
      </c>
      <c r="B69" s="26">
        <v>3535</v>
      </c>
      <c r="C69" s="958">
        <f t="shared" si="0"/>
        <v>100000</v>
      </c>
    </row>
    <row r="70" spans="1:4" ht="12.75" x14ac:dyDescent="0.2">
      <c r="A70" s="945" t="s">
        <v>64</v>
      </c>
      <c r="B70" s="26">
        <v>2008</v>
      </c>
      <c r="C70" s="958">
        <f t="shared" si="0"/>
        <v>100000</v>
      </c>
    </row>
    <row r="71" spans="1:4" ht="12.75" x14ac:dyDescent="0.2">
      <c r="A71" s="25" t="s">
        <v>105</v>
      </c>
      <c r="B71" s="26">
        <v>3542</v>
      </c>
      <c r="C71" s="958">
        <f t="shared" si="0"/>
        <v>100000</v>
      </c>
    </row>
    <row r="72" spans="1:4" ht="12.75" x14ac:dyDescent="0.2">
      <c r="A72" s="25" t="s">
        <v>106</v>
      </c>
      <c r="B72" s="26">
        <v>3528</v>
      </c>
      <c r="C72" s="958">
        <f t="shared" si="0"/>
        <v>100000</v>
      </c>
    </row>
    <row r="73" spans="1:4" ht="12.75" x14ac:dyDescent="0.2">
      <c r="A73" s="25" t="s">
        <v>107</v>
      </c>
      <c r="B73" s="26">
        <v>3534</v>
      </c>
      <c r="C73" s="958">
        <f t="shared" ref="C73:C77" si="1">C$1</f>
        <v>100000</v>
      </c>
    </row>
    <row r="74" spans="1:4" ht="12.75" x14ac:dyDescent="0.2">
      <c r="A74" s="25" t="s">
        <v>108</v>
      </c>
      <c r="B74" s="26">
        <v>3532</v>
      </c>
      <c r="C74" s="958">
        <f t="shared" si="1"/>
        <v>100000</v>
      </c>
    </row>
    <row r="75" spans="1:4" ht="12.75" x14ac:dyDescent="0.2">
      <c r="A75" s="25" t="s">
        <v>65</v>
      </c>
      <c r="B75" s="26">
        <v>3546</v>
      </c>
      <c r="C75" s="958">
        <f t="shared" si="1"/>
        <v>100000</v>
      </c>
    </row>
    <row r="76" spans="1:4" ht="12.75" x14ac:dyDescent="0.2">
      <c r="A76" s="25" t="s">
        <v>109</v>
      </c>
      <c r="B76" s="26">
        <v>3530</v>
      </c>
      <c r="C76" s="958">
        <f t="shared" si="1"/>
        <v>100000</v>
      </c>
    </row>
    <row r="77" spans="1:4" ht="12.75" x14ac:dyDescent="0.2">
      <c r="A77" s="25" t="s">
        <v>67</v>
      </c>
      <c r="B77" s="26">
        <v>2459</v>
      </c>
      <c r="C77" s="958">
        <f t="shared" si="1"/>
        <v>100000</v>
      </c>
    </row>
    <row r="78" spans="1:4" ht="12.75" x14ac:dyDescent="0.2">
      <c r="A78" s="9" t="s">
        <v>846</v>
      </c>
      <c r="B78" s="10">
        <v>4000</v>
      </c>
      <c r="C78" s="958">
        <v>100000</v>
      </c>
      <c r="D78" s="22" t="s">
        <v>1010</v>
      </c>
    </row>
    <row r="79" spans="1:4" ht="12.75" x14ac:dyDescent="0.2">
      <c r="A79" s="25"/>
      <c r="B79" s="26"/>
      <c r="C79" s="23"/>
    </row>
    <row r="80" spans="1:4" ht="12.75" x14ac:dyDescent="0.2">
      <c r="A80" s="24" t="s">
        <v>110</v>
      </c>
      <c r="B80" s="24" t="s">
        <v>110</v>
      </c>
      <c r="C80" s="942">
        <f>SUM(C7:C78)</f>
        <v>7200000</v>
      </c>
    </row>
    <row r="81" spans="1:3" ht="12.75" x14ac:dyDescent="0.2">
      <c r="A81" s="25"/>
      <c r="B81" s="26"/>
      <c r="C81" s="23"/>
    </row>
    <row r="82" spans="1:3" ht="12.75" x14ac:dyDescent="0.2">
      <c r="A82" s="25" t="s">
        <v>75</v>
      </c>
      <c r="B82" s="26">
        <v>5402</v>
      </c>
      <c r="C82" s="958">
        <f>SUM($C$2)</f>
        <v>150000</v>
      </c>
    </row>
    <row r="83" spans="1:3" ht="12.75" x14ac:dyDescent="0.2">
      <c r="A83" s="25" t="s">
        <v>68</v>
      </c>
      <c r="B83" s="26">
        <v>4608</v>
      </c>
      <c r="C83" s="958">
        <f t="shared" ref="C83:C94" si="2">SUM($C$2)</f>
        <v>150000</v>
      </c>
    </row>
    <row r="84" spans="1:3" ht="12.75" x14ac:dyDescent="0.2">
      <c r="A84" s="25" t="s">
        <v>111</v>
      </c>
      <c r="B84" s="26">
        <v>4178</v>
      </c>
      <c r="C84" s="958">
        <f t="shared" si="2"/>
        <v>150000</v>
      </c>
    </row>
    <row r="85" spans="1:3" ht="12.75" x14ac:dyDescent="0.2">
      <c r="A85" s="25" t="s">
        <v>69</v>
      </c>
      <c r="B85" s="26">
        <v>4181</v>
      </c>
      <c r="C85" s="958">
        <f t="shared" si="2"/>
        <v>150000</v>
      </c>
    </row>
    <row r="86" spans="1:3" ht="12.75" x14ac:dyDescent="0.2">
      <c r="A86" s="25" t="s">
        <v>70</v>
      </c>
      <c r="B86" s="26">
        <v>4182</v>
      </c>
      <c r="C86" s="958">
        <f t="shared" si="2"/>
        <v>150000</v>
      </c>
    </row>
    <row r="87" spans="1:3" ht="12.75" x14ac:dyDescent="0.2">
      <c r="A87" s="25" t="s">
        <v>71</v>
      </c>
      <c r="B87" s="38">
        <v>4001</v>
      </c>
      <c r="C87" s="958">
        <f t="shared" si="2"/>
        <v>150000</v>
      </c>
    </row>
    <row r="88" spans="1:3" ht="12.75" x14ac:dyDescent="0.2">
      <c r="A88" s="25" t="s">
        <v>112</v>
      </c>
      <c r="B88" s="26">
        <v>5406</v>
      </c>
      <c r="C88" s="958">
        <f t="shared" si="2"/>
        <v>150000</v>
      </c>
    </row>
    <row r="89" spans="1:3" ht="12.75" x14ac:dyDescent="0.2">
      <c r="A89" s="25" t="s">
        <v>113</v>
      </c>
      <c r="B89" s="26">
        <v>5407</v>
      </c>
      <c r="C89" s="958">
        <f t="shared" si="2"/>
        <v>150000</v>
      </c>
    </row>
    <row r="90" spans="1:3" ht="12.75" x14ac:dyDescent="0.2">
      <c r="A90" s="25" t="s">
        <v>72</v>
      </c>
      <c r="B90" s="26">
        <v>4607</v>
      </c>
      <c r="C90" s="958">
        <f t="shared" si="2"/>
        <v>150000</v>
      </c>
    </row>
    <row r="91" spans="1:3" ht="12.75" x14ac:dyDescent="0.2">
      <c r="A91" s="25" t="s">
        <v>966</v>
      </c>
      <c r="B91" s="38">
        <v>4002</v>
      </c>
      <c r="C91" s="958">
        <f t="shared" si="2"/>
        <v>150000</v>
      </c>
    </row>
    <row r="92" spans="1:3" ht="12.75" x14ac:dyDescent="0.2">
      <c r="A92" s="25" t="s">
        <v>74</v>
      </c>
      <c r="B92" s="26">
        <v>5412</v>
      </c>
      <c r="C92" s="958">
        <f t="shared" si="2"/>
        <v>150000</v>
      </c>
    </row>
    <row r="93" spans="1:3" ht="12.75" x14ac:dyDescent="0.2">
      <c r="A93" s="9" t="s">
        <v>1306</v>
      </c>
      <c r="B93" s="10">
        <v>4003</v>
      </c>
      <c r="C93" s="958">
        <v>150000</v>
      </c>
    </row>
    <row r="94" spans="1:3" ht="12.75" x14ac:dyDescent="0.2">
      <c r="A94" s="25" t="s">
        <v>73</v>
      </c>
      <c r="B94" s="26">
        <v>5414</v>
      </c>
      <c r="C94" s="958">
        <f t="shared" si="2"/>
        <v>150000</v>
      </c>
    </row>
    <row r="95" spans="1:3" ht="12.75" x14ac:dyDescent="0.2">
      <c r="A95" s="9" t="s">
        <v>569</v>
      </c>
      <c r="B95" s="10">
        <v>6905</v>
      </c>
      <c r="C95" s="958">
        <v>150000</v>
      </c>
    </row>
    <row r="96" spans="1:3" ht="12.75" x14ac:dyDescent="0.2">
      <c r="A96" s="25"/>
      <c r="B96" s="26"/>
      <c r="C96" s="23"/>
    </row>
    <row r="97" spans="1:4" ht="12.75" x14ac:dyDescent="0.2">
      <c r="A97" s="24" t="s">
        <v>115</v>
      </c>
      <c r="B97" s="24" t="s">
        <v>115</v>
      </c>
      <c r="C97" s="942">
        <f>SUM(C82:C95)</f>
        <v>2100000</v>
      </c>
    </row>
    <row r="98" spans="1:4" ht="12.75" x14ac:dyDescent="0.2">
      <c r="A98" s="24"/>
      <c r="B98" s="24"/>
      <c r="C98" s="942"/>
    </row>
    <row r="99" spans="1:4" ht="12.75" x14ac:dyDescent="0.2">
      <c r="A99" s="9" t="s">
        <v>114</v>
      </c>
      <c r="B99" s="26">
        <v>4177</v>
      </c>
      <c r="C99" s="958">
        <f t="shared" ref="C99" si="3">SUM($C$2)</f>
        <v>150000</v>
      </c>
      <c r="D99" s="22" t="s">
        <v>1338</v>
      </c>
    </row>
    <row r="100" spans="1:4" ht="12.75" x14ac:dyDescent="0.2">
      <c r="A100" s="1"/>
      <c r="B100" s="24"/>
      <c r="C100" s="942"/>
    </row>
    <row r="101" spans="1:4" ht="12.75" x14ac:dyDescent="0.2">
      <c r="A101" s="1" t="s">
        <v>848</v>
      </c>
      <c r="B101" s="1" t="s">
        <v>849</v>
      </c>
      <c r="C101" s="942">
        <f>C99</f>
        <v>150000</v>
      </c>
    </row>
    <row r="102" spans="1:4" ht="12.75" x14ac:dyDescent="0.2">
      <c r="A102" s="25"/>
      <c r="B102" s="26"/>
      <c r="C102" s="23"/>
    </row>
    <row r="103" spans="1:4" ht="12.75" x14ac:dyDescent="0.2">
      <c r="A103" s="24" t="s">
        <v>116</v>
      </c>
      <c r="B103" s="24" t="s">
        <v>117</v>
      </c>
      <c r="C103" s="942">
        <f>C97+C80+C101</f>
        <v>9450000</v>
      </c>
      <c r="D103" s="22" t="s">
        <v>1011</v>
      </c>
    </row>
    <row r="107" spans="1:4" ht="12.75" x14ac:dyDescent="0.2">
      <c r="C107" s="942"/>
      <c r="D107" s="964"/>
    </row>
    <row r="108" spans="1:4" ht="12.75" x14ac:dyDescent="0.2">
      <c r="C108" s="23"/>
    </row>
    <row r="109" spans="1:4" ht="12.75" x14ac:dyDescent="0.2">
      <c r="A109" s="59" t="s">
        <v>238</v>
      </c>
      <c r="B109" s="59">
        <v>206189</v>
      </c>
    </row>
    <row r="110" spans="1:4" ht="12.75" x14ac:dyDescent="0.2">
      <c r="A110" s="59" t="s">
        <v>1301</v>
      </c>
      <c r="B110" s="59">
        <v>2014</v>
      </c>
    </row>
    <row r="111" spans="1:4" ht="12.75" x14ac:dyDescent="0.2">
      <c r="A111" s="59" t="s">
        <v>10</v>
      </c>
      <c r="B111" s="59">
        <v>2012</v>
      </c>
    </row>
    <row r="112" spans="1:4" ht="12.75" x14ac:dyDescent="0.2">
      <c r="A112" s="59" t="s">
        <v>73</v>
      </c>
      <c r="B112" s="59">
        <v>5414</v>
      </c>
    </row>
    <row r="113" spans="1:2" ht="12.75" x14ac:dyDescent="0.2">
      <c r="A113" s="59" t="s">
        <v>846</v>
      </c>
      <c r="B113" s="59">
        <v>4000</v>
      </c>
    </row>
    <row r="114" spans="1:2" ht="12.75" x14ac:dyDescent="0.2">
      <c r="A114" s="59" t="s">
        <v>11</v>
      </c>
      <c r="B114" s="59">
        <v>2443</v>
      </c>
    </row>
    <row r="115" spans="1:2" ht="12.75" x14ac:dyDescent="0.2">
      <c r="A115" s="59" t="s">
        <v>94</v>
      </c>
      <c r="B115" s="59">
        <v>2442</v>
      </c>
    </row>
    <row r="116" spans="1:2" ht="12.75" x14ac:dyDescent="0.2">
      <c r="A116" s="59" t="s">
        <v>241</v>
      </c>
      <c r="B116" s="59" t="s">
        <v>242</v>
      </c>
    </row>
    <row r="117" spans="1:2" ht="12.75" x14ac:dyDescent="0.2">
      <c r="A117" s="59" t="s">
        <v>13</v>
      </c>
      <c r="B117" s="59">
        <v>2629</v>
      </c>
    </row>
    <row r="118" spans="1:2" ht="12.75" x14ac:dyDescent="0.2">
      <c r="A118" s="59" t="s">
        <v>14</v>
      </c>
      <c r="B118" s="59">
        <v>2509</v>
      </c>
    </row>
    <row r="119" spans="1:2" ht="12.75" x14ac:dyDescent="0.2">
      <c r="A119" s="59" t="s">
        <v>2</v>
      </c>
      <c r="B119" s="59">
        <v>1014</v>
      </c>
    </row>
    <row r="120" spans="1:2" ht="12.75" x14ac:dyDescent="0.2">
      <c r="A120" s="59" t="s">
        <v>15</v>
      </c>
      <c r="B120" s="59">
        <v>2005</v>
      </c>
    </row>
    <row r="121" spans="1:2" ht="12.75" x14ac:dyDescent="0.2">
      <c r="A121" s="59" t="s">
        <v>16</v>
      </c>
      <c r="B121" s="59">
        <v>2464</v>
      </c>
    </row>
    <row r="122" spans="1:2" ht="12.75" x14ac:dyDescent="0.2">
      <c r="A122" s="59" t="s">
        <v>706</v>
      </c>
      <c r="B122" s="59" t="s">
        <v>708</v>
      </c>
    </row>
    <row r="123" spans="1:2" ht="12.75" x14ac:dyDescent="0.2">
      <c r="A123" s="59" t="s">
        <v>17</v>
      </c>
      <c r="B123" s="59">
        <v>2004</v>
      </c>
    </row>
    <row r="124" spans="1:2" ht="12.75" x14ac:dyDescent="0.2">
      <c r="A124" s="59" t="s">
        <v>18</v>
      </c>
      <c r="B124" s="59">
        <v>2405</v>
      </c>
    </row>
    <row r="125" spans="1:2" ht="12.75" x14ac:dyDescent="0.2">
      <c r="A125" s="59" t="s">
        <v>243</v>
      </c>
      <c r="B125" s="59" t="s">
        <v>245</v>
      </c>
    </row>
    <row r="126" spans="1:2" ht="12.75" x14ac:dyDescent="0.2">
      <c r="A126" s="59" t="s">
        <v>250</v>
      </c>
      <c r="B126" s="59" t="s">
        <v>709</v>
      </c>
    </row>
    <row r="127" spans="1:2" ht="12.75" x14ac:dyDescent="0.2">
      <c r="A127" s="59" t="s">
        <v>246</v>
      </c>
      <c r="B127" s="59" t="s">
        <v>247</v>
      </c>
    </row>
    <row r="128" spans="1:2" ht="12.75" x14ac:dyDescent="0.2">
      <c r="A128" s="59" t="s">
        <v>248</v>
      </c>
      <c r="B128" s="59" t="s">
        <v>249</v>
      </c>
    </row>
    <row r="129" spans="1:2" ht="12.75" x14ac:dyDescent="0.2">
      <c r="A129" s="59" t="s">
        <v>19</v>
      </c>
      <c r="B129" s="59">
        <v>2011</v>
      </c>
    </row>
    <row r="130" spans="1:2" ht="12.75" x14ac:dyDescent="0.2">
      <c r="A130" s="59" t="s">
        <v>251</v>
      </c>
      <c r="B130" s="59" t="s">
        <v>252</v>
      </c>
    </row>
    <row r="131" spans="1:2" ht="12.75" x14ac:dyDescent="0.2">
      <c r="A131" s="59" t="s">
        <v>20</v>
      </c>
      <c r="B131" s="59">
        <v>5201</v>
      </c>
    </row>
    <row r="132" spans="1:2" ht="12.75" x14ac:dyDescent="0.2">
      <c r="A132" s="59" t="s">
        <v>253</v>
      </c>
      <c r="B132" s="59">
        <v>206124</v>
      </c>
    </row>
    <row r="133" spans="1:2" ht="12.75" x14ac:dyDescent="0.2">
      <c r="A133" s="59" t="s">
        <v>21</v>
      </c>
      <c r="B133" s="59">
        <v>2433</v>
      </c>
    </row>
    <row r="134" spans="1:2" x14ac:dyDescent="0.25">
      <c r="A134" s="59" t="s">
        <v>22</v>
      </c>
      <c r="B134" s="59">
        <v>2432</v>
      </c>
    </row>
    <row r="135" spans="1:2" x14ac:dyDescent="0.25">
      <c r="A135" s="59" t="s">
        <v>256</v>
      </c>
      <c r="B135" s="59" t="s">
        <v>258</v>
      </c>
    </row>
    <row r="136" spans="1:2" x14ac:dyDescent="0.25">
      <c r="A136" s="59" t="s">
        <v>188</v>
      </c>
      <c r="B136" s="59">
        <v>2447</v>
      </c>
    </row>
    <row r="137" spans="1:2" x14ac:dyDescent="0.25">
      <c r="A137" s="59" t="s">
        <v>23</v>
      </c>
      <c r="B137" s="59">
        <v>2512</v>
      </c>
    </row>
    <row r="138" spans="1:2" x14ac:dyDescent="0.25">
      <c r="A138" s="59" t="s">
        <v>259</v>
      </c>
      <c r="B138" s="59">
        <v>206126</v>
      </c>
    </row>
    <row r="139" spans="1:2" x14ac:dyDescent="0.25">
      <c r="A139" s="59" t="s">
        <v>261</v>
      </c>
      <c r="B139" s="59">
        <v>206111</v>
      </c>
    </row>
    <row r="140" spans="1:2" x14ac:dyDescent="0.25">
      <c r="A140" s="59" t="s">
        <v>263</v>
      </c>
      <c r="B140" s="59">
        <v>206091</v>
      </c>
    </row>
    <row r="141" spans="1:2" x14ac:dyDescent="0.25">
      <c r="A141" s="59" t="s">
        <v>24</v>
      </c>
      <c r="B141" s="59">
        <v>2456</v>
      </c>
    </row>
    <row r="142" spans="1:2" x14ac:dyDescent="0.25">
      <c r="A142" s="59" t="s">
        <v>3</v>
      </c>
      <c r="B142" s="59">
        <v>1017</v>
      </c>
    </row>
    <row r="143" spans="1:2" x14ac:dyDescent="0.25">
      <c r="A143" s="59" t="s">
        <v>25</v>
      </c>
      <c r="B143" s="59">
        <v>2449</v>
      </c>
    </row>
    <row r="144" spans="1:2" x14ac:dyDescent="0.25">
      <c r="A144" s="59" t="s">
        <v>26</v>
      </c>
      <c r="B144" s="59">
        <v>2448</v>
      </c>
    </row>
    <row r="145" spans="1:2" x14ac:dyDescent="0.25">
      <c r="A145" s="59" t="s">
        <v>4</v>
      </c>
      <c r="B145" s="59">
        <v>1006</v>
      </c>
    </row>
    <row r="146" spans="1:2" x14ac:dyDescent="0.25">
      <c r="A146" s="59" t="s">
        <v>27</v>
      </c>
      <c r="B146" s="59">
        <v>2467</v>
      </c>
    </row>
    <row r="147" spans="1:2" x14ac:dyDescent="0.25">
      <c r="A147" s="59" t="s">
        <v>1373</v>
      </c>
      <c r="B147" s="59">
        <v>484300</v>
      </c>
    </row>
    <row r="148" spans="1:2" x14ac:dyDescent="0.25">
      <c r="A148" s="59" t="s">
        <v>75</v>
      </c>
      <c r="B148" s="59">
        <v>5402</v>
      </c>
    </row>
    <row r="149" spans="1:2" x14ac:dyDescent="0.25">
      <c r="A149" s="59" t="s">
        <v>28</v>
      </c>
      <c r="B149" s="59">
        <v>2455</v>
      </c>
    </row>
    <row r="150" spans="1:2" x14ac:dyDescent="0.25">
      <c r="A150" s="59" t="s">
        <v>29</v>
      </c>
      <c r="B150" s="59">
        <v>5203</v>
      </c>
    </row>
    <row r="151" spans="1:2" x14ac:dyDescent="0.25">
      <c r="A151" s="59" t="s">
        <v>30</v>
      </c>
      <c r="B151" s="59">
        <v>2451</v>
      </c>
    </row>
    <row r="152" spans="1:2" x14ac:dyDescent="0.25">
      <c r="A152" s="59" t="s">
        <v>265</v>
      </c>
      <c r="B152" s="59" t="s">
        <v>266</v>
      </c>
    </row>
    <row r="153" spans="1:2" x14ac:dyDescent="0.25">
      <c r="A153" s="59" t="s">
        <v>267</v>
      </c>
      <c r="B153" s="59">
        <v>206128</v>
      </c>
    </row>
    <row r="154" spans="1:2" x14ac:dyDescent="0.25">
      <c r="A154" s="59" t="s">
        <v>438</v>
      </c>
      <c r="B154" s="59">
        <v>4002</v>
      </c>
    </row>
    <row r="155" spans="1:2" x14ac:dyDescent="0.25">
      <c r="A155" s="59" t="s">
        <v>441</v>
      </c>
      <c r="B155" s="59">
        <v>2430</v>
      </c>
    </row>
    <row r="156" spans="1:2" x14ac:dyDescent="0.25">
      <c r="A156" s="59" t="s">
        <v>269</v>
      </c>
      <c r="B156" s="59" t="s">
        <v>710</v>
      </c>
    </row>
    <row r="157" spans="1:2" x14ac:dyDescent="0.25">
      <c r="A157" s="59" t="s">
        <v>711</v>
      </c>
      <c r="B157" s="59" t="s">
        <v>712</v>
      </c>
    </row>
    <row r="158" spans="1:2" x14ac:dyDescent="0.25">
      <c r="A158" s="59" t="s">
        <v>68</v>
      </c>
      <c r="B158" s="59">
        <v>4608</v>
      </c>
    </row>
    <row r="159" spans="1:2" x14ac:dyDescent="0.25">
      <c r="A159" s="59" t="s">
        <v>31</v>
      </c>
      <c r="B159" s="59">
        <v>2409</v>
      </c>
    </row>
    <row r="160" spans="1:2" x14ac:dyDescent="0.25">
      <c r="A160" s="59" t="s">
        <v>270</v>
      </c>
      <c r="B160" s="59" t="s">
        <v>271</v>
      </c>
    </row>
    <row r="161" spans="1:2" x14ac:dyDescent="0.25">
      <c r="A161" s="59" t="s">
        <v>1283</v>
      </c>
      <c r="B161" s="59" t="s">
        <v>714</v>
      </c>
    </row>
    <row r="162" spans="1:2" x14ac:dyDescent="0.25">
      <c r="A162" s="59" t="s">
        <v>525</v>
      </c>
      <c r="B162" s="59">
        <v>205921</v>
      </c>
    </row>
    <row r="163" spans="1:2" x14ac:dyDescent="0.25">
      <c r="A163" s="59" t="s">
        <v>1256</v>
      </c>
      <c r="B163" s="59" t="s">
        <v>719</v>
      </c>
    </row>
    <row r="164" spans="1:2" x14ac:dyDescent="0.25">
      <c r="A164" s="59" t="s">
        <v>1375</v>
      </c>
      <c r="B164" s="59">
        <v>398922</v>
      </c>
    </row>
    <row r="165" spans="1:2" x14ac:dyDescent="0.25">
      <c r="A165" s="59" t="s">
        <v>1374</v>
      </c>
      <c r="B165" s="59">
        <v>479804</v>
      </c>
    </row>
    <row r="166" spans="1:2" x14ac:dyDescent="0.25">
      <c r="A166" s="59" t="s">
        <v>524</v>
      </c>
      <c r="B166" s="59">
        <v>205999</v>
      </c>
    </row>
    <row r="167" spans="1:2" x14ac:dyDescent="0.25">
      <c r="A167" s="59" t="s">
        <v>523</v>
      </c>
      <c r="B167" s="59" t="s">
        <v>272</v>
      </c>
    </row>
    <row r="168" spans="1:2" x14ac:dyDescent="0.25">
      <c r="A168" s="59" t="s">
        <v>1257</v>
      </c>
      <c r="B168" s="59">
        <v>206065</v>
      </c>
    </row>
    <row r="169" spans="1:2" x14ac:dyDescent="0.25">
      <c r="A169" s="59" t="s">
        <v>1376</v>
      </c>
      <c r="B169" s="59">
        <v>314105</v>
      </c>
    </row>
    <row r="170" spans="1:2" x14ac:dyDescent="0.25">
      <c r="A170" s="59" t="s">
        <v>1400</v>
      </c>
      <c r="B170" s="59" t="s">
        <v>277</v>
      </c>
    </row>
    <row r="171" spans="1:2" x14ac:dyDescent="0.25">
      <c r="A171" s="59" t="s">
        <v>1377</v>
      </c>
      <c r="B171" s="59">
        <v>206076</v>
      </c>
    </row>
    <row r="172" spans="1:2" x14ac:dyDescent="0.25">
      <c r="A172" s="59" t="s">
        <v>561</v>
      </c>
      <c r="B172" s="59" t="s">
        <v>727</v>
      </c>
    </row>
    <row r="173" spans="1:2" x14ac:dyDescent="0.25">
      <c r="A173" s="59" t="s">
        <v>1399</v>
      </c>
      <c r="B173" s="59" t="s">
        <v>730</v>
      </c>
    </row>
    <row r="174" spans="1:2" x14ac:dyDescent="0.25">
      <c r="A174" s="59" t="s">
        <v>562</v>
      </c>
      <c r="B174" s="59" t="s">
        <v>275</v>
      </c>
    </row>
    <row r="175" spans="1:2" x14ac:dyDescent="0.25">
      <c r="A175" s="59" t="s">
        <v>1258</v>
      </c>
      <c r="B175" s="59" t="s">
        <v>724</v>
      </c>
    </row>
    <row r="176" spans="1:2" x14ac:dyDescent="0.25">
      <c r="A176" s="59" t="s">
        <v>1259</v>
      </c>
      <c r="B176" s="59">
        <v>205919</v>
      </c>
    </row>
    <row r="177" spans="1:2" x14ac:dyDescent="0.25">
      <c r="A177" s="59" t="s">
        <v>526</v>
      </c>
      <c r="B177" s="59" t="s">
        <v>276</v>
      </c>
    </row>
    <row r="178" spans="1:2" x14ac:dyDescent="0.25">
      <c r="A178" s="59" t="s">
        <v>1378</v>
      </c>
      <c r="B178" s="59">
        <v>477405</v>
      </c>
    </row>
    <row r="179" spans="1:2" x14ac:dyDescent="0.25">
      <c r="A179" s="59" t="s">
        <v>1260</v>
      </c>
      <c r="B179" s="59" t="s">
        <v>734</v>
      </c>
    </row>
    <row r="180" spans="1:2" x14ac:dyDescent="0.25">
      <c r="A180" s="59" t="s">
        <v>1379</v>
      </c>
      <c r="B180" s="59">
        <v>401536</v>
      </c>
    </row>
    <row r="181" spans="1:2" x14ac:dyDescent="0.25">
      <c r="A181" s="59" t="s">
        <v>1261</v>
      </c>
      <c r="B181" s="59" t="s">
        <v>736</v>
      </c>
    </row>
    <row r="182" spans="1:2" x14ac:dyDescent="0.25">
      <c r="A182" s="59" t="s">
        <v>1263</v>
      </c>
      <c r="B182" s="59" t="s">
        <v>739</v>
      </c>
    </row>
    <row r="183" spans="1:2" x14ac:dyDescent="0.25">
      <c r="A183" s="59" t="s">
        <v>1262</v>
      </c>
      <c r="B183" s="59">
        <v>205849</v>
      </c>
    </row>
    <row r="184" spans="1:2" x14ac:dyDescent="0.25">
      <c r="A184" s="59" t="s">
        <v>566</v>
      </c>
      <c r="B184" s="59" t="s">
        <v>273</v>
      </c>
    </row>
    <row r="185" spans="1:2" x14ac:dyDescent="0.25">
      <c r="A185" s="59" t="s">
        <v>1264</v>
      </c>
      <c r="B185" s="59" t="s">
        <v>741</v>
      </c>
    </row>
    <row r="186" spans="1:2" x14ac:dyDescent="0.25">
      <c r="A186" s="59" t="s">
        <v>1268</v>
      </c>
      <c r="B186" s="59">
        <v>205922</v>
      </c>
    </row>
    <row r="187" spans="1:2" x14ac:dyDescent="0.25">
      <c r="A187" s="59" t="s">
        <v>1267</v>
      </c>
      <c r="B187" s="59">
        <v>205881</v>
      </c>
    </row>
    <row r="188" spans="1:2" x14ac:dyDescent="0.25">
      <c r="A188" s="59" t="s">
        <v>1265</v>
      </c>
      <c r="B188" s="59" t="s">
        <v>744</v>
      </c>
    </row>
    <row r="189" spans="1:2" x14ac:dyDescent="0.25">
      <c r="A189" s="59" t="s">
        <v>527</v>
      </c>
      <c r="B189" s="59" t="s">
        <v>278</v>
      </c>
    </row>
    <row r="190" spans="1:2" x14ac:dyDescent="0.25">
      <c r="A190" s="59" t="s">
        <v>1266</v>
      </c>
      <c r="B190" s="59" t="s">
        <v>749</v>
      </c>
    </row>
    <row r="191" spans="1:2" x14ac:dyDescent="0.25">
      <c r="A191" s="59" t="s">
        <v>1380</v>
      </c>
      <c r="B191" s="59">
        <v>462623</v>
      </c>
    </row>
    <row r="192" spans="1:2" x14ac:dyDescent="0.25">
      <c r="A192" s="59" t="s">
        <v>750</v>
      </c>
      <c r="B192" s="59" t="s">
        <v>751</v>
      </c>
    </row>
    <row r="193" spans="1:2" x14ac:dyDescent="0.25">
      <c r="A193" s="59" t="s">
        <v>1269</v>
      </c>
      <c r="B193" s="59" t="s">
        <v>754</v>
      </c>
    </row>
    <row r="194" spans="1:2" x14ac:dyDescent="0.25">
      <c r="A194" s="59" t="s">
        <v>528</v>
      </c>
      <c r="B194" s="59">
        <v>2</v>
      </c>
    </row>
    <row r="195" spans="1:2" x14ac:dyDescent="0.25">
      <c r="A195" s="59" t="s">
        <v>1270</v>
      </c>
      <c r="B195" s="59" t="s">
        <v>621</v>
      </c>
    </row>
    <row r="196" spans="1:2" x14ac:dyDescent="0.25">
      <c r="A196" s="59" t="s">
        <v>1271</v>
      </c>
      <c r="B196" s="59" t="s">
        <v>639</v>
      </c>
    </row>
    <row r="197" spans="1:2" x14ac:dyDescent="0.25">
      <c r="A197" s="59" t="s">
        <v>1271</v>
      </c>
      <c r="B197" s="59">
        <v>205878</v>
      </c>
    </row>
    <row r="198" spans="1:2" x14ac:dyDescent="0.25">
      <c r="A198" s="59" t="s">
        <v>529</v>
      </c>
      <c r="B198" s="59">
        <v>205956</v>
      </c>
    </row>
    <row r="199" spans="1:2" x14ac:dyDescent="0.25">
      <c r="A199" s="59" t="s">
        <v>1273</v>
      </c>
      <c r="B199" s="59" t="s">
        <v>759</v>
      </c>
    </row>
    <row r="200" spans="1:2" x14ac:dyDescent="0.25">
      <c r="A200" s="59" t="s">
        <v>1382</v>
      </c>
      <c r="B200" s="59">
        <v>472319</v>
      </c>
    </row>
    <row r="201" spans="1:2" x14ac:dyDescent="0.25">
      <c r="A201" s="59" t="s">
        <v>1272</v>
      </c>
      <c r="B201" s="59">
        <v>260849</v>
      </c>
    </row>
    <row r="202" spans="1:2" x14ac:dyDescent="0.25">
      <c r="A202" s="59" t="s">
        <v>1383</v>
      </c>
      <c r="B202" s="59">
        <v>482805</v>
      </c>
    </row>
    <row r="203" spans="1:2" x14ac:dyDescent="0.25">
      <c r="A203" s="59" t="s">
        <v>1381</v>
      </c>
      <c r="B203" s="59">
        <v>447579</v>
      </c>
    </row>
    <row r="204" spans="1:2" x14ac:dyDescent="0.25">
      <c r="A204" s="59" t="s">
        <v>1274</v>
      </c>
      <c r="B204" s="59" t="s">
        <v>280</v>
      </c>
    </row>
    <row r="205" spans="1:2" x14ac:dyDescent="0.25">
      <c r="A205" s="59" t="s">
        <v>1275</v>
      </c>
      <c r="B205" s="59" t="s">
        <v>762</v>
      </c>
    </row>
    <row r="206" spans="1:2" x14ac:dyDescent="0.25">
      <c r="A206" s="59" t="s">
        <v>1277</v>
      </c>
      <c r="B206" s="59" t="s">
        <v>766</v>
      </c>
    </row>
    <row r="207" spans="1:2" x14ac:dyDescent="0.25">
      <c r="A207" s="59" t="s">
        <v>1276</v>
      </c>
      <c r="B207" s="59" t="s">
        <v>764</v>
      </c>
    </row>
    <row r="208" spans="1:2" x14ac:dyDescent="0.25">
      <c r="A208" s="59" t="s">
        <v>1279</v>
      </c>
      <c r="B208" s="59" t="s">
        <v>771</v>
      </c>
    </row>
    <row r="209" spans="1:2" x14ac:dyDescent="0.25">
      <c r="A209" s="437" t="s">
        <v>1278</v>
      </c>
      <c r="B209" s="529" t="s">
        <v>768</v>
      </c>
    </row>
    <row r="210" spans="1:2" x14ac:dyDescent="0.25">
      <c r="A210" s="437" t="s">
        <v>564</v>
      </c>
      <c r="B210" s="529" t="s">
        <v>281</v>
      </c>
    </row>
    <row r="211" spans="1:2" x14ac:dyDescent="0.25">
      <c r="A211" s="59" t="s">
        <v>1284</v>
      </c>
      <c r="B211" s="59" t="s">
        <v>774</v>
      </c>
    </row>
    <row r="212" spans="1:2" x14ac:dyDescent="0.25">
      <c r="A212" s="59" t="s">
        <v>1384</v>
      </c>
      <c r="B212" s="59">
        <v>484039</v>
      </c>
    </row>
    <row r="213" spans="1:2" x14ac:dyDescent="0.25">
      <c r="A213" s="59" t="s">
        <v>1285</v>
      </c>
      <c r="B213" s="59" t="s">
        <v>776</v>
      </c>
    </row>
    <row r="214" spans="1:2" x14ac:dyDescent="0.25">
      <c r="A214" s="59" t="s">
        <v>1385</v>
      </c>
      <c r="B214" s="59">
        <v>343478</v>
      </c>
    </row>
    <row r="215" spans="1:2" x14ac:dyDescent="0.25">
      <c r="A215" s="59" t="s">
        <v>532</v>
      </c>
      <c r="B215" s="59" t="s">
        <v>283</v>
      </c>
    </row>
    <row r="216" spans="1:2" x14ac:dyDescent="0.25">
      <c r="A216" s="59" t="s">
        <v>1280</v>
      </c>
      <c r="B216" s="59">
        <v>206031</v>
      </c>
    </row>
    <row r="217" spans="1:2" x14ac:dyDescent="0.25">
      <c r="A217" s="59" t="s">
        <v>531</v>
      </c>
      <c r="B217" s="59" t="s">
        <v>284</v>
      </c>
    </row>
    <row r="218" spans="1:2" x14ac:dyDescent="0.25">
      <c r="A218" s="59" t="s">
        <v>530</v>
      </c>
      <c r="B218" s="59" t="s">
        <v>282</v>
      </c>
    </row>
    <row r="219" spans="1:2" x14ac:dyDescent="0.25">
      <c r="A219" s="59" t="s">
        <v>1281</v>
      </c>
      <c r="B219" s="59" t="s">
        <v>781</v>
      </c>
    </row>
    <row r="220" spans="1:2" x14ac:dyDescent="0.25">
      <c r="A220" s="59" t="s">
        <v>1255</v>
      </c>
      <c r="B220" s="59" t="s">
        <v>285</v>
      </c>
    </row>
    <row r="221" spans="1:2" x14ac:dyDescent="0.25">
      <c r="A221" s="59" t="s">
        <v>1289</v>
      </c>
      <c r="B221" s="59">
        <v>260848</v>
      </c>
    </row>
    <row r="222" spans="1:2" x14ac:dyDescent="0.25">
      <c r="A222" s="59" t="s">
        <v>565</v>
      </c>
      <c r="B222" s="59">
        <v>206043</v>
      </c>
    </row>
    <row r="223" spans="1:2" x14ac:dyDescent="0.25">
      <c r="A223" s="59" t="s">
        <v>533</v>
      </c>
      <c r="B223" s="59" t="s">
        <v>286</v>
      </c>
    </row>
    <row r="224" spans="1:2" x14ac:dyDescent="0.25">
      <c r="A224" s="59" t="s">
        <v>533</v>
      </c>
      <c r="B224" s="59">
        <v>505502</v>
      </c>
    </row>
    <row r="225" spans="1:2" x14ac:dyDescent="0.25">
      <c r="A225" s="59" t="s">
        <v>563</v>
      </c>
      <c r="B225" s="59">
        <v>205978</v>
      </c>
    </row>
    <row r="226" spans="1:2" x14ac:dyDescent="0.25">
      <c r="A226" s="59" t="s">
        <v>1296</v>
      </c>
      <c r="B226" s="59">
        <v>435150</v>
      </c>
    </row>
    <row r="227" spans="1:2" x14ac:dyDescent="0.25">
      <c r="A227" s="59" t="s">
        <v>1288</v>
      </c>
      <c r="B227" s="59">
        <v>206067</v>
      </c>
    </row>
    <row r="228" spans="1:2" x14ac:dyDescent="0.25">
      <c r="A228" s="59" t="s">
        <v>534</v>
      </c>
      <c r="B228" s="59" t="s">
        <v>287</v>
      </c>
    </row>
    <row r="229" spans="1:2" x14ac:dyDescent="0.25">
      <c r="A229" s="59" t="s">
        <v>1282</v>
      </c>
      <c r="B229" s="59" t="s">
        <v>279</v>
      </c>
    </row>
    <row r="230" spans="1:2" x14ac:dyDescent="0.25">
      <c r="A230" s="59" t="s">
        <v>535</v>
      </c>
      <c r="B230" s="59" t="s">
        <v>288</v>
      </c>
    </row>
    <row r="231" spans="1:2" x14ac:dyDescent="0.25">
      <c r="A231" s="59" t="s">
        <v>1286</v>
      </c>
      <c r="B231" s="59" t="s">
        <v>793</v>
      </c>
    </row>
    <row r="232" spans="1:2" x14ac:dyDescent="0.25">
      <c r="A232" s="59" t="s">
        <v>1386</v>
      </c>
      <c r="B232" s="59">
        <v>414019</v>
      </c>
    </row>
    <row r="233" spans="1:2" x14ac:dyDescent="0.25">
      <c r="A233" s="59" t="s">
        <v>567</v>
      </c>
      <c r="B233" s="59" t="s">
        <v>274</v>
      </c>
    </row>
    <row r="234" spans="1:2" x14ac:dyDescent="0.25">
      <c r="A234" s="59" t="s">
        <v>1387</v>
      </c>
      <c r="B234" s="59">
        <v>458078</v>
      </c>
    </row>
    <row r="235" spans="1:2" x14ac:dyDescent="0.25">
      <c r="A235" s="59" t="s">
        <v>1287</v>
      </c>
      <c r="B235" s="59" t="s">
        <v>795</v>
      </c>
    </row>
    <row r="236" spans="1:2" x14ac:dyDescent="0.25">
      <c r="A236" s="59" t="s">
        <v>289</v>
      </c>
      <c r="B236" s="59" t="s">
        <v>290</v>
      </c>
    </row>
    <row r="237" spans="1:2" x14ac:dyDescent="0.25">
      <c r="A237" s="59" t="s">
        <v>1306</v>
      </c>
      <c r="B237" s="59">
        <v>4003</v>
      </c>
    </row>
    <row r="238" spans="1:2" x14ac:dyDescent="0.25">
      <c r="A238" s="59" t="s">
        <v>797</v>
      </c>
      <c r="B238" s="59" t="s">
        <v>798</v>
      </c>
    </row>
    <row r="239" spans="1:2" x14ac:dyDescent="0.25">
      <c r="A239" s="59" t="s">
        <v>291</v>
      </c>
      <c r="B239" s="59" t="s">
        <v>293</v>
      </c>
    </row>
    <row r="240" spans="1:2" x14ac:dyDescent="0.25">
      <c r="A240" s="59" t="s">
        <v>111</v>
      </c>
      <c r="B240" s="59">
        <v>4178</v>
      </c>
    </row>
    <row r="241" spans="1:2" x14ac:dyDescent="0.25">
      <c r="A241" s="59" t="s">
        <v>98</v>
      </c>
      <c r="B241" s="59">
        <v>3158</v>
      </c>
    </row>
    <row r="242" spans="1:2" x14ac:dyDescent="0.25">
      <c r="A242" s="59" t="s">
        <v>32</v>
      </c>
      <c r="B242" s="59">
        <v>2619</v>
      </c>
    </row>
    <row r="243" spans="1:2" x14ac:dyDescent="0.25">
      <c r="A243" s="59" t="s">
        <v>1388</v>
      </c>
      <c r="B243" s="59">
        <v>479542</v>
      </c>
    </row>
    <row r="244" spans="1:2" x14ac:dyDescent="0.25">
      <c r="A244" s="59" t="s">
        <v>1389</v>
      </c>
      <c r="B244" s="59" t="s">
        <v>1390</v>
      </c>
    </row>
    <row r="245" spans="1:2" x14ac:dyDescent="0.25">
      <c r="A245" s="59" t="s">
        <v>799</v>
      </c>
      <c r="B245" s="59" t="s">
        <v>800</v>
      </c>
    </row>
    <row r="246" spans="1:2" x14ac:dyDescent="0.25">
      <c r="A246" s="59" t="s">
        <v>1391</v>
      </c>
      <c r="B246" s="59">
        <v>487369</v>
      </c>
    </row>
    <row r="247" spans="1:2" x14ac:dyDescent="0.25">
      <c r="A247" s="59" t="s">
        <v>1392</v>
      </c>
      <c r="B247" s="59">
        <v>477763</v>
      </c>
    </row>
    <row r="248" spans="1:2" x14ac:dyDescent="0.25">
      <c r="A248" s="59" t="s">
        <v>294</v>
      </c>
      <c r="B248" s="59" t="s">
        <v>295</v>
      </c>
    </row>
    <row r="249" spans="1:2" x14ac:dyDescent="0.25">
      <c r="A249" s="59" t="s">
        <v>296</v>
      </c>
      <c r="B249" s="59">
        <v>258417</v>
      </c>
    </row>
    <row r="250" spans="1:2" x14ac:dyDescent="0.25">
      <c r="A250" s="59" t="s">
        <v>298</v>
      </c>
      <c r="B250" s="59" t="s">
        <v>300</v>
      </c>
    </row>
    <row r="251" spans="1:2" x14ac:dyDescent="0.25">
      <c r="A251" s="59" t="s">
        <v>301</v>
      </c>
      <c r="B251" s="59" t="s">
        <v>303</v>
      </c>
    </row>
    <row r="252" spans="1:2" x14ac:dyDescent="0.25">
      <c r="A252" s="59" t="s">
        <v>33</v>
      </c>
      <c r="B252" s="59">
        <v>2518</v>
      </c>
    </row>
    <row r="253" spans="1:2" x14ac:dyDescent="0.25">
      <c r="A253" s="59" t="s">
        <v>801</v>
      </c>
      <c r="B253" s="59" t="s">
        <v>802</v>
      </c>
    </row>
    <row r="254" spans="1:2" x14ac:dyDescent="0.25">
      <c r="A254" s="59" t="s">
        <v>304</v>
      </c>
      <c r="B254" s="59">
        <v>206106</v>
      </c>
    </row>
    <row r="255" spans="1:2" x14ac:dyDescent="0.25">
      <c r="A255" s="59" t="s">
        <v>306</v>
      </c>
      <c r="B255" s="59" t="s">
        <v>307</v>
      </c>
    </row>
    <row r="256" spans="1:2" x14ac:dyDescent="0.25">
      <c r="A256" s="59" t="s">
        <v>803</v>
      </c>
      <c r="B256" s="59" t="s">
        <v>804</v>
      </c>
    </row>
    <row r="257" spans="1:2" x14ac:dyDescent="0.25">
      <c r="A257" s="59" t="s">
        <v>34</v>
      </c>
      <c r="B257" s="59">
        <v>2457</v>
      </c>
    </row>
    <row r="258" spans="1:2" x14ac:dyDescent="0.25">
      <c r="A258" s="59" t="s">
        <v>99</v>
      </c>
      <c r="B258" s="59">
        <v>2010</v>
      </c>
    </row>
    <row r="259" spans="1:2" x14ac:dyDescent="0.25">
      <c r="A259" s="59" t="s">
        <v>35</v>
      </c>
      <c r="B259" s="59">
        <v>2002</v>
      </c>
    </row>
    <row r="260" spans="1:2" x14ac:dyDescent="0.25">
      <c r="A260" s="59" t="s">
        <v>36</v>
      </c>
      <c r="B260" s="59">
        <v>3544</v>
      </c>
    </row>
    <row r="261" spans="1:2" x14ac:dyDescent="0.25">
      <c r="A261" s="59" t="s">
        <v>5</v>
      </c>
      <c r="B261" s="59">
        <v>1008</v>
      </c>
    </row>
    <row r="262" spans="1:2" x14ac:dyDescent="0.25">
      <c r="A262" s="59" t="s">
        <v>308</v>
      </c>
      <c r="B262" s="59" t="s">
        <v>309</v>
      </c>
    </row>
    <row r="263" spans="1:2" x14ac:dyDescent="0.25">
      <c r="A263" s="59" t="s">
        <v>100</v>
      </c>
      <c r="B263" s="59">
        <v>2006</v>
      </c>
    </row>
    <row r="264" spans="1:2" x14ac:dyDescent="0.25">
      <c r="A264" s="59" t="s">
        <v>310</v>
      </c>
      <c r="B264" s="59" t="s">
        <v>311</v>
      </c>
    </row>
    <row r="265" spans="1:2" x14ac:dyDescent="0.25">
      <c r="A265" s="59" t="s">
        <v>312</v>
      </c>
      <c r="B265" s="59">
        <v>206133</v>
      </c>
    </row>
    <row r="266" spans="1:2" x14ac:dyDescent="0.25">
      <c r="A266" s="59" t="s">
        <v>806</v>
      </c>
      <c r="B266" s="59" t="s">
        <v>807</v>
      </c>
    </row>
    <row r="267" spans="1:2" x14ac:dyDescent="0.25">
      <c r="A267" s="59" t="s">
        <v>314</v>
      </c>
      <c r="B267" s="59" t="s">
        <v>316</v>
      </c>
    </row>
    <row r="268" spans="1:2" x14ac:dyDescent="0.25">
      <c r="A268" s="59" t="s">
        <v>317</v>
      </c>
      <c r="B268" s="59">
        <v>206134</v>
      </c>
    </row>
    <row r="269" spans="1:2" x14ac:dyDescent="0.25">
      <c r="A269" s="59" t="s">
        <v>321</v>
      </c>
      <c r="B269" s="59" t="s">
        <v>322</v>
      </c>
    </row>
    <row r="270" spans="1:2" x14ac:dyDescent="0.25">
      <c r="A270" s="59" t="s">
        <v>319</v>
      </c>
      <c r="B270" s="59" t="s">
        <v>320</v>
      </c>
    </row>
    <row r="271" spans="1:2" x14ac:dyDescent="0.25">
      <c r="A271" s="59" t="s">
        <v>323</v>
      </c>
      <c r="B271" s="59" t="s">
        <v>324</v>
      </c>
    </row>
    <row r="272" spans="1:2" x14ac:dyDescent="0.25">
      <c r="A272" s="59" t="s">
        <v>325</v>
      </c>
      <c r="B272" s="59">
        <v>206109</v>
      </c>
    </row>
    <row r="273" spans="1:2" x14ac:dyDescent="0.25">
      <c r="A273" s="59" t="s">
        <v>37</v>
      </c>
      <c r="B273" s="59">
        <v>2434</v>
      </c>
    </row>
    <row r="274" spans="1:2" x14ac:dyDescent="0.25">
      <c r="A274" s="59" t="s">
        <v>42</v>
      </c>
      <c r="B274" s="59">
        <v>2009</v>
      </c>
    </row>
    <row r="275" spans="1:2" x14ac:dyDescent="0.25">
      <c r="A275" s="59" t="s">
        <v>569</v>
      </c>
      <c r="B275" s="59">
        <v>6905</v>
      </c>
    </row>
    <row r="276" spans="1:2" x14ac:dyDescent="0.25">
      <c r="A276" s="59" t="s">
        <v>38</v>
      </c>
      <c r="B276" s="59">
        <v>2522</v>
      </c>
    </row>
    <row r="277" spans="1:2" x14ac:dyDescent="0.25">
      <c r="A277" s="59" t="s">
        <v>327</v>
      </c>
      <c r="B277" s="59">
        <v>206110</v>
      </c>
    </row>
    <row r="278" spans="1:2" x14ac:dyDescent="0.25">
      <c r="A278" s="59" t="s">
        <v>329</v>
      </c>
      <c r="B278" s="59">
        <v>206135</v>
      </c>
    </row>
    <row r="279" spans="1:2" x14ac:dyDescent="0.25">
      <c r="A279" s="59" t="s">
        <v>69</v>
      </c>
      <c r="B279" s="59">
        <v>4181</v>
      </c>
    </row>
    <row r="280" spans="1:2" x14ac:dyDescent="0.25">
      <c r="A280" s="59" t="s">
        <v>331</v>
      </c>
      <c r="B280" s="59">
        <v>509195</v>
      </c>
    </row>
    <row r="281" spans="1:2" x14ac:dyDescent="0.25">
      <c r="A281" s="59" t="s">
        <v>1393</v>
      </c>
      <c r="B281" s="59">
        <v>480857</v>
      </c>
    </row>
    <row r="282" spans="1:2" x14ac:dyDescent="0.25">
      <c r="A282" s="59" t="s">
        <v>333</v>
      </c>
      <c r="B282" s="59" t="s">
        <v>334</v>
      </c>
    </row>
    <row r="283" spans="1:2" x14ac:dyDescent="0.25">
      <c r="A283" s="59" t="s">
        <v>335</v>
      </c>
      <c r="B283" s="59" t="s">
        <v>336</v>
      </c>
    </row>
    <row r="284" spans="1:2" x14ac:dyDescent="0.25">
      <c r="A284" s="59" t="s">
        <v>1394</v>
      </c>
      <c r="B284" s="59">
        <v>492973</v>
      </c>
    </row>
    <row r="285" spans="1:2" x14ac:dyDescent="0.25">
      <c r="A285" s="59" t="s">
        <v>337</v>
      </c>
      <c r="B285" s="59" t="s">
        <v>339</v>
      </c>
    </row>
    <row r="286" spans="1:2" x14ac:dyDescent="0.25">
      <c r="A286" s="59" t="s">
        <v>340</v>
      </c>
      <c r="B286" s="59">
        <v>509199</v>
      </c>
    </row>
    <row r="287" spans="1:2" x14ac:dyDescent="0.25">
      <c r="A287" s="59" t="s">
        <v>342</v>
      </c>
      <c r="B287" s="59">
        <v>509197</v>
      </c>
    </row>
    <row r="288" spans="1:2" x14ac:dyDescent="0.25">
      <c r="A288" s="59" t="s">
        <v>808</v>
      </c>
      <c r="B288" s="59">
        <v>479383</v>
      </c>
    </row>
    <row r="289" spans="1:2" x14ac:dyDescent="0.25">
      <c r="A289" s="59" t="s">
        <v>347</v>
      </c>
      <c r="B289" s="59" t="s">
        <v>348</v>
      </c>
    </row>
    <row r="290" spans="1:2" x14ac:dyDescent="0.25">
      <c r="A290" s="59" t="s">
        <v>70</v>
      </c>
      <c r="B290" s="59">
        <v>4182</v>
      </c>
    </row>
    <row r="291" spans="1:2" x14ac:dyDescent="0.25">
      <c r="A291" s="59" t="s">
        <v>344</v>
      </c>
      <c r="B291" s="59" t="s">
        <v>346</v>
      </c>
    </row>
    <row r="292" spans="1:2" x14ac:dyDescent="0.25">
      <c r="A292" s="59" t="s">
        <v>6</v>
      </c>
      <c r="B292" s="59">
        <v>1005</v>
      </c>
    </row>
    <row r="293" spans="1:2" x14ac:dyDescent="0.25">
      <c r="A293" s="59" t="s">
        <v>809</v>
      </c>
      <c r="B293" s="59" t="s">
        <v>810</v>
      </c>
    </row>
    <row r="294" spans="1:2" x14ac:dyDescent="0.25">
      <c r="A294" s="59" t="s">
        <v>39</v>
      </c>
      <c r="B294" s="59">
        <v>2436</v>
      </c>
    </row>
    <row r="295" spans="1:2" x14ac:dyDescent="0.25">
      <c r="A295" s="59" t="s">
        <v>349</v>
      </c>
      <c r="B295" s="59">
        <v>206117</v>
      </c>
    </row>
    <row r="296" spans="1:2" x14ac:dyDescent="0.25">
      <c r="A296" s="59" t="s">
        <v>40</v>
      </c>
      <c r="B296" s="59">
        <v>2452</v>
      </c>
    </row>
    <row r="297" spans="1:2" x14ac:dyDescent="0.25">
      <c r="A297" s="59" t="s">
        <v>71</v>
      </c>
      <c r="B297" s="59">
        <v>4001</v>
      </c>
    </row>
    <row r="298" spans="1:2" x14ac:dyDescent="0.25">
      <c r="A298" s="59" t="s">
        <v>351</v>
      </c>
      <c r="B298" s="59">
        <v>206141</v>
      </c>
    </row>
    <row r="299" spans="1:2" x14ac:dyDescent="0.25">
      <c r="A299" s="59" t="s">
        <v>41</v>
      </c>
      <c r="B299" s="59">
        <v>2627</v>
      </c>
    </row>
    <row r="300" spans="1:2" x14ac:dyDescent="0.25">
      <c r="A300" s="59" t="s">
        <v>112</v>
      </c>
      <c r="B300" s="59">
        <v>5406</v>
      </c>
    </row>
    <row r="301" spans="1:2" x14ac:dyDescent="0.25">
      <c r="A301" s="59" t="s">
        <v>113</v>
      </c>
      <c r="B301" s="59">
        <v>5407</v>
      </c>
    </row>
    <row r="302" spans="1:2" x14ac:dyDescent="0.25">
      <c r="A302" s="59" t="s">
        <v>353</v>
      </c>
      <c r="B302" s="59" t="s">
        <v>355</v>
      </c>
    </row>
    <row r="303" spans="1:2" x14ac:dyDescent="0.25">
      <c r="A303" s="59" t="s">
        <v>356</v>
      </c>
      <c r="B303" s="59">
        <v>258404</v>
      </c>
    </row>
    <row r="304" spans="1:2" x14ac:dyDescent="0.25">
      <c r="A304" s="59" t="s">
        <v>101</v>
      </c>
      <c r="B304" s="59">
        <v>2473</v>
      </c>
    </row>
    <row r="305" spans="1:2" x14ac:dyDescent="0.25">
      <c r="A305" s="59" t="s">
        <v>44</v>
      </c>
      <c r="B305" s="59">
        <v>2471</v>
      </c>
    </row>
    <row r="306" spans="1:2" x14ac:dyDescent="0.25">
      <c r="A306" s="59" t="s">
        <v>358</v>
      </c>
      <c r="B306" s="59">
        <v>258405</v>
      </c>
    </row>
    <row r="307" spans="1:2" x14ac:dyDescent="0.25">
      <c r="A307" s="59" t="s">
        <v>360</v>
      </c>
      <c r="B307" s="59">
        <v>258406</v>
      </c>
    </row>
    <row r="308" spans="1:2" x14ac:dyDescent="0.25">
      <c r="A308" s="59" t="s">
        <v>1395</v>
      </c>
      <c r="B308" s="59">
        <v>206145</v>
      </c>
    </row>
    <row r="309" spans="1:2" x14ac:dyDescent="0.25">
      <c r="A309" s="59" t="s">
        <v>43</v>
      </c>
      <c r="B309" s="59">
        <v>2420</v>
      </c>
    </row>
    <row r="310" spans="1:2" x14ac:dyDescent="0.25">
      <c r="A310" s="59" t="s">
        <v>362</v>
      </c>
      <c r="B310" s="59">
        <v>206160</v>
      </c>
    </row>
    <row r="311" spans="1:2" x14ac:dyDescent="0.25">
      <c r="A311" s="59" t="s">
        <v>45</v>
      </c>
      <c r="B311" s="59">
        <v>2003</v>
      </c>
    </row>
    <row r="312" spans="1:2" x14ac:dyDescent="0.25">
      <c r="A312" s="59" t="s">
        <v>46</v>
      </c>
      <c r="B312" s="59">
        <v>2423</v>
      </c>
    </row>
    <row r="313" spans="1:2" x14ac:dyDescent="0.25">
      <c r="A313" s="59" t="s">
        <v>47</v>
      </c>
      <c r="B313" s="59">
        <v>2424</v>
      </c>
    </row>
    <row r="314" spans="1:2" x14ac:dyDescent="0.25">
      <c r="A314" s="59" t="s">
        <v>364</v>
      </c>
      <c r="B314" s="59" t="s">
        <v>366</v>
      </c>
    </row>
    <row r="315" spans="1:2" x14ac:dyDescent="0.25">
      <c r="A315" s="59" t="s">
        <v>367</v>
      </c>
      <c r="B315" s="59" t="s">
        <v>368</v>
      </c>
    </row>
    <row r="316" spans="1:2" x14ac:dyDescent="0.25">
      <c r="A316" s="59" t="s">
        <v>369</v>
      </c>
      <c r="B316" s="59" t="s">
        <v>371</v>
      </c>
    </row>
    <row r="317" spans="1:2" x14ac:dyDescent="0.25">
      <c r="A317" s="59" t="s">
        <v>811</v>
      </c>
      <c r="B317" s="59" t="s">
        <v>812</v>
      </c>
    </row>
    <row r="318" spans="1:2" x14ac:dyDescent="0.25">
      <c r="A318" s="59" t="s">
        <v>372</v>
      </c>
      <c r="B318" s="59">
        <v>206146</v>
      </c>
    </row>
    <row r="319" spans="1:2" x14ac:dyDescent="0.25">
      <c r="A319" s="59" t="s">
        <v>48</v>
      </c>
      <c r="B319" s="59">
        <v>2439</v>
      </c>
    </row>
    <row r="320" spans="1:2" x14ac:dyDescent="0.25">
      <c r="A320" s="59" t="s">
        <v>49</v>
      </c>
      <c r="B320" s="59">
        <v>2440</v>
      </c>
    </row>
    <row r="321" spans="1:2" x14ac:dyDescent="0.25">
      <c r="A321" s="59" t="s">
        <v>374</v>
      </c>
      <c r="B321" s="59" t="s">
        <v>375</v>
      </c>
    </row>
    <row r="322" spans="1:2" x14ac:dyDescent="0.25">
      <c r="A322" s="59" t="s">
        <v>813</v>
      </c>
      <c r="B322" s="59" t="s">
        <v>814</v>
      </c>
    </row>
    <row r="323" spans="1:2" x14ac:dyDescent="0.25">
      <c r="A323" s="59" t="s">
        <v>815</v>
      </c>
      <c r="B323" s="59" t="s">
        <v>816</v>
      </c>
    </row>
    <row r="324" spans="1:2" x14ac:dyDescent="0.25">
      <c r="A324" s="67" t="s">
        <v>377</v>
      </c>
      <c r="B324" s="67" t="s">
        <v>378</v>
      </c>
    </row>
    <row r="325" spans="1:2" x14ac:dyDescent="0.25">
      <c r="A325" s="105" t="s">
        <v>377</v>
      </c>
      <c r="B325" s="110" t="s">
        <v>817</v>
      </c>
    </row>
    <row r="326" spans="1:2" x14ac:dyDescent="0.25">
      <c r="A326" s="105" t="s">
        <v>102</v>
      </c>
      <c r="B326" s="110">
        <v>2462</v>
      </c>
    </row>
    <row r="327" spans="1:2" x14ac:dyDescent="0.25">
      <c r="A327" s="105" t="s">
        <v>50</v>
      </c>
      <c r="B327" s="110">
        <v>2463</v>
      </c>
    </row>
    <row r="328" spans="1:2" x14ac:dyDescent="0.25">
      <c r="A328" s="105" t="s">
        <v>51</v>
      </c>
      <c r="B328" s="67">
        <v>2505</v>
      </c>
    </row>
    <row r="329" spans="1:2" x14ac:dyDescent="0.25">
      <c r="A329" s="105" t="s">
        <v>1304</v>
      </c>
      <c r="B329" s="110">
        <v>2000</v>
      </c>
    </row>
    <row r="330" spans="1:2" x14ac:dyDescent="0.25">
      <c r="A330" s="105" t="s">
        <v>53</v>
      </c>
      <c r="B330" s="67">
        <v>2458</v>
      </c>
    </row>
    <row r="331" spans="1:2" x14ac:dyDescent="0.25">
      <c r="A331" s="105" t="s">
        <v>379</v>
      </c>
      <c r="B331" s="67" t="s">
        <v>381</v>
      </c>
    </row>
    <row r="332" spans="1:2" x14ac:dyDescent="0.25">
      <c r="A332" s="105" t="s">
        <v>54</v>
      </c>
      <c r="B332" s="67">
        <v>2001</v>
      </c>
    </row>
    <row r="333" spans="1:2" x14ac:dyDescent="0.25">
      <c r="A333" s="105" t="s">
        <v>382</v>
      </c>
      <c r="B333" s="67" t="s">
        <v>383</v>
      </c>
    </row>
    <row r="334" spans="1:2" x14ac:dyDescent="0.25">
      <c r="A334" s="105" t="s">
        <v>55</v>
      </c>
      <c r="B334" s="67">
        <v>2429</v>
      </c>
    </row>
    <row r="335" spans="1:2" x14ac:dyDescent="0.25">
      <c r="A335" s="105" t="s">
        <v>384</v>
      </c>
      <c r="B335" s="67">
        <v>113044</v>
      </c>
    </row>
    <row r="336" spans="1:2" x14ac:dyDescent="0.25">
      <c r="A336" s="105" t="s">
        <v>386</v>
      </c>
      <c r="B336" s="67" t="s">
        <v>388</v>
      </c>
    </row>
    <row r="337" spans="1:2" x14ac:dyDescent="0.25">
      <c r="A337" s="105" t="s">
        <v>72</v>
      </c>
      <c r="B337" s="67">
        <v>4607</v>
      </c>
    </row>
    <row r="338" spans="1:2" x14ac:dyDescent="0.25">
      <c r="A338" s="105" t="s">
        <v>818</v>
      </c>
      <c r="B338" s="67" t="s">
        <v>819</v>
      </c>
    </row>
    <row r="339" spans="1:2" x14ac:dyDescent="0.25">
      <c r="A339" s="105" t="s">
        <v>820</v>
      </c>
      <c r="B339" s="67" t="s">
        <v>821</v>
      </c>
    </row>
    <row r="340" spans="1:2" x14ac:dyDescent="0.25">
      <c r="A340" s="105" t="s">
        <v>56</v>
      </c>
      <c r="B340" s="67">
        <v>2444</v>
      </c>
    </row>
    <row r="341" spans="1:2" x14ac:dyDescent="0.25">
      <c r="A341" s="105" t="s">
        <v>57</v>
      </c>
      <c r="B341" s="67">
        <v>5209</v>
      </c>
    </row>
    <row r="342" spans="1:2" x14ac:dyDescent="0.25">
      <c r="A342" s="105" t="s">
        <v>389</v>
      </c>
      <c r="B342" s="67" t="s">
        <v>391</v>
      </c>
    </row>
    <row r="343" spans="1:2" x14ac:dyDescent="0.25">
      <c r="A343" s="105" t="s">
        <v>392</v>
      </c>
      <c r="B343" s="67" t="s">
        <v>394</v>
      </c>
    </row>
    <row r="344" spans="1:2" x14ac:dyDescent="0.25">
      <c r="A344" s="105" t="s">
        <v>58</v>
      </c>
      <c r="B344" s="67">
        <v>2469</v>
      </c>
    </row>
    <row r="345" spans="1:2" x14ac:dyDescent="0.25">
      <c r="A345" s="105" t="s">
        <v>395</v>
      </c>
      <c r="B345" s="110" t="s">
        <v>397</v>
      </c>
    </row>
    <row r="346" spans="1:2" x14ac:dyDescent="0.25">
      <c r="A346" s="105" t="s">
        <v>398</v>
      </c>
      <c r="B346" s="67" t="s">
        <v>399</v>
      </c>
    </row>
    <row r="347" spans="1:2" x14ac:dyDescent="0.25">
      <c r="A347" s="59" t="s">
        <v>59</v>
      </c>
      <c r="B347" s="59">
        <v>2466</v>
      </c>
    </row>
    <row r="348" spans="1:2" x14ac:dyDescent="0.25">
      <c r="A348" s="59" t="s">
        <v>60</v>
      </c>
      <c r="B348" s="59">
        <v>3543</v>
      </c>
    </row>
    <row r="349" spans="1:2" x14ac:dyDescent="0.25">
      <c r="A349" s="59" t="s">
        <v>400</v>
      </c>
      <c r="B349" s="59">
        <v>206152</v>
      </c>
    </row>
    <row r="350" spans="1:2" x14ac:dyDescent="0.25">
      <c r="A350" s="59" t="s">
        <v>402</v>
      </c>
      <c r="B350" s="59">
        <v>206153</v>
      </c>
    </row>
    <row r="351" spans="1:2" x14ac:dyDescent="0.25">
      <c r="A351" s="59" t="s">
        <v>62</v>
      </c>
      <c r="B351" s="59">
        <v>3531</v>
      </c>
    </row>
    <row r="352" spans="1:2" x14ac:dyDescent="0.25">
      <c r="A352" s="59" t="s">
        <v>63</v>
      </c>
      <c r="B352" s="59">
        <v>3526</v>
      </c>
    </row>
    <row r="353" spans="1:2" x14ac:dyDescent="0.25">
      <c r="A353" s="59" t="s">
        <v>104</v>
      </c>
      <c r="B353" s="59">
        <v>3535</v>
      </c>
    </row>
    <row r="354" spans="1:2" x14ac:dyDescent="0.25">
      <c r="A354" s="59" t="s">
        <v>64</v>
      </c>
      <c r="B354" s="59">
        <v>2008</v>
      </c>
    </row>
    <row r="355" spans="1:2" x14ac:dyDescent="0.25">
      <c r="A355" s="59" t="s">
        <v>105</v>
      </c>
      <c r="B355" s="59">
        <v>3542</v>
      </c>
    </row>
    <row r="356" spans="1:2" x14ac:dyDescent="0.25">
      <c r="A356" s="59" t="s">
        <v>404</v>
      </c>
      <c r="B356" s="59">
        <v>206154</v>
      </c>
    </row>
    <row r="357" spans="1:2" x14ac:dyDescent="0.25">
      <c r="A357" s="59" t="s">
        <v>106</v>
      </c>
      <c r="B357" s="59">
        <v>3528</v>
      </c>
    </row>
    <row r="358" spans="1:2" x14ac:dyDescent="0.25">
      <c r="A358" s="59" t="s">
        <v>406</v>
      </c>
      <c r="B358" s="59" t="s">
        <v>407</v>
      </c>
    </row>
    <row r="359" spans="1:2" x14ac:dyDescent="0.25">
      <c r="A359" s="59" t="s">
        <v>107</v>
      </c>
      <c r="B359" s="59">
        <v>3534</v>
      </c>
    </row>
    <row r="360" spans="1:2" x14ac:dyDescent="0.25">
      <c r="A360" s="59" t="s">
        <v>108</v>
      </c>
      <c r="B360" s="59">
        <v>3532</v>
      </c>
    </row>
    <row r="361" spans="1:2" x14ac:dyDescent="0.25">
      <c r="A361" s="59" t="s">
        <v>7</v>
      </c>
      <c r="B361" s="59">
        <v>1010</v>
      </c>
    </row>
    <row r="362" spans="1:2" x14ac:dyDescent="0.25">
      <c r="A362" s="59" t="s">
        <v>1396</v>
      </c>
      <c r="B362" s="59">
        <v>484523</v>
      </c>
    </row>
    <row r="363" spans="1:2" x14ac:dyDescent="0.25">
      <c r="A363" s="59" t="s">
        <v>408</v>
      </c>
      <c r="B363" s="59" t="s">
        <v>410</v>
      </c>
    </row>
    <row r="364" spans="1:2" x14ac:dyDescent="0.25">
      <c r="A364" s="59" t="s">
        <v>114</v>
      </c>
      <c r="B364" s="59">
        <v>4177</v>
      </c>
    </row>
    <row r="365" spans="1:2" x14ac:dyDescent="0.25">
      <c r="A365" s="59" t="s">
        <v>822</v>
      </c>
      <c r="B365" s="59" t="s">
        <v>824</v>
      </c>
    </row>
    <row r="366" spans="1:2" x14ac:dyDescent="0.25">
      <c r="A366" s="59" t="s">
        <v>411</v>
      </c>
      <c r="B366" s="59" t="s">
        <v>413</v>
      </c>
    </row>
    <row r="367" spans="1:2" x14ac:dyDescent="0.25">
      <c r="A367" s="59" t="s">
        <v>414</v>
      </c>
      <c r="B367" s="59">
        <v>206103</v>
      </c>
    </row>
    <row r="368" spans="1:2" x14ac:dyDescent="0.25">
      <c r="A368" s="59" t="s">
        <v>415</v>
      </c>
      <c r="B368" s="59" t="s">
        <v>417</v>
      </c>
    </row>
    <row r="369" spans="1:2" x14ac:dyDescent="0.25">
      <c r="A369" s="59" t="s">
        <v>418</v>
      </c>
      <c r="B369" s="59" t="s">
        <v>420</v>
      </c>
    </row>
    <row r="370" spans="1:2" x14ac:dyDescent="0.25">
      <c r="A370" s="59" t="s">
        <v>421</v>
      </c>
      <c r="B370" s="59">
        <v>258420</v>
      </c>
    </row>
    <row r="371" spans="1:2" x14ac:dyDescent="0.25">
      <c r="A371" s="59" t="s">
        <v>423</v>
      </c>
      <c r="B371" s="59">
        <v>258424</v>
      </c>
    </row>
    <row r="372" spans="1:2" x14ac:dyDescent="0.25">
      <c r="A372" s="59" t="s">
        <v>1397</v>
      </c>
      <c r="B372" s="59">
        <v>482634</v>
      </c>
    </row>
    <row r="373" spans="1:2" x14ac:dyDescent="0.25">
      <c r="A373" s="59" t="s">
        <v>425</v>
      </c>
      <c r="B373" s="59" t="s">
        <v>426</v>
      </c>
    </row>
    <row r="374" spans="1:2" x14ac:dyDescent="0.25">
      <c r="A374" s="59" t="s">
        <v>65</v>
      </c>
      <c r="B374" s="59">
        <v>3546</v>
      </c>
    </row>
    <row r="375" spans="1:2" x14ac:dyDescent="0.25">
      <c r="A375" s="59" t="s">
        <v>8</v>
      </c>
      <c r="B375" s="59">
        <v>1009</v>
      </c>
    </row>
    <row r="376" spans="1:2" x14ac:dyDescent="0.25">
      <c r="A376" s="59" t="s">
        <v>1398</v>
      </c>
      <c r="B376" s="59">
        <v>476554</v>
      </c>
    </row>
    <row r="377" spans="1:2" x14ac:dyDescent="0.25">
      <c r="A377" s="59" t="s">
        <v>66</v>
      </c>
      <c r="B377" s="59">
        <v>3530</v>
      </c>
    </row>
    <row r="378" spans="1:2" x14ac:dyDescent="0.25">
      <c r="A378" s="59" t="s">
        <v>74</v>
      </c>
      <c r="B378" s="59">
        <v>5412</v>
      </c>
    </row>
    <row r="379" spans="1:2" x14ac:dyDescent="0.25">
      <c r="A379" s="59" t="s">
        <v>432</v>
      </c>
      <c r="B379" s="59" t="s">
        <v>433</v>
      </c>
    </row>
    <row r="380" spans="1:2" x14ac:dyDescent="0.25">
      <c r="A380" s="59" t="s">
        <v>427</v>
      </c>
      <c r="B380" s="59" t="s">
        <v>429</v>
      </c>
    </row>
    <row r="381" spans="1:2" x14ac:dyDescent="0.25">
      <c r="A381" s="59" t="s">
        <v>9</v>
      </c>
      <c r="B381" s="59">
        <v>1015</v>
      </c>
    </row>
    <row r="382" spans="1:2" x14ac:dyDescent="0.25">
      <c r="A382" s="59" t="s">
        <v>430</v>
      </c>
      <c r="B382" s="59" t="s">
        <v>431</v>
      </c>
    </row>
    <row r="383" spans="1:2" x14ac:dyDescent="0.25">
      <c r="A383" s="59" t="s">
        <v>434</v>
      </c>
      <c r="B383" s="59">
        <v>509204</v>
      </c>
    </row>
    <row r="384" spans="1:2" x14ac:dyDescent="0.25">
      <c r="A384" s="59" t="s">
        <v>434</v>
      </c>
      <c r="B384" s="59" t="s">
        <v>825</v>
      </c>
    </row>
    <row r="385" spans="1:2" x14ac:dyDescent="0.25">
      <c r="A385" s="59" t="s">
        <v>67</v>
      </c>
      <c r="B385" s="59">
        <v>2459</v>
      </c>
    </row>
    <row r="386" spans="1:2" x14ac:dyDescent="0.25">
      <c r="A386" s="59" t="s">
        <v>96</v>
      </c>
      <c r="B386" s="59">
        <v>2007</v>
      </c>
    </row>
    <row r="387" spans="1:2" x14ac:dyDescent="0.25">
      <c r="A387" s="11"/>
      <c r="B387" s="2"/>
    </row>
    <row r="388" spans="1:2" x14ac:dyDescent="0.25">
      <c r="A388" s="11"/>
      <c r="B388" s="2"/>
    </row>
  </sheetData>
  <sheetProtection password="EF5C" sheet="1" objects="1" scenarios="1"/>
  <pageMargins left="0.7" right="0.7" top="0.75" bottom="0.75" header="0.3" footer="0.3"/>
  <pageSetup paperSize="9" orientation="portrait"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A1:E391"/>
  <sheetViews>
    <sheetView workbookViewId="0">
      <pane xSplit="2" ySplit="6" topLeftCell="C118" activePane="bottomRight" state="frozen"/>
      <selection activeCell="C118" sqref="C118"/>
      <selection pane="topRight" activeCell="C118" sqref="C118"/>
      <selection pane="bottomLeft" activeCell="C118" sqref="C118"/>
      <selection pane="bottomRight" activeCell="G141" sqref="G141"/>
    </sheetView>
  </sheetViews>
  <sheetFormatPr defaultColWidth="9.109375" defaultRowHeight="13.2" x14ac:dyDescent="0.25"/>
  <cols>
    <col min="1" max="1" width="52.44140625" style="22" bestFit="1" customWidth="1"/>
    <col min="2" max="2" width="17.109375" style="22" bestFit="1" customWidth="1"/>
    <col min="3" max="16384" width="9.109375" style="22"/>
  </cols>
  <sheetData>
    <row r="1" spans="1:3" x14ac:dyDescent="0.25">
      <c r="A1" s="24" t="s">
        <v>958</v>
      </c>
      <c r="B1" s="920"/>
      <c r="C1" s="926"/>
    </row>
    <row r="2" spans="1:3" x14ac:dyDescent="0.25">
      <c r="A2" s="24" t="s">
        <v>77</v>
      </c>
      <c r="B2" s="920"/>
      <c r="C2" s="926"/>
    </row>
    <row r="3" spans="1:3" x14ac:dyDescent="0.25">
      <c r="A3" s="24" t="s">
        <v>78</v>
      </c>
      <c r="B3" s="920"/>
      <c r="C3" s="926"/>
    </row>
    <row r="4" spans="1:3" x14ac:dyDescent="0.25">
      <c r="A4" s="24" t="s">
        <v>79</v>
      </c>
      <c r="B4" s="920"/>
      <c r="C4" s="926"/>
    </row>
    <row r="5" spans="1:3" ht="12.75" x14ac:dyDescent="0.2">
      <c r="A5" s="24" t="s">
        <v>80</v>
      </c>
      <c r="B5" s="920"/>
      <c r="C5" s="926"/>
    </row>
    <row r="6" spans="1:3" ht="26.4" x14ac:dyDescent="0.25">
      <c r="A6" s="938" t="s">
        <v>118</v>
      </c>
      <c r="B6" s="940" t="s">
        <v>81</v>
      </c>
      <c r="C6" s="965" t="s">
        <v>1012</v>
      </c>
    </row>
    <row r="7" spans="1:3" ht="12.75" x14ac:dyDescent="0.2">
      <c r="A7" s="25" t="s">
        <v>1301</v>
      </c>
      <c r="B7" s="26">
        <v>2014</v>
      </c>
      <c r="C7" s="23">
        <v>0</v>
      </c>
    </row>
    <row r="8" spans="1:3" ht="12.75" x14ac:dyDescent="0.2">
      <c r="A8" s="25" t="s">
        <v>10</v>
      </c>
      <c r="B8" s="26">
        <v>2012</v>
      </c>
      <c r="C8" s="23">
        <v>0</v>
      </c>
    </row>
    <row r="9" spans="1:3" ht="12.75" x14ac:dyDescent="0.2">
      <c r="A9" s="25" t="s">
        <v>11</v>
      </c>
      <c r="B9" s="26">
        <v>2443</v>
      </c>
      <c r="C9" s="23">
        <v>0</v>
      </c>
    </row>
    <row r="10" spans="1:3" ht="12.75" x14ac:dyDescent="0.2">
      <c r="A10" s="25" t="s">
        <v>94</v>
      </c>
      <c r="B10" s="26">
        <v>2442</v>
      </c>
      <c r="C10" s="23">
        <v>0</v>
      </c>
    </row>
    <row r="11" spans="1:3" ht="12.75" x14ac:dyDescent="0.2">
      <c r="A11" s="25" t="s">
        <v>13</v>
      </c>
      <c r="B11" s="26">
        <v>2629</v>
      </c>
      <c r="C11" s="23">
        <v>0</v>
      </c>
    </row>
    <row r="12" spans="1:3" ht="12.75" x14ac:dyDescent="0.2">
      <c r="A12" s="25" t="s">
        <v>14</v>
      </c>
      <c r="B12" s="26">
        <v>2509</v>
      </c>
      <c r="C12" s="23">
        <v>0</v>
      </c>
    </row>
    <row r="13" spans="1:3" ht="12.75" x14ac:dyDescent="0.2">
      <c r="A13" s="25" t="s">
        <v>15</v>
      </c>
      <c r="B13" s="26">
        <v>2005</v>
      </c>
      <c r="C13" s="23">
        <v>0</v>
      </c>
    </row>
    <row r="14" spans="1:3" ht="12.75" x14ac:dyDescent="0.2">
      <c r="A14" s="25" t="s">
        <v>16</v>
      </c>
      <c r="B14" s="26">
        <v>2464</v>
      </c>
      <c r="C14" s="23">
        <v>0</v>
      </c>
    </row>
    <row r="15" spans="1:3" ht="12.75" x14ac:dyDescent="0.2">
      <c r="A15" s="25" t="s">
        <v>17</v>
      </c>
      <c r="B15" s="26">
        <v>2004</v>
      </c>
      <c r="C15" s="23">
        <v>0</v>
      </c>
    </row>
    <row r="16" spans="1:3" ht="12.75" x14ac:dyDescent="0.2">
      <c r="A16" s="25" t="s">
        <v>18</v>
      </c>
      <c r="B16" s="26">
        <v>2405</v>
      </c>
      <c r="C16" s="23">
        <v>0</v>
      </c>
    </row>
    <row r="17" spans="1:3" ht="12.75" x14ac:dyDescent="0.2">
      <c r="A17" s="25" t="s">
        <v>95</v>
      </c>
      <c r="B17" s="26">
        <v>2011</v>
      </c>
      <c r="C17" s="23">
        <v>0</v>
      </c>
    </row>
    <row r="18" spans="1:3" ht="12.75" x14ac:dyDescent="0.2">
      <c r="A18" s="25" t="s">
        <v>20</v>
      </c>
      <c r="B18" s="26">
        <v>5201</v>
      </c>
      <c r="C18" s="23">
        <v>0</v>
      </c>
    </row>
    <row r="19" spans="1:3" ht="12.75" x14ac:dyDescent="0.2">
      <c r="A19" s="25" t="s">
        <v>96</v>
      </c>
      <c r="B19" s="26">
        <v>2007</v>
      </c>
      <c r="C19" s="23">
        <v>0</v>
      </c>
    </row>
    <row r="20" spans="1:3" ht="12.75" x14ac:dyDescent="0.2">
      <c r="A20" s="25" t="s">
        <v>21</v>
      </c>
      <c r="B20" s="26">
        <v>2433</v>
      </c>
      <c r="C20" s="23">
        <v>0</v>
      </c>
    </row>
    <row r="21" spans="1:3" ht="12.75" x14ac:dyDescent="0.2">
      <c r="A21" s="25" t="s">
        <v>22</v>
      </c>
      <c r="B21" s="26">
        <v>2432</v>
      </c>
      <c r="C21" s="23">
        <v>0</v>
      </c>
    </row>
    <row r="22" spans="1:3" ht="12.75" x14ac:dyDescent="0.2">
      <c r="A22" s="25" t="s">
        <v>188</v>
      </c>
      <c r="B22" s="26">
        <v>2447</v>
      </c>
      <c r="C22" s="23">
        <v>0</v>
      </c>
    </row>
    <row r="23" spans="1:3" ht="12.75" x14ac:dyDescent="0.2">
      <c r="A23" s="25" t="s">
        <v>23</v>
      </c>
      <c r="B23" s="26">
        <v>2512</v>
      </c>
      <c r="C23" s="23">
        <v>0</v>
      </c>
    </row>
    <row r="24" spans="1:3" ht="12.75" x14ac:dyDescent="0.2">
      <c r="A24" s="25" t="s">
        <v>24</v>
      </c>
      <c r="B24" s="26">
        <v>2456</v>
      </c>
      <c r="C24" s="23">
        <v>0</v>
      </c>
    </row>
    <row r="25" spans="1:3" ht="12.75" x14ac:dyDescent="0.2">
      <c r="A25" s="25" t="s">
        <v>25</v>
      </c>
      <c r="B25" s="26">
        <v>2449</v>
      </c>
      <c r="C25" s="23">
        <v>0</v>
      </c>
    </row>
    <row r="26" spans="1:3" ht="12.75" x14ac:dyDescent="0.2">
      <c r="A26" s="25" t="s">
        <v>26</v>
      </c>
      <c r="B26" s="26">
        <v>2448</v>
      </c>
      <c r="C26" s="23">
        <v>0</v>
      </c>
    </row>
    <row r="27" spans="1:3" ht="12.75" x14ac:dyDescent="0.2">
      <c r="A27" s="25" t="s">
        <v>126</v>
      </c>
      <c r="B27" s="26">
        <v>2467</v>
      </c>
      <c r="C27" s="23">
        <v>0</v>
      </c>
    </row>
    <row r="28" spans="1:3" ht="12.75" x14ac:dyDescent="0.2">
      <c r="A28" s="25" t="s">
        <v>28</v>
      </c>
      <c r="B28" s="26">
        <v>2455</v>
      </c>
      <c r="C28" s="23">
        <v>0</v>
      </c>
    </row>
    <row r="29" spans="1:3" ht="12.75" x14ac:dyDescent="0.2">
      <c r="A29" s="25" t="s">
        <v>29</v>
      </c>
      <c r="B29" s="26">
        <v>5203</v>
      </c>
      <c r="C29" s="23">
        <v>0</v>
      </c>
    </row>
    <row r="30" spans="1:3" ht="12.75" x14ac:dyDescent="0.2">
      <c r="A30" s="25" t="s">
        <v>30</v>
      </c>
      <c r="B30" s="26">
        <v>2451</v>
      </c>
      <c r="C30" s="23">
        <v>0</v>
      </c>
    </row>
    <row r="31" spans="1:3" ht="12.75" x14ac:dyDescent="0.2">
      <c r="A31" s="25" t="s">
        <v>31</v>
      </c>
      <c r="B31" s="26">
        <v>2409</v>
      </c>
      <c r="C31" s="23">
        <v>0</v>
      </c>
    </row>
    <row r="32" spans="1:3" ht="12.75" x14ac:dyDescent="0.2">
      <c r="A32" s="25" t="s">
        <v>98</v>
      </c>
      <c r="B32" s="26">
        <v>3158</v>
      </c>
      <c r="C32" s="23">
        <v>0</v>
      </c>
    </row>
    <row r="33" spans="1:3" ht="12.75" x14ac:dyDescent="0.2">
      <c r="A33" s="25" t="s">
        <v>32</v>
      </c>
      <c r="B33" s="26">
        <v>2619</v>
      </c>
      <c r="C33" s="23">
        <v>0</v>
      </c>
    </row>
    <row r="34" spans="1:3" ht="12.75" x14ac:dyDescent="0.2">
      <c r="A34" s="25" t="s">
        <v>33</v>
      </c>
      <c r="B34" s="26">
        <v>2518</v>
      </c>
      <c r="C34" s="23">
        <v>0</v>
      </c>
    </row>
    <row r="35" spans="1:3" ht="12.75" x14ac:dyDescent="0.2">
      <c r="A35" s="25" t="s">
        <v>34</v>
      </c>
      <c r="B35" s="26">
        <v>2457</v>
      </c>
      <c r="C35" s="23">
        <v>0</v>
      </c>
    </row>
    <row r="36" spans="1:3" ht="12.75" x14ac:dyDescent="0.2">
      <c r="A36" s="25" t="s">
        <v>99</v>
      </c>
      <c r="B36" s="26">
        <v>2010</v>
      </c>
      <c r="C36" s="23">
        <v>0</v>
      </c>
    </row>
    <row r="37" spans="1:3" ht="12.75" x14ac:dyDescent="0.2">
      <c r="A37" s="25" t="s">
        <v>35</v>
      </c>
      <c r="B37" s="26">
        <v>2002</v>
      </c>
      <c r="C37" s="23">
        <v>0</v>
      </c>
    </row>
    <row r="38" spans="1:3" ht="12.75" x14ac:dyDescent="0.2">
      <c r="A38" s="25" t="s">
        <v>36</v>
      </c>
      <c r="B38" s="26">
        <v>3544</v>
      </c>
      <c r="C38" s="23">
        <v>0</v>
      </c>
    </row>
    <row r="39" spans="1:3" ht="12.75" x14ac:dyDescent="0.2">
      <c r="A39" s="25" t="s">
        <v>100</v>
      </c>
      <c r="B39" s="26">
        <v>2006</v>
      </c>
      <c r="C39" s="23">
        <v>0</v>
      </c>
    </row>
    <row r="40" spans="1:3" ht="12.75" x14ac:dyDescent="0.2">
      <c r="A40" s="25" t="s">
        <v>37</v>
      </c>
      <c r="B40" s="26">
        <v>2434</v>
      </c>
      <c r="C40" s="23">
        <v>0</v>
      </c>
    </row>
    <row r="41" spans="1:3" ht="12.75" x14ac:dyDescent="0.2">
      <c r="A41" s="25" t="s">
        <v>38</v>
      </c>
      <c r="B41" s="26">
        <v>2522</v>
      </c>
      <c r="C41" s="23">
        <v>0</v>
      </c>
    </row>
    <row r="42" spans="1:3" ht="12.75" x14ac:dyDescent="0.2">
      <c r="A42" s="25" t="s">
        <v>39</v>
      </c>
      <c r="B42" s="26">
        <v>2436</v>
      </c>
      <c r="C42" s="23">
        <v>0</v>
      </c>
    </row>
    <row r="43" spans="1:3" ht="12.75" x14ac:dyDescent="0.2">
      <c r="A43" s="25" t="s">
        <v>40</v>
      </c>
      <c r="B43" s="26">
        <v>2452</v>
      </c>
      <c r="C43" s="23">
        <v>0</v>
      </c>
    </row>
    <row r="44" spans="1:3" ht="12.75" x14ac:dyDescent="0.2">
      <c r="A44" s="25" t="s">
        <v>41</v>
      </c>
      <c r="B44" s="26">
        <v>2627</v>
      </c>
      <c r="C44" s="23">
        <v>0</v>
      </c>
    </row>
    <row r="45" spans="1:3" ht="12.75" x14ac:dyDescent="0.2">
      <c r="A45" s="25" t="s">
        <v>42</v>
      </c>
      <c r="B45" s="26">
        <v>2009</v>
      </c>
      <c r="C45" s="23">
        <v>0</v>
      </c>
    </row>
    <row r="46" spans="1:3" ht="12.75" x14ac:dyDescent="0.2">
      <c r="A46" s="25" t="s">
        <v>101</v>
      </c>
      <c r="B46" s="26">
        <v>2473</v>
      </c>
      <c r="C46" s="23">
        <v>0</v>
      </c>
    </row>
    <row r="47" spans="1:3" ht="12.75" x14ac:dyDescent="0.2">
      <c r="A47" s="25" t="s">
        <v>44</v>
      </c>
      <c r="B47" s="26">
        <v>2471</v>
      </c>
      <c r="C47" s="23">
        <v>0</v>
      </c>
    </row>
    <row r="48" spans="1:3" ht="12.75" x14ac:dyDescent="0.2">
      <c r="A48" s="25" t="s">
        <v>43</v>
      </c>
      <c r="B48" s="26">
        <v>2420</v>
      </c>
      <c r="C48" s="23">
        <v>0</v>
      </c>
    </row>
    <row r="49" spans="1:3" ht="12.75" x14ac:dyDescent="0.2">
      <c r="A49" s="25" t="s">
        <v>45</v>
      </c>
      <c r="B49" s="26">
        <v>2003</v>
      </c>
      <c r="C49" s="23">
        <v>0</v>
      </c>
    </row>
    <row r="50" spans="1:3" ht="12.75" x14ac:dyDescent="0.2">
      <c r="A50" s="25" t="s">
        <v>46</v>
      </c>
      <c r="B50" s="26">
        <v>2423</v>
      </c>
      <c r="C50" s="23">
        <v>0</v>
      </c>
    </row>
    <row r="51" spans="1:3" ht="12.75" x14ac:dyDescent="0.2">
      <c r="A51" s="25" t="s">
        <v>47</v>
      </c>
      <c r="B51" s="26">
        <v>2424</v>
      </c>
      <c r="C51" s="23">
        <v>0</v>
      </c>
    </row>
    <row r="52" spans="1:3" ht="12.75" x14ac:dyDescent="0.2">
      <c r="A52" s="25" t="s">
        <v>48</v>
      </c>
      <c r="B52" s="26">
        <v>2439</v>
      </c>
      <c r="C52" s="23">
        <v>0</v>
      </c>
    </row>
    <row r="53" spans="1:3" ht="12.75" x14ac:dyDescent="0.2">
      <c r="A53" s="25" t="s">
        <v>49</v>
      </c>
      <c r="B53" s="26">
        <v>2440</v>
      </c>
      <c r="C53" s="23">
        <v>0</v>
      </c>
    </row>
    <row r="54" spans="1:3" ht="12.75" x14ac:dyDescent="0.2">
      <c r="A54" s="25" t="s">
        <v>102</v>
      </c>
      <c r="B54" s="26">
        <v>2462</v>
      </c>
      <c r="C54" s="23">
        <v>0</v>
      </c>
    </row>
    <row r="55" spans="1:3" ht="12.75" x14ac:dyDescent="0.2">
      <c r="A55" s="25" t="s">
        <v>50</v>
      </c>
      <c r="B55" s="26">
        <v>2463</v>
      </c>
      <c r="C55" s="23">
        <v>0</v>
      </c>
    </row>
    <row r="56" spans="1:3" ht="12.75" x14ac:dyDescent="0.2">
      <c r="A56" s="25" t="s">
        <v>51</v>
      </c>
      <c r="B56" s="26">
        <v>2505</v>
      </c>
      <c r="C56" s="23">
        <v>0</v>
      </c>
    </row>
    <row r="57" spans="1:3" ht="12.75" x14ac:dyDescent="0.2">
      <c r="A57" s="9" t="s">
        <v>1304</v>
      </c>
      <c r="B57" s="26">
        <v>2000</v>
      </c>
      <c r="C57" s="23">
        <v>0</v>
      </c>
    </row>
    <row r="58" spans="1:3" ht="12.75" x14ac:dyDescent="0.2">
      <c r="A58" s="25" t="s">
        <v>53</v>
      </c>
      <c r="B58" s="26">
        <v>2458</v>
      </c>
      <c r="C58" s="23">
        <v>0</v>
      </c>
    </row>
    <row r="59" spans="1:3" ht="12.75" x14ac:dyDescent="0.2">
      <c r="A59" s="25" t="s">
        <v>54</v>
      </c>
      <c r="B59" s="26">
        <v>2001</v>
      </c>
      <c r="C59" s="23">
        <v>0</v>
      </c>
    </row>
    <row r="60" spans="1:3" ht="12.75" x14ac:dyDescent="0.2">
      <c r="A60" s="25" t="s">
        <v>55</v>
      </c>
      <c r="B60" s="26">
        <v>2429</v>
      </c>
      <c r="C60" s="23">
        <v>0</v>
      </c>
    </row>
    <row r="61" spans="1:3" ht="12.75" x14ac:dyDescent="0.2">
      <c r="A61" s="25" t="s">
        <v>56</v>
      </c>
      <c r="B61" s="26">
        <v>2444</v>
      </c>
      <c r="C61" s="23">
        <v>0</v>
      </c>
    </row>
    <row r="62" spans="1:3" ht="12.75" x14ac:dyDescent="0.2">
      <c r="A62" s="25" t="s">
        <v>57</v>
      </c>
      <c r="B62" s="26">
        <v>5209</v>
      </c>
      <c r="C62" s="23">
        <v>0</v>
      </c>
    </row>
    <row r="63" spans="1:3" ht="12.75" x14ac:dyDescent="0.2">
      <c r="A63" s="25" t="s">
        <v>58</v>
      </c>
      <c r="B63" s="26">
        <v>2469</v>
      </c>
      <c r="C63" s="23">
        <v>0</v>
      </c>
    </row>
    <row r="64" spans="1:3" ht="12.75" x14ac:dyDescent="0.2">
      <c r="A64" s="22" t="s">
        <v>437</v>
      </c>
      <c r="B64" s="26">
        <v>2430</v>
      </c>
      <c r="C64" s="23">
        <v>0</v>
      </c>
    </row>
    <row r="65" spans="1:3" ht="12.75" x14ac:dyDescent="0.2">
      <c r="A65" s="25" t="s">
        <v>59</v>
      </c>
      <c r="B65" s="26">
        <v>2466</v>
      </c>
      <c r="C65" s="23">
        <v>0</v>
      </c>
    </row>
    <row r="66" spans="1:3" ht="12.75" x14ac:dyDescent="0.2">
      <c r="A66" s="25" t="s">
        <v>60</v>
      </c>
      <c r="B66" s="26">
        <v>3543</v>
      </c>
      <c r="C66" s="23">
        <v>0</v>
      </c>
    </row>
    <row r="67" spans="1:3" ht="12.75" x14ac:dyDescent="0.2">
      <c r="A67" s="25" t="s">
        <v>62</v>
      </c>
      <c r="B67" s="26">
        <v>3531</v>
      </c>
      <c r="C67" s="23">
        <v>0</v>
      </c>
    </row>
    <row r="68" spans="1:3" ht="12.75" x14ac:dyDescent="0.2">
      <c r="A68" s="25" t="s">
        <v>103</v>
      </c>
      <c r="B68" s="26">
        <v>3526</v>
      </c>
      <c r="C68" s="23">
        <v>0</v>
      </c>
    </row>
    <row r="69" spans="1:3" ht="12.75" x14ac:dyDescent="0.2">
      <c r="A69" s="25" t="s">
        <v>104</v>
      </c>
      <c r="B69" s="26">
        <v>3535</v>
      </c>
      <c r="C69" s="23">
        <v>0</v>
      </c>
    </row>
    <row r="70" spans="1:3" ht="12.75" x14ac:dyDescent="0.2">
      <c r="A70" s="945" t="s">
        <v>64</v>
      </c>
      <c r="B70" s="26">
        <v>2008</v>
      </c>
      <c r="C70" s="23">
        <v>0</v>
      </c>
    </row>
    <row r="71" spans="1:3" ht="12.75" x14ac:dyDescent="0.2">
      <c r="A71" s="25" t="s">
        <v>105</v>
      </c>
      <c r="B71" s="26">
        <v>3542</v>
      </c>
      <c r="C71" s="23">
        <v>0</v>
      </c>
    </row>
    <row r="72" spans="1:3" ht="12.75" x14ac:dyDescent="0.2">
      <c r="A72" s="25" t="s">
        <v>106</v>
      </c>
      <c r="B72" s="26">
        <v>3528</v>
      </c>
      <c r="C72" s="23">
        <v>0</v>
      </c>
    </row>
    <row r="73" spans="1:3" ht="12.75" x14ac:dyDescent="0.2">
      <c r="A73" s="25" t="s">
        <v>107</v>
      </c>
      <c r="B73" s="26">
        <v>3534</v>
      </c>
      <c r="C73" s="23">
        <v>0</v>
      </c>
    </row>
    <row r="74" spans="1:3" ht="12.75" x14ac:dyDescent="0.2">
      <c r="A74" s="25" t="s">
        <v>108</v>
      </c>
      <c r="B74" s="26">
        <v>3532</v>
      </c>
      <c r="C74" s="23">
        <v>0</v>
      </c>
    </row>
    <row r="75" spans="1:3" ht="12.75" x14ac:dyDescent="0.2">
      <c r="A75" s="25" t="s">
        <v>65</v>
      </c>
      <c r="B75" s="26">
        <v>3546</v>
      </c>
      <c r="C75" s="23">
        <v>0</v>
      </c>
    </row>
    <row r="76" spans="1:3" ht="12.75" x14ac:dyDescent="0.2">
      <c r="A76" s="25" t="s">
        <v>109</v>
      </c>
      <c r="B76" s="26">
        <v>3530</v>
      </c>
      <c r="C76" s="23">
        <v>0</v>
      </c>
    </row>
    <row r="77" spans="1:3" ht="12.75" x14ac:dyDescent="0.2">
      <c r="A77" s="25" t="s">
        <v>67</v>
      </c>
      <c r="B77" s="26">
        <v>2459</v>
      </c>
      <c r="C77" s="23">
        <v>0</v>
      </c>
    </row>
    <row r="78" spans="1:3" ht="12.75" x14ac:dyDescent="0.2">
      <c r="A78" s="9" t="s">
        <v>846</v>
      </c>
      <c r="B78" s="10">
        <v>4000</v>
      </c>
      <c r="C78" s="23">
        <v>0</v>
      </c>
    </row>
    <row r="79" spans="1:3" ht="12.75" x14ac:dyDescent="0.2">
      <c r="A79" s="25"/>
      <c r="B79" s="26"/>
      <c r="C79" s="23"/>
    </row>
    <row r="80" spans="1:3" ht="12.75" x14ac:dyDescent="0.2">
      <c r="A80" s="24" t="s">
        <v>110</v>
      </c>
      <c r="B80" s="24" t="s">
        <v>110</v>
      </c>
      <c r="C80" s="942">
        <f>SUM(C7:C78)</f>
        <v>0</v>
      </c>
    </row>
    <row r="81" spans="1:3" ht="12.75" x14ac:dyDescent="0.2">
      <c r="A81" s="25"/>
      <c r="B81" s="26"/>
      <c r="C81" s="23"/>
    </row>
    <row r="82" spans="1:3" ht="12.75" x14ac:dyDescent="0.2">
      <c r="A82" s="25" t="s">
        <v>75</v>
      </c>
      <c r="B82" s="26">
        <v>5402</v>
      </c>
      <c r="C82" s="23">
        <v>0</v>
      </c>
    </row>
    <row r="83" spans="1:3" ht="12.75" x14ac:dyDescent="0.2">
      <c r="A83" s="25" t="s">
        <v>68</v>
      </c>
      <c r="B83" s="26">
        <v>4608</v>
      </c>
      <c r="C83" s="23">
        <v>0</v>
      </c>
    </row>
    <row r="84" spans="1:3" ht="12.75" x14ac:dyDescent="0.2">
      <c r="A84" s="25" t="s">
        <v>111</v>
      </c>
      <c r="B84" s="26">
        <v>4178</v>
      </c>
      <c r="C84" s="23">
        <v>0</v>
      </c>
    </row>
    <row r="85" spans="1:3" ht="12.75" x14ac:dyDescent="0.2">
      <c r="A85" s="25" t="s">
        <v>69</v>
      </c>
      <c r="B85" s="26">
        <v>4181</v>
      </c>
      <c r="C85" s="23">
        <v>0</v>
      </c>
    </row>
    <row r="86" spans="1:3" ht="12.75" x14ac:dyDescent="0.2">
      <c r="A86" s="25" t="s">
        <v>70</v>
      </c>
      <c r="B86" s="26">
        <v>4182</v>
      </c>
      <c r="C86" s="23">
        <v>0</v>
      </c>
    </row>
    <row r="87" spans="1:3" ht="12.75" x14ac:dyDescent="0.2">
      <c r="A87" s="25" t="s">
        <v>71</v>
      </c>
      <c r="B87" s="38">
        <v>4001</v>
      </c>
      <c r="C87" s="23">
        <v>0</v>
      </c>
    </row>
    <row r="88" spans="1:3" ht="12.75" x14ac:dyDescent="0.2">
      <c r="A88" s="25" t="s">
        <v>112</v>
      </c>
      <c r="B88" s="26">
        <v>5406</v>
      </c>
      <c r="C88" s="23">
        <v>0</v>
      </c>
    </row>
    <row r="89" spans="1:3" ht="12.75" x14ac:dyDescent="0.2">
      <c r="A89" s="25" t="s">
        <v>113</v>
      </c>
      <c r="B89" s="26">
        <v>5407</v>
      </c>
      <c r="C89" s="23">
        <v>0</v>
      </c>
    </row>
    <row r="90" spans="1:3" ht="12.75" x14ac:dyDescent="0.2">
      <c r="A90" s="25" t="s">
        <v>72</v>
      </c>
      <c r="B90" s="26">
        <v>4607</v>
      </c>
      <c r="C90" s="23">
        <v>0</v>
      </c>
    </row>
    <row r="91" spans="1:3" ht="12.75" x14ac:dyDescent="0.2">
      <c r="A91" s="25" t="s">
        <v>966</v>
      </c>
      <c r="B91" s="38">
        <v>4002</v>
      </c>
      <c r="C91" s="23">
        <v>0</v>
      </c>
    </row>
    <row r="92" spans="1:3" ht="12.75" x14ac:dyDescent="0.2">
      <c r="A92" s="25" t="s">
        <v>74</v>
      </c>
      <c r="B92" s="26">
        <v>5412</v>
      </c>
      <c r="C92" s="23">
        <v>0</v>
      </c>
    </row>
    <row r="93" spans="1:3" ht="12.75" x14ac:dyDescent="0.2">
      <c r="A93" s="9" t="s">
        <v>1306</v>
      </c>
      <c r="B93" s="10">
        <v>4003</v>
      </c>
      <c r="C93" s="23">
        <v>0</v>
      </c>
    </row>
    <row r="94" spans="1:3" ht="12.75" x14ac:dyDescent="0.2">
      <c r="A94" s="25" t="s">
        <v>73</v>
      </c>
      <c r="B94" s="26">
        <v>5414</v>
      </c>
      <c r="C94" s="23">
        <v>0</v>
      </c>
    </row>
    <row r="95" spans="1:3" ht="12.75" x14ac:dyDescent="0.2">
      <c r="A95" s="9" t="s">
        <v>569</v>
      </c>
      <c r="B95" s="10">
        <v>6905</v>
      </c>
      <c r="C95" s="23">
        <v>0</v>
      </c>
    </row>
    <row r="96" spans="1:3" ht="12.75" x14ac:dyDescent="0.2">
      <c r="A96" s="25"/>
      <c r="B96" s="26"/>
      <c r="C96" s="23"/>
    </row>
    <row r="97" spans="1:5" ht="12.75" x14ac:dyDescent="0.2">
      <c r="A97" s="24" t="s">
        <v>115</v>
      </c>
      <c r="B97" s="24" t="s">
        <v>115</v>
      </c>
      <c r="C97" s="942">
        <f>SUM(C82:C95)</f>
        <v>0</v>
      </c>
    </row>
    <row r="98" spans="1:5" ht="12.75" x14ac:dyDescent="0.2">
      <c r="A98" s="24"/>
      <c r="B98" s="24"/>
      <c r="C98" s="942"/>
    </row>
    <row r="99" spans="1:5" ht="12.75" x14ac:dyDescent="0.2">
      <c r="A99" s="9" t="s">
        <v>114</v>
      </c>
      <c r="B99" s="26">
        <v>4177</v>
      </c>
      <c r="C99" s="23">
        <v>0</v>
      </c>
    </row>
    <row r="100" spans="1:5" ht="12.75" x14ac:dyDescent="0.2">
      <c r="A100" s="1"/>
      <c r="B100" s="24"/>
      <c r="C100" s="942"/>
    </row>
    <row r="101" spans="1:5" ht="12.75" x14ac:dyDescent="0.2">
      <c r="A101" s="1" t="s">
        <v>848</v>
      </c>
      <c r="B101" s="1" t="s">
        <v>849</v>
      </c>
      <c r="C101" s="942">
        <f>C99</f>
        <v>0</v>
      </c>
    </row>
    <row r="102" spans="1:5" ht="12.75" x14ac:dyDescent="0.2">
      <c r="A102" s="25"/>
      <c r="B102" s="26"/>
      <c r="C102" s="942"/>
    </row>
    <row r="103" spans="1:5" ht="12.75" x14ac:dyDescent="0.2">
      <c r="A103" s="24" t="s">
        <v>116</v>
      </c>
      <c r="B103" s="24" t="s">
        <v>117</v>
      </c>
      <c r="C103" s="942">
        <f>C97+C80+C101</f>
        <v>0</v>
      </c>
    </row>
    <row r="104" spans="1:5" ht="12.75" x14ac:dyDescent="0.2">
      <c r="A104" s="80"/>
      <c r="B104" s="78"/>
      <c r="C104" s="78"/>
      <c r="D104" s="966"/>
      <c r="E104" s="110"/>
    </row>
    <row r="105" spans="1:5" ht="12.75" x14ac:dyDescent="0.2">
      <c r="A105" s="51"/>
      <c r="B105" s="51"/>
      <c r="C105" s="51"/>
      <c r="D105" s="966"/>
      <c r="E105" s="967"/>
    </row>
    <row r="106" spans="1:5" ht="12.75" x14ac:dyDescent="0.2">
      <c r="A106" s="51"/>
      <c r="B106" s="51"/>
      <c r="C106" s="51"/>
      <c r="D106" s="966"/>
      <c r="E106" s="967"/>
    </row>
    <row r="107" spans="1:5" ht="12.75" x14ac:dyDescent="0.2">
      <c r="A107" s="51"/>
      <c r="B107" s="51"/>
      <c r="C107" s="51"/>
      <c r="D107" s="966"/>
      <c r="E107" s="967"/>
    </row>
    <row r="108" spans="1:5" ht="12.75" x14ac:dyDescent="0.2">
      <c r="A108" s="51"/>
      <c r="B108" s="51"/>
      <c r="C108" s="51"/>
      <c r="D108" s="966"/>
      <c r="E108" s="967"/>
    </row>
    <row r="109" spans="1:5" ht="12.75" x14ac:dyDescent="0.2">
      <c r="A109" s="51"/>
      <c r="B109" s="51"/>
      <c r="C109" s="51"/>
      <c r="D109" s="966"/>
      <c r="E109" s="967"/>
    </row>
    <row r="110" spans="1:5" ht="12.75" x14ac:dyDescent="0.2">
      <c r="A110" s="51"/>
      <c r="B110" s="51"/>
      <c r="C110" s="51"/>
      <c r="D110" s="966"/>
      <c r="E110" s="967"/>
    </row>
    <row r="111" spans="1:5" ht="12.75" x14ac:dyDescent="0.2">
      <c r="A111" s="59" t="s">
        <v>238</v>
      </c>
      <c r="B111" s="59">
        <v>206189</v>
      </c>
      <c r="C111" s="79"/>
      <c r="D111" s="966"/>
      <c r="E111" s="967"/>
    </row>
    <row r="112" spans="1:5" ht="12.75" x14ac:dyDescent="0.2">
      <c r="A112" s="59" t="s">
        <v>1301</v>
      </c>
      <c r="B112" s="59">
        <v>2014</v>
      </c>
      <c r="C112" s="81"/>
      <c r="D112" s="966"/>
      <c r="E112" s="967"/>
    </row>
    <row r="113" spans="1:5" ht="12.75" x14ac:dyDescent="0.2">
      <c r="A113" s="59" t="s">
        <v>10</v>
      </c>
      <c r="B113" s="59">
        <v>2012</v>
      </c>
      <c r="C113" s="111"/>
      <c r="D113" s="966"/>
      <c r="E113" s="967"/>
    </row>
    <row r="114" spans="1:5" ht="12.75" x14ac:dyDescent="0.2">
      <c r="A114" s="59" t="s">
        <v>73</v>
      </c>
      <c r="B114" s="59">
        <v>5414</v>
      </c>
      <c r="C114" s="81"/>
      <c r="D114" s="966"/>
      <c r="E114" s="967"/>
    </row>
    <row r="115" spans="1:5" ht="12.75" x14ac:dyDescent="0.2">
      <c r="A115" s="59" t="s">
        <v>846</v>
      </c>
      <c r="B115" s="59">
        <v>4000</v>
      </c>
      <c r="C115" s="74"/>
      <c r="D115" s="966"/>
      <c r="E115" s="967"/>
    </row>
    <row r="116" spans="1:5" ht="12.75" x14ac:dyDescent="0.2">
      <c r="A116" s="59" t="s">
        <v>11</v>
      </c>
      <c r="B116" s="59">
        <v>2443</v>
      </c>
      <c r="C116" s="74"/>
      <c r="D116" s="966"/>
      <c r="E116" s="967"/>
    </row>
    <row r="117" spans="1:5" ht="12.75" x14ac:dyDescent="0.2">
      <c r="A117" s="59" t="s">
        <v>94</v>
      </c>
      <c r="B117" s="59">
        <v>2442</v>
      </c>
      <c r="C117" s="108"/>
      <c r="D117" s="966"/>
      <c r="E117" s="967"/>
    </row>
    <row r="118" spans="1:5" ht="12.75" x14ac:dyDescent="0.2">
      <c r="A118" s="59" t="s">
        <v>241</v>
      </c>
      <c r="B118" s="59" t="s">
        <v>242</v>
      </c>
      <c r="C118" s="74"/>
      <c r="D118" s="966"/>
      <c r="E118" s="967"/>
    </row>
    <row r="119" spans="1:5" ht="12.75" x14ac:dyDescent="0.2">
      <c r="A119" s="59" t="s">
        <v>13</v>
      </c>
      <c r="B119" s="59">
        <v>2629</v>
      </c>
      <c r="C119" s="112"/>
      <c r="D119" s="966"/>
      <c r="E119" s="967"/>
    </row>
    <row r="120" spans="1:5" ht="12.75" x14ac:dyDescent="0.2">
      <c r="A120" s="59" t="s">
        <v>14</v>
      </c>
      <c r="B120" s="59">
        <v>2509</v>
      </c>
      <c r="C120" s="83"/>
      <c r="D120" s="966"/>
      <c r="E120" s="110"/>
    </row>
    <row r="121" spans="1:5" ht="12.75" x14ac:dyDescent="0.2">
      <c r="A121" s="59" t="s">
        <v>2</v>
      </c>
      <c r="B121" s="59">
        <v>1014</v>
      </c>
      <c r="C121" s="78"/>
      <c r="D121" s="966"/>
      <c r="E121" s="967"/>
    </row>
    <row r="122" spans="1:5" ht="12.75" x14ac:dyDescent="0.2">
      <c r="A122" s="59" t="s">
        <v>15</v>
      </c>
      <c r="B122" s="59">
        <v>2005</v>
      </c>
    </row>
    <row r="123" spans="1:5" ht="12.75" x14ac:dyDescent="0.2">
      <c r="A123" s="59" t="s">
        <v>16</v>
      </c>
      <c r="B123" s="59">
        <v>2464</v>
      </c>
    </row>
    <row r="124" spans="1:5" ht="12.75" x14ac:dyDescent="0.2">
      <c r="A124" s="59" t="s">
        <v>706</v>
      </c>
      <c r="B124" s="59" t="s">
        <v>708</v>
      </c>
    </row>
    <row r="125" spans="1:5" ht="12.75" x14ac:dyDescent="0.2">
      <c r="A125" s="59" t="s">
        <v>17</v>
      </c>
      <c r="B125" s="59">
        <v>2004</v>
      </c>
    </row>
    <row r="126" spans="1:5" ht="12.75" x14ac:dyDescent="0.2">
      <c r="A126" s="59" t="s">
        <v>18</v>
      </c>
      <c r="B126" s="59">
        <v>2405</v>
      </c>
    </row>
    <row r="127" spans="1:5" ht="12.75" x14ac:dyDescent="0.2">
      <c r="A127" s="59" t="s">
        <v>243</v>
      </c>
      <c r="B127" s="59" t="s">
        <v>245</v>
      </c>
    </row>
    <row r="128" spans="1:5" ht="12.75" x14ac:dyDescent="0.2">
      <c r="A128" s="59" t="s">
        <v>250</v>
      </c>
      <c r="B128" s="59" t="s">
        <v>709</v>
      </c>
    </row>
    <row r="129" spans="1:2" ht="12.75" x14ac:dyDescent="0.2">
      <c r="A129" s="59" t="s">
        <v>246</v>
      </c>
      <c r="B129" s="59" t="s">
        <v>247</v>
      </c>
    </row>
    <row r="130" spans="1:2" ht="12.75" x14ac:dyDescent="0.2">
      <c r="A130" s="59" t="s">
        <v>248</v>
      </c>
      <c r="B130" s="59" t="s">
        <v>249</v>
      </c>
    </row>
    <row r="131" spans="1:2" ht="12.75" x14ac:dyDescent="0.2">
      <c r="A131" s="59" t="s">
        <v>19</v>
      </c>
      <c r="B131" s="59">
        <v>2011</v>
      </c>
    </row>
    <row r="132" spans="1:2" ht="12.75" x14ac:dyDescent="0.2">
      <c r="A132" s="59" t="s">
        <v>251</v>
      </c>
      <c r="B132" s="59" t="s">
        <v>252</v>
      </c>
    </row>
    <row r="133" spans="1:2" ht="12.75" x14ac:dyDescent="0.2">
      <c r="A133" s="59" t="s">
        <v>20</v>
      </c>
      <c r="B133" s="59">
        <v>5201</v>
      </c>
    </row>
    <row r="134" spans="1:2" ht="12.75" x14ac:dyDescent="0.2">
      <c r="A134" s="59" t="s">
        <v>253</v>
      </c>
      <c r="B134" s="59">
        <v>206124</v>
      </c>
    </row>
    <row r="135" spans="1:2" ht="12.75" x14ac:dyDescent="0.2">
      <c r="A135" s="59" t="s">
        <v>21</v>
      </c>
      <c r="B135" s="59">
        <v>2433</v>
      </c>
    </row>
    <row r="136" spans="1:2" ht="12.75" x14ac:dyDescent="0.2">
      <c r="A136" s="59" t="s">
        <v>22</v>
      </c>
      <c r="B136" s="59">
        <v>2432</v>
      </c>
    </row>
    <row r="137" spans="1:2" ht="12.75" x14ac:dyDescent="0.2">
      <c r="A137" s="59" t="s">
        <v>256</v>
      </c>
      <c r="B137" s="59" t="s">
        <v>258</v>
      </c>
    </row>
    <row r="138" spans="1:2" ht="12.75" x14ac:dyDescent="0.2">
      <c r="A138" s="59" t="s">
        <v>188</v>
      </c>
      <c r="B138" s="59">
        <v>2447</v>
      </c>
    </row>
    <row r="139" spans="1:2" ht="12.75" x14ac:dyDescent="0.2">
      <c r="A139" s="59" t="s">
        <v>23</v>
      </c>
      <c r="B139" s="59">
        <v>2512</v>
      </c>
    </row>
    <row r="140" spans="1:2" ht="12.75" x14ac:dyDescent="0.2">
      <c r="A140" s="59" t="s">
        <v>259</v>
      </c>
      <c r="B140" s="59">
        <v>206126</v>
      </c>
    </row>
    <row r="141" spans="1:2" x14ac:dyDescent="0.25">
      <c r="A141" s="59" t="s">
        <v>261</v>
      </c>
      <c r="B141" s="59">
        <v>206111</v>
      </c>
    </row>
    <row r="142" spans="1:2" x14ac:dyDescent="0.25">
      <c r="A142" s="59" t="s">
        <v>263</v>
      </c>
      <c r="B142" s="59">
        <v>206091</v>
      </c>
    </row>
    <row r="143" spans="1:2" x14ac:dyDescent="0.25">
      <c r="A143" s="59" t="s">
        <v>24</v>
      </c>
      <c r="B143" s="59">
        <v>2456</v>
      </c>
    </row>
    <row r="144" spans="1:2" x14ac:dyDescent="0.25">
      <c r="A144" s="59" t="s">
        <v>3</v>
      </c>
      <c r="B144" s="59">
        <v>1017</v>
      </c>
    </row>
    <row r="145" spans="1:2" x14ac:dyDescent="0.25">
      <c r="A145" s="59" t="s">
        <v>25</v>
      </c>
      <c r="B145" s="59">
        <v>2449</v>
      </c>
    </row>
    <row r="146" spans="1:2" x14ac:dyDescent="0.25">
      <c r="A146" s="59" t="s">
        <v>26</v>
      </c>
      <c r="B146" s="59">
        <v>2448</v>
      </c>
    </row>
    <row r="147" spans="1:2" x14ac:dyDescent="0.25">
      <c r="A147" s="59" t="s">
        <v>4</v>
      </c>
      <c r="B147" s="59">
        <v>1006</v>
      </c>
    </row>
    <row r="148" spans="1:2" x14ac:dyDescent="0.25">
      <c r="A148" s="59" t="s">
        <v>27</v>
      </c>
      <c r="B148" s="59">
        <v>2467</v>
      </c>
    </row>
    <row r="149" spans="1:2" x14ac:dyDescent="0.25">
      <c r="A149" s="59" t="s">
        <v>1373</v>
      </c>
      <c r="B149" s="59">
        <v>484300</v>
      </c>
    </row>
    <row r="150" spans="1:2" x14ac:dyDescent="0.25">
      <c r="A150" s="59" t="s">
        <v>75</v>
      </c>
      <c r="B150" s="59">
        <v>5402</v>
      </c>
    </row>
    <row r="151" spans="1:2" x14ac:dyDescent="0.25">
      <c r="A151" s="59" t="s">
        <v>28</v>
      </c>
      <c r="B151" s="59">
        <v>2455</v>
      </c>
    </row>
    <row r="152" spans="1:2" x14ac:dyDescent="0.25">
      <c r="A152" s="59" t="s">
        <v>29</v>
      </c>
      <c r="B152" s="59">
        <v>5203</v>
      </c>
    </row>
    <row r="153" spans="1:2" x14ac:dyDescent="0.25">
      <c r="A153" s="59" t="s">
        <v>30</v>
      </c>
      <c r="B153" s="59">
        <v>2451</v>
      </c>
    </row>
    <row r="154" spans="1:2" x14ac:dyDescent="0.25">
      <c r="A154" s="59" t="s">
        <v>265</v>
      </c>
      <c r="B154" s="59" t="s">
        <v>266</v>
      </c>
    </row>
    <row r="155" spans="1:2" x14ac:dyDescent="0.25">
      <c r="A155" s="59" t="s">
        <v>267</v>
      </c>
      <c r="B155" s="59">
        <v>206128</v>
      </c>
    </row>
    <row r="156" spans="1:2" x14ac:dyDescent="0.25">
      <c r="A156" s="59" t="s">
        <v>438</v>
      </c>
      <c r="B156" s="59">
        <v>4002</v>
      </c>
    </row>
    <row r="157" spans="1:2" x14ac:dyDescent="0.25">
      <c r="A157" s="59" t="s">
        <v>441</v>
      </c>
      <c r="B157" s="59">
        <v>2430</v>
      </c>
    </row>
    <row r="158" spans="1:2" x14ac:dyDescent="0.25">
      <c r="A158" s="59" t="s">
        <v>269</v>
      </c>
      <c r="B158" s="59" t="s">
        <v>710</v>
      </c>
    </row>
    <row r="159" spans="1:2" x14ac:dyDescent="0.25">
      <c r="A159" s="59" t="s">
        <v>711</v>
      </c>
      <c r="B159" s="59" t="s">
        <v>712</v>
      </c>
    </row>
    <row r="160" spans="1:2" x14ac:dyDescent="0.25">
      <c r="A160" s="59" t="s">
        <v>68</v>
      </c>
      <c r="B160" s="59">
        <v>4608</v>
      </c>
    </row>
    <row r="161" spans="1:2" x14ac:dyDescent="0.25">
      <c r="A161" s="59" t="s">
        <v>31</v>
      </c>
      <c r="B161" s="59">
        <v>2409</v>
      </c>
    </row>
    <row r="162" spans="1:2" x14ac:dyDescent="0.25">
      <c r="A162" s="59" t="s">
        <v>270</v>
      </c>
      <c r="B162" s="59" t="s">
        <v>271</v>
      </c>
    </row>
    <row r="163" spans="1:2" x14ac:dyDescent="0.25">
      <c r="A163" s="59" t="s">
        <v>1283</v>
      </c>
      <c r="B163" s="59" t="s">
        <v>714</v>
      </c>
    </row>
    <row r="164" spans="1:2" x14ac:dyDescent="0.25">
      <c r="A164" s="59" t="s">
        <v>525</v>
      </c>
      <c r="B164" s="59">
        <v>205921</v>
      </c>
    </row>
    <row r="165" spans="1:2" x14ac:dyDescent="0.25">
      <c r="A165" s="59" t="s">
        <v>1256</v>
      </c>
      <c r="B165" s="59" t="s">
        <v>719</v>
      </c>
    </row>
    <row r="166" spans="1:2" x14ac:dyDescent="0.25">
      <c r="A166" s="59" t="s">
        <v>1375</v>
      </c>
      <c r="B166" s="59">
        <v>398922</v>
      </c>
    </row>
    <row r="167" spans="1:2" x14ac:dyDescent="0.25">
      <c r="A167" s="59" t="s">
        <v>1374</v>
      </c>
      <c r="B167" s="59">
        <v>479804</v>
      </c>
    </row>
    <row r="168" spans="1:2" x14ac:dyDescent="0.25">
      <c r="A168" s="59" t="s">
        <v>524</v>
      </c>
      <c r="B168" s="59">
        <v>205999</v>
      </c>
    </row>
    <row r="169" spans="1:2" x14ac:dyDescent="0.25">
      <c r="A169" s="59" t="s">
        <v>523</v>
      </c>
      <c r="B169" s="59" t="s">
        <v>272</v>
      </c>
    </row>
    <row r="170" spans="1:2" x14ac:dyDescent="0.25">
      <c r="A170" s="59" t="s">
        <v>1257</v>
      </c>
      <c r="B170" s="59">
        <v>206065</v>
      </c>
    </row>
    <row r="171" spans="1:2" x14ac:dyDescent="0.25">
      <c r="A171" s="59" t="s">
        <v>1376</v>
      </c>
      <c r="B171" s="59">
        <v>314105</v>
      </c>
    </row>
    <row r="172" spans="1:2" x14ac:dyDescent="0.25">
      <c r="A172" s="59" t="s">
        <v>1400</v>
      </c>
      <c r="B172" s="59" t="s">
        <v>277</v>
      </c>
    </row>
    <row r="173" spans="1:2" x14ac:dyDescent="0.25">
      <c r="A173" s="59" t="s">
        <v>1377</v>
      </c>
      <c r="B173" s="59">
        <v>206076</v>
      </c>
    </row>
    <row r="174" spans="1:2" x14ac:dyDescent="0.25">
      <c r="A174" s="59" t="s">
        <v>561</v>
      </c>
      <c r="B174" s="59" t="s">
        <v>727</v>
      </c>
    </row>
    <row r="175" spans="1:2" x14ac:dyDescent="0.25">
      <c r="A175" s="59" t="s">
        <v>1399</v>
      </c>
      <c r="B175" s="59" t="s">
        <v>730</v>
      </c>
    </row>
    <row r="176" spans="1:2" x14ac:dyDescent="0.25">
      <c r="A176" s="59" t="s">
        <v>562</v>
      </c>
      <c r="B176" s="59" t="s">
        <v>275</v>
      </c>
    </row>
    <row r="177" spans="1:2" x14ac:dyDescent="0.25">
      <c r="A177" s="59" t="s">
        <v>1258</v>
      </c>
      <c r="B177" s="59" t="s">
        <v>724</v>
      </c>
    </row>
    <row r="178" spans="1:2" x14ac:dyDescent="0.25">
      <c r="A178" s="59" t="s">
        <v>1259</v>
      </c>
      <c r="B178" s="59">
        <v>205919</v>
      </c>
    </row>
    <row r="179" spans="1:2" x14ac:dyDescent="0.25">
      <c r="A179" s="59" t="s">
        <v>526</v>
      </c>
      <c r="B179" s="59" t="s">
        <v>276</v>
      </c>
    </row>
    <row r="180" spans="1:2" x14ac:dyDescent="0.25">
      <c r="A180" s="59" t="s">
        <v>1378</v>
      </c>
      <c r="B180" s="59">
        <v>477405</v>
      </c>
    </row>
    <row r="181" spans="1:2" x14ac:dyDescent="0.25">
      <c r="A181" s="59" t="s">
        <v>1260</v>
      </c>
      <c r="B181" s="59" t="s">
        <v>734</v>
      </c>
    </row>
    <row r="182" spans="1:2" x14ac:dyDescent="0.25">
      <c r="A182" s="59" t="s">
        <v>1379</v>
      </c>
      <c r="B182" s="59">
        <v>401536</v>
      </c>
    </row>
    <row r="183" spans="1:2" x14ac:dyDescent="0.25">
      <c r="A183" s="59" t="s">
        <v>1261</v>
      </c>
      <c r="B183" s="59" t="s">
        <v>736</v>
      </c>
    </row>
    <row r="184" spans="1:2" x14ac:dyDescent="0.25">
      <c r="A184" s="59" t="s">
        <v>1263</v>
      </c>
      <c r="B184" s="59" t="s">
        <v>739</v>
      </c>
    </row>
    <row r="185" spans="1:2" x14ac:dyDescent="0.25">
      <c r="A185" s="59" t="s">
        <v>1262</v>
      </c>
      <c r="B185" s="59">
        <v>205849</v>
      </c>
    </row>
    <row r="186" spans="1:2" x14ac:dyDescent="0.25">
      <c r="A186" s="59" t="s">
        <v>566</v>
      </c>
      <c r="B186" s="59" t="s">
        <v>273</v>
      </c>
    </row>
    <row r="187" spans="1:2" x14ac:dyDescent="0.25">
      <c r="A187" s="59" t="s">
        <v>1264</v>
      </c>
      <c r="B187" s="59" t="s">
        <v>741</v>
      </c>
    </row>
    <row r="188" spans="1:2" x14ac:dyDescent="0.25">
      <c r="A188" s="59" t="s">
        <v>1268</v>
      </c>
      <c r="B188" s="59">
        <v>205922</v>
      </c>
    </row>
    <row r="189" spans="1:2" x14ac:dyDescent="0.25">
      <c r="A189" s="59" t="s">
        <v>1267</v>
      </c>
      <c r="B189" s="59">
        <v>205881</v>
      </c>
    </row>
    <row r="190" spans="1:2" x14ac:dyDescent="0.25">
      <c r="A190" s="59" t="s">
        <v>1265</v>
      </c>
      <c r="B190" s="59" t="s">
        <v>744</v>
      </c>
    </row>
    <row r="191" spans="1:2" x14ac:dyDescent="0.25">
      <c r="A191" s="59" t="s">
        <v>527</v>
      </c>
      <c r="B191" s="59" t="s">
        <v>278</v>
      </c>
    </row>
    <row r="192" spans="1:2" x14ac:dyDescent="0.25">
      <c r="A192" s="59" t="s">
        <v>1266</v>
      </c>
      <c r="B192" s="59" t="s">
        <v>749</v>
      </c>
    </row>
    <row r="193" spans="1:2" x14ac:dyDescent="0.25">
      <c r="A193" s="59" t="s">
        <v>1380</v>
      </c>
      <c r="B193" s="59">
        <v>462623</v>
      </c>
    </row>
    <row r="194" spans="1:2" x14ac:dyDescent="0.25">
      <c r="A194" s="59" t="s">
        <v>750</v>
      </c>
      <c r="B194" s="59" t="s">
        <v>751</v>
      </c>
    </row>
    <row r="195" spans="1:2" x14ac:dyDescent="0.25">
      <c r="A195" s="59" t="s">
        <v>1269</v>
      </c>
      <c r="B195" s="59" t="s">
        <v>754</v>
      </c>
    </row>
    <row r="196" spans="1:2" x14ac:dyDescent="0.25">
      <c r="A196" s="59" t="s">
        <v>528</v>
      </c>
      <c r="B196" s="59">
        <v>2</v>
      </c>
    </row>
    <row r="197" spans="1:2" x14ac:dyDescent="0.25">
      <c r="A197" s="59" t="s">
        <v>1270</v>
      </c>
      <c r="B197" s="59" t="s">
        <v>621</v>
      </c>
    </row>
    <row r="198" spans="1:2" x14ac:dyDescent="0.25">
      <c r="A198" s="59" t="s">
        <v>1271</v>
      </c>
      <c r="B198" s="59" t="s">
        <v>639</v>
      </c>
    </row>
    <row r="199" spans="1:2" x14ac:dyDescent="0.25">
      <c r="A199" s="59" t="s">
        <v>1271</v>
      </c>
      <c r="B199" s="59">
        <v>205878</v>
      </c>
    </row>
    <row r="200" spans="1:2" x14ac:dyDescent="0.25">
      <c r="A200" s="59" t="s">
        <v>529</v>
      </c>
      <c r="B200" s="59">
        <v>205956</v>
      </c>
    </row>
    <row r="201" spans="1:2" x14ac:dyDescent="0.25">
      <c r="A201" s="59" t="s">
        <v>1273</v>
      </c>
      <c r="B201" s="59" t="s">
        <v>759</v>
      </c>
    </row>
    <row r="202" spans="1:2" x14ac:dyDescent="0.25">
      <c r="A202" s="59" t="s">
        <v>1382</v>
      </c>
      <c r="B202" s="59">
        <v>472319</v>
      </c>
    </row>
    <row r="203" spans="1:2" x14ac:dyDescent="0.25">
      <c r="A203" s="59" t="s">
        <v>1272</v>
      </c>
      <c r="B203" s="59">
        <v>260849</v>
      </c>
    </row>
    <row r="204" spans="1:2" x14ac:dyDescent="0.25">
      <c r="A204" s="59" t="s">
        <v>1383</v>
      </c>
      <c r="B204" s="59">
        <v>482805</v>
      </c>
    </row>
    <row r="205" spans="1:2" x14ac:dyDescent="0.25">
      <c r="A205" s="59" t="s">
        <v>1381</v>
      </c>
      <c r="B205" s="59">
        <v>447579</v>
      </c>
    </row>
    <row r="206" spans="1:2" x14ac:dyDescent="0.25">
      <c r="A206" s="59" t="s">
        <v>1274</v>
      </c>
      <c r="B206" s="59" t="s">
        <v>280</v>
      </c>
    </row>
    <row r="207" spans="1:2" x14ac:dyDescent="0.25">
      <c r="A207" s="59" t="s">
        <v>1275</v>
      </c>
      <c r="B207" s="59" t="s">
        <v>762</v>
      </c>
    </row>
    <row r="208" spans="1:2" x14ac:dyDescent="0.25">
      <c r="A208" s="59" t="s">
        <v>1277</v>
      </c>
      <c r="B208" s="59" t="s">
        <v>766</v>
      </c>
    </row>
    <row r="209" spans="1:2" x14ac:dyDescent="0.25">
      <c r="A209" s="59" t="s">
        <v>1276</v>
      </c>
      <c r="B209" s="59" t="s">
        <v>764</v>
      </c>
    </row>
    <row r="210" spans="1:2" x14ac:dyDescent="0.25">
      <c r="A210" s="59" t="s">
        <v>1279</v>
      </c>
      <c r="B210" s="59" t="s">
        <v>771</v>
      </c>
    </row>
    <row r="211" spans="1:2" x14ac:dyDescent="0.25">
      <c r="A211" s="437" t="s">
        <v>1278</v>
      </c>
      <c r="B211" s="529" t="s">
        <v>768</v>
      </c>
    </row>
    <row r="212" spans="1:2" x14ac:dyDescent="0.25">
      <c r="A212" s="437" t="s">
        <v>564</v>
      </c>
      <c r="B212" s="529" t="s">
        <v>281</v>
      </c>
    </row>
    <row r="213" spans="1:2" x14ac:dyDescent="0.25">
      <c r="A213" s="59" t="s">
        <v>1284</v>
      </c>
      <c r="B213" s="59" t="s">
        <v>774</v>
      </c>
    </row>
    <row r="214" spans="1:2" x14ac:dyDescent="0.25">
      <c r="A214" s="59" t="s">
        <v>1384</v>
      </c>
      <c r="B214" s="59">
        <v>484039</v>
      </c>
    </row>
    <row r="215" spans="1:2" x14ac:dyDescent="0.25">
      <c r="A215" s="59" t="s">
        <v>1285</v>
      </c>
      <c r="B215" s="59" t="s">
        <v>776</v>
      </c>
    </row>
    <row r="216" spans="1:2" x14ac:dyDescent="0.25">
      <c r="A216" s="59" t="s">
        <v>1385</v>
      </c>
      <c r="B216" s="59">
        <v>343478</v>
      </c>
    </row>
    <row r="217" spans="1:2" x14ac:dyDescent="0.25">
      <c r="A217" s="59" t="s">
        <v>532</v>
      </c>
      <c r="B217" s="59" t="s">
        <v>283</v>
      </c>
    </row>
    <row r="218" spans="1:2" x14ac:dyDescent="0.25">
      <c r="A218" s="59" t="s">
        <v>1280</v>
      </c>
      <c r="B218" s="59">
        <v>206031</v>
      </c>
    </row>
    <row r="219" spans="1:2" x14ac:dyDescent="0.25">
      <c r="A219" s="59" t="s">
        <v>531</v>
      </c>
      <c r="B219" s="59" t="s">
        <v>284</v>
      </c>
    </row>
    <row r="220" spans="1:2" x14ac:dyDescent="0.25">
      <c r="A220" s="59" t="s">
        <v>530</v>
      </c>
      <c r="B220" s="59" t="s">
        <v>282</v>
      </c>
    </row>
    <row r="221" spans="1:2" x14ac:dyDescent="0.25">
      <c r="A221" s="59" t="s">
        <v>1281</v>
      </c>
      <c r="B221" s="59" t="s">
        <v>781</v>
      </c>
    </row>
    <row r="222" spans="1:2" x14ac:dyDescent="0.25">
      <c r="A222" s="59" t="s">
        <v>1255</v>
      </c>
      <c r="B222" s="59" t="s">
        <v>285</v>
      </c>
    </row>
    <row r="223" spans="1:2" x14ac:dyDescent="0.25">
      <c r="A223" s="59" t="s">
        <v>1289</v>
      </c>
      <c r="B223" s="59">
        <v>260848</v>
      </c>
    </row>
    <row r="224" spans="1:2" x14ac:dyDescent="0.25">
      <c r="A224" s="59" t="s">
        <v>565</v>
      </c>
      <c r="B224" s="59">
        <v>206043</v>
      </c>
    </row>
    <row r="225" spans="1:2" x14ac:dyDescent="0.25">
      <c r="A225" s="59" t="s">
        <v>533</v>
      </c>
      <c r="B225" s="59" t="s">
        <v>286</v>
      </c>
    </row>
    <row r="226" spans="1:2" x14ac:dyDescent="0.25">
      <c r="A226" s="59" t="s">
        <v>533</v>
      </c>
      <c r="B226" s="59">
        <v>505502</v>
      </c>
    </row>
    <row r="227" spans="1:2" x14ac:dyDescent="0.25">
      <c r="A227" s="59" t="s">
        <v>563</v>
      </c>
      <c r="B227" s="59">
        <v>205978</v>
      </c>
    </row>
    <row r="228" spans="1:2" x14ac:dyDescent="0.25">
      <c r="A228" s="59" t="s">
        <v>1296</v>
      </c>
      <c r="B228" s="59">
        <v>435150</v>
      </c>
    </row>
    <row r="229" spans="1:2" x14ac:dyDescent="0.25">
      <c r="A229" s="59" t="s">
        <v>1288</v>
      </c>
      <c r="B229" s="59">
        <v>206067</v>
      </c>
    </row>
    <row r="230" spans="1:2" x14ac:dyDescent="0.25">
      <c r="A230" s="59" t="s">
        <v>534</v>
      </c>
      <c r="B230" s="59" t="s">
        <v>287</v>
      </c>
    </row>
    <row r="231" spans="1:2" x14ac:dyDescent="0.25">
      <c r="A231" s="59" t="s">
        <v>1282</v>
      </c>
      <c r="B231" s="59" t="s">
        <v>279</v>
      </c>
    </row>
    <row r="232" spans="1:2" x14ac:dyDescent="0.25">
      <c r="A232" s="59" t="s">
        <v>535</v>
      </c>
      <c r="B232" s="59" t="s">
        <v>288</v>
      </c>
    </row>
    <row r="233" spans="1:2" x14ac:dyDescent="0.25">
      <c r="A233" s="59" t="s">
        <v>1286</v>
      </c>
      <c r="B233" s="59" t="s">
        <v>793</v>
      </c>
    </row>
    <row r="234" spans="1:2" x14ac:dyDescent="0.25">
      <c r="A234" s="59" t="s">
        <v>1386</v>
      </c>
      <c r="B234" s="59">
        <v>414019</v>
      </c>
    </row>
    <row r="235" spans="1:2" x14ac:dyDescent="0.25">
      <c r="A235" s="59" t="s">
        <v>567</v>
      </c>
      <c r="B235" s="59" t="s">
        <v>274</v>
      </c>
    </row>
    <row r="236" spans="1:2" x14ac:dyDescent="0.25">
      <c r="A236" s="59" t="s">
        <v>1387</v>
      </c>
      <c r="B236" s="59">
        <v>458078</v>
      </c>
    </row>
    <row r="237" spans="1:2" x14ac:dyDescent="0.25">
      <c r="A237" s="59" t="s">
        <v>1287</v>
      </c>
      <c r="B237" s="59" t="s">
        <v>795</v>
      </c>
    </row>
    <row r="238" spans="1:2" x14ac:dyDescent="0.25">
      <c r="A238" s="59" t="s">
        <v>289</v>
      </c>
      <c r="B238" s="59" t="s">
        <v>290</v>
      </c>
    </row>
    <row r="239" spans="1:2" x14ac:dyDescent="0.25">
      <c r="A239" s="59" t="s">
        <v>1306</v>
      </c>
      <c r="B239" s="59">
        <v>4003</v>
      </c>
    </row>
    <row r="240" spans="1:2" x14ac:dyDescent="0.25">
      <c r="A240" s="59" t="s">
        <v>797</v>
      </c>
      <c r="B240" s="59" t="s">
        <v>798</v>
      </c>
    </row>
    <row r="241" spans="1:2" x14ac:dyDescent="0.25">
      <c r="A241" s="59" t="s">
        <v>291</v>
      </c>
      <c r="B241" s="59" t="s">
        <v>293</v>
      </c>
    </row>
    <row r="242" spans="1:2" x14ac:dyDescent="0.25">
      <c r="A242" s="59" t="s">
        <v>111</v>
      </c>
      <c r="B242" s="59">
        <v>4178</v>
      </c>
    </row>
    <row r="243" spans="1:2" x14ac:dyDescent="0.25">
      <c r="A243" s="59" t="s">
        <v>98</v>
      </c>
      <c r="B243" s="59">
        <v>3158</v>
      </c>
    </row>
    <row r="244" spans="1:2" x14ac:dyDescent="0.25">
      <c r="A244" s="59" t="s">
        <v>32</v>
      </c>
      <c r="B244" s="59">
        <v>2619</v>
      </c>
    </row>
    <row r="245" spans="1:2" x14ac:dyDescent="0.25">
      <c r="A245" s="59" t="s">
        <v>1388</v>
      </c>
      <c r="B245" s="59">
        <v>479542</v>
      </c>
    </row>
    <row r="246" spans="1:2" x14ac:dyDescent="0.25">
      <c r="A246" s="59" t="s">
        <v>1389</v>
      </c>
      <c r="B246" s="59" t="s">
        <v>1390</v>
      </c>
    </row>
    <row r="247" spans="1:2" x14ac:dyDescent="0.25">
      <c r="A247" s="59" t="s">
        <v>799</v>
      </c>
      <c r="B247" s="59" t="s">
        <v>800</v>
      </c>
    </row>
    <row r="248" spans="1:2" x14ac:dyDescent="0.25">
      <c r="A248" s="59" t="s">
        <v>1391</v>
      </c>
      <c r="B248" s="59">
        <v>487369</v>
      </c>
    </row>
    <row r="249" spans="1:2" x14ac:dyDescent="0.25">
      <c r="A249" s="59" t="s">
        <v>1392</v>
      </c>
      <c r="B249" s="59">
        <v>477763</v>
      </c>
    </row>
    <row r="250" spans="1:2" x14ac:dyDescent="0.25">
      <c r="A250" s="59" t="s">
        <v>294</v>
      </c>
      <c r="B250" s="59" t="s">
        <v>295</v>
      </c>
    </row>
    <row r="251" spans="1:2" x14ac:dyDescent="0.25">
      <c r="A251" s="59" t="s">
        <v>296</v>
      </c>
      <c r="B251" s="59">
        <v>258417</v>
      </c>
    </row>
    <row r="252" spans="1:2" x14ac:dyDescent="0.25">
      <c r="A252" s="59" t="s">
        <v>298</v>
      </c>
      <c r="B252" s="59" t="s">
        <v>300</v>
      </c>
    </row>
    <row r="253" spans="1:2" x14ac:dyDescent="0.25">
      <c r="A253" s="59" t="s">
        <v>301</v>
      </c>
      <c r="B253" s="59" t="s">
        <v>303</v>
      </c>
    </row>
    <row r="254" spans="1:2" x14ac:dyDescent="0.25">
      <c r="A254" s="59" t="s">
        <v>33</v>
      </c>
      <c r="B254" s="59">
        <v>2518</v>
      </c>
    </row>
    <row r="255" spans="1:2" x14ac:dyDescent="0.25">
      <c r="A255" s="59" t="s">
        <v>801</v>
      </c>
      <c r="B255" s="59" t="s">
        <v>802</v>
      </c>
    </row>
    <row r="256" spans="1:2" x14ac:dyDescent="0.25">
      <c r="A256" s="59" t="s">
        <v>304</v>
      </c>
      <c r="B256" s="59">
        <v>206106</v>
      </c>
    </row>
    <row r="257" spans="1:2" x14ac:dyDescent="0.25">
      <c r="A257" s="59" t="s">
        <v>306</v>
      </c>
      <c r="B257" s="59" t="s">
        <v>307</v>
      </c>
    </row>
    <row r="258" spans="1:2" x14ac:dyDescent="0.25">
      <c r="A258" s="59" t="s">
        <v>803</v>
      </c>
      <c r="B258" s="59" t="s">
        <v>804</v>
      </c>
    </row>
    <row r="259" spans="1:2" x14ac:dyDescent="0.25">
      <c r="A259" s="59" t="s">
        <v>34</v>
      </c>
      <c r="B259" s="59">
        <v>2457</v>
      </c>
    </row>
    <row r="260" spans="1:2" x14ac:dyDescent="0.25">
      <c r="A260" s="59" t="s">
        <v>99</v>
      </c>
      <c r="B260" s="59">
        <v>2010</v>
      </c>
    </row>
    <row r="261" spans="1:2" x14ac:dyDescent="0.25">
      <c r="A261" s="59" t="s">
        <v>35</v>
      </c>
      <c r="B261" s="59">
        <v>2002</v>
      </c>
    </row>
    <row r="262" spans="1:2" x14ac:dyDescent="0.25">
      <c r="A262" s="59" t="s">
        <v>36</v>
      </c>
      <c r="B262" s="59">
        <v>3544</v>
      </c>
    </row>
    <row r="263" spans="1:2" x14ac:dyDescent="0.25">
      <c r="A263" s="59" t="s">
        <v>5</v>
      </c>
      <c r="B263" s="59">
        <v>1008</v>
      </c>
    </row>
    <row r="264" spans="1:2" x14ac:dyDescent="0.25">
      <c r="A264" s="59" t="s">
        <v>308</v>
      </c>
      <c r="B264" s="59" t="s">
        <v>309</v>
      </c>
    </row>
    <row r="265" spans="1:2" x14ac:dyDescent="0.25">
      <c r="A265" s="59" t="s">
        <v>100</v>
      </c>
      <c r="B265" s="59">
        <v>2006</v>
      </c>
    </row>
    <row r="266" spans="1:2" x14ac:dyDescent="0.25">
      <c r="A266" s="59" t="s">
        <v>310</v>
      </c>
      <c r="B266" s="59" t="s">
        <v>311</v>
      </c>
    </row>
    <row r="267" spans="1:2" x14ac:dyDescent="0.25">
      <c r="A267" s="59" t="s">
        <v>312</v>
      </c>
      <c r="B267" s="59">
        <v>206133</v>
      </c>
    </row>
    <row r="268" spans="1:2" x14ac:dyDescent="0.25">
      <c r="A268" s="59" t="s">
        <v>806</v>
      </c>
      <c r="B268" s="59" t="s">
        <v>807</v>
      </c>
    </row>
    <row r="269" spans="1:2" x14ac:dyDescent="0.25">
      <c r="A269" s="59" t="s">
        <v>314</v>
      </c>
      <c r="B269" s="59" t="s">
        <v>316</v>
      </c>
    </row>
    <row r="270" spans="1:2" x14ac:dyDescent="0.25">
      <c r="A270" s="59" t="s">
        <v>317</v>
      </c>
      <c r="B270" s="59">
        <v>206134</v>
      </c>
    </row>
    <row r="271" spans="1:2" x14ac:dyDescent="0.25">
      <c r="A271" s="59" t="s">
        <v>321</v>
      </c>
      <c r="B271" s="59" t="s">
        <v>322</v>
      </c>
    </row>
    <row r="272" spans="1:2" x14ac:dyDescent="0.25">
      <c r="A272" s="59" t="s">
        <v>319</v>
      </c>
      <c r="B272" s="59" t="s">
        <v>320</v>
      </c>
    </row>
    <row r="273" spans="1:2" x14ac:dyDescent="0.25">
      <c r="A273" s="59" t="s">
        <v>323</v>
      </c>
      <c r="B273" s="59" t="s">
        <v>324</v>
      </c>
    </row>
    <row r="274" spans="1:2" x14ac:dyDescent="0.25">
      <c r="A274" s="59" t="s">
        <v>325</v>
      </c>
      <c r="B274" s="59">
        <v>206109</v>
      </c>
    </row>
    <row r="275" spans="1:2" x14ac:dyDescent="0.25">
      <c r="A275" s="59" t="s">
        <v>37</v>
      </c>
      <c r="B275" s="59">
        <v>2434</v>
      </c>
    </row>
    <row r="276" spans="1:2" x14ac:dyDescent="0.25">
      <c r="A276" s="59" t="s">
        <v>42</v>
      </c>
      <c r="B276" s="59">
        <v>2009</v>
      </c>
    </row>
    <row r="277" spans="1:2" x14ac:dyDescent="0.25">
      <c r="A277" s="59" t="s">
        <v>569</v>
      </c>
      <c r="B277" s="59">
        <v>6905</v>
      </c>
    </row>
    <row r="278" spans="1:2" x14ac:dyDescent="0.25">
      <c r="A278" s="59" t="s">
        <v>38</v>
      </c>
      <c r="B278" s="59">
        <v>2522</v>
      </c>
    </row>
    <row r="279" spans="1:2" x14ac:dyDescent="0.25">
      <c r="A279" s="59" t="s">
        <v>327</v>
      </c>
      <c r="B279" s="59">
        <v>206110</v>
      </c>
    </row>
    <row r="280" spans="1:2" x14ac:dyDescent="0.25">
      <c r="A280" s="59" t="s">
        <v>329</v>
      </c>
      <c r="B280" s="59">
        <v>206135</v>
      </c>
    </row>
    <row r="281" spans="1:2" x14ac:dyDescent="0.25">
      <c r="A281" s="59" t="s">
        <v>69</v>
      </c>
      <c r="B281" s="59">
        <v>4181</v>
      </c>
    </row>
    <row r="282" spans="1:2" x14ac:dyDescent="0.25">
      <c r="A282" s="59" t="s">
        <v>331</v>
      </c>
      <c r="B282" s="59">
        <v>509195</v>
      </c>
    </row>
    <row r="283" spans="1:2" x14ac:dyDescent="0.25">
      <c r="A283" s="59" t="s">
        <v>1393</v>
      </c>
      <c r="B283" s="59">
        <v>480857</v>
      </c>
    </row>
    <row r="284" spans="1:2" x14ac:dyDescent="0.25">
      <c r="A284" s="59" t="s">
        <v>333</v>
      </c>
      <c r="B284" s="59" t="s">
        <v>334</v>
      </c>
    </row>
    <row r="285" spans="1:2" x14ac:dyDescent="0.25">
      <c r="A285" s="59" t="s">
        <v>335</v>
      </c>
      <c r="B285" s="59" t="s">
        <v>336</v>
      </c>
    </row>
    <row r="286" spans="1:2" x14ac:dyDescent="0.25">
      <c r="A286" s="59" t="s">
        <v>1394</v>
      </c>
      <c r="B286" s="59">
        <v>492973</v>
      </c>
    </row>
    <row r="287" spans="1:2" x14ac:dyDescent="0.25">
      <c r="A287" s="59" t="s">
        <v>337</v>
      </c>
      <c r="B287" s="59" t="s">
        <v>339</v>
      </c>
    </row>
    <row r="288" spans="1:2" x14ac:dyDescent="0.25">
      <c r="A288" s="59" t="s">
        <v>340</v>
      </c>
      <c r="B288" s="59">
        <v>509199</v>
      </c>
    </row>
    <row r="289" spans="1:2" x14ac:dyDescent="0.25">
      <c r="A289" s="59" t="s">
        <v>342</v>
      </c>
      <c r="B289" s="59">
        <v>509197</v>
      </c>
    </row>
    <row r="290" spans="1:2" x14ac:dyDescent="0.25">
      <c r="A290" s="59" t="s">
        <v>808</v>
      </c>
      <c r="B290" s="59">
        <v>479383</v>
      </c>
    </row>
    <row r="291" spans="1:2" x14ac:dyDescent="0.25">
      <c r="A291" s="59" t="s">
        <v>347</v>
      </c>
      <c r="B291" s="59" t="s">
        <v>348</v>
      </c>
    </row>
    <row r="292" spans="1:2" x14ac:dyDescent="0.25">
      <c r="A292" s="59" t="s">
        <v>70</v>
      </c>
      <c r="B292" s="59">
        <v>4182</v>
      </c>
    </row>
    <row r="293" spans="1:2" x14ac:dyDescent="0.25">
      <c r="A293" s="59" t="s">
        <v>344</v>
      </c>
      <c r="B293" s="59" t="s">
        <v>346</v>
      </c>
    </row>
    <row r="294" spans="1:2" x14ac:dyDescent="0.25">
      <c r="A294" s="59" t="s">
        <v>6</v>
      </c>
      <c r="B294" s="59">
        <v>1005</v>
      </c>
    </row>
    <row r="295" spans="1:2" x14ac:dyDescent="0.25">
      <c r="A295" s="59" t="s">
        <v>809</v>
      </c>
      <c r="B295" s="59" t="s">
        <v>810</v>
      </c>
    </row>
    <row r="296" spans="1:2" x14ac:dyDescent="0.25">
      <c r="A296" s="59" t="s">
        <v>39</v>
      </c>
      <c r="B296" s="59">
        <v>2436</v>
      </c>
    </row>
    <row r="297" spans="1:2" x14ac:dyDescent="0.25">
      <c r="A297" s="59" t="s">
        <v>349</v>
      </c>
      <c r="B297" s="59">
        <v>206117</v>
      </c>
    </row>
    <row r="298" spans="1:2" x14ac:dyDescent="0.25">
      <c r="A298" s="59" t="s">
        <v>40</v>
      </c>
      <c r="B298" s="59">
        <v>2452</v>
      </c>
    </row>
    <row r="299" spans="1:2" x14ac:dyDescent="0.25">
      <c r="A299" s="59" t="s">
        <v>71</v>
      </c>
      <c r="B299" s="59">
        <v>4001</v>
      </c>
    </row>
    <row r="300" spans="1:2" x14ac:dyDescent="0.25">
      <c r="A300" s="59" t="s">
        <v>351</v>
      </c>
      <c r="B300" s="59">
        <v>206141</v>
      </c>
    </row>
    <row r="301" spans="1:2" x14ac:dyDescent="0.25">
      <c r="A301" s="59" t="s">
        <v>41</v>
      </c>
      <c r="B301" s="59">
        <v>2627</v>
      </c>
    </row>
    <row r="302" spans="1:2" x14ac:dyDescent="0.25">
      <c r="A302" s="59" t="s">
        <v>112</v>
      </c>
      <c r="B302" s="59">
        <v>5406</v>
      </c>
    </row>
    <row r="303" spans="1:2" x14ac:dyDescent="0.25">
      <c r="A303" s="59" t="s">
        <v>113</v>
      </c>
      <c r="B303" s="59">
        <v>5407</v>
      </c>
    </row>
    <row r="304" spans="1:2" x14ac:dyDescent="0.25">
      <c r="A304" s="59" t="s">
        <v>353</v>
      </c>
      <c r="B304" s="59" t="s">
        <v>355</v>
      </c>
    </row>
    <row r="305" spans="1:2" x14ac:dyDescent="0.25">
      <c r="A305" s="59" t="s">
        <v>356</v>
      </c>
      <c r="B305" s="59">
        <v>258404</v>
      </c>
    </row>
    <row r="306" spans="1:2" x14ac:dyDescent="0.25">
      <c r="A306" s="59" t="s">
        <v>101</v>
      </c>
      <c r="B306" s="59">
        <v>2473</v>
      </c>
    </row>
    <row r="307" spans="1:2" x14ac:dyDescent="0.25">
      <c r="A307" s="59" t="s">
        <v>44</v>
      </c>
      <c r="B307" s="59">
        <v>2471</v>
      </c>
    </row>
    <row r="308" spans="1:2" x14ac:dyDescent="0.25">
      <c r="A308" s="59" t="s">
        <v>358</v>
      </c>
      <c r="B308" s="59">
        <v>258405</v>
      </c>
    </row>
    <row r="309" spans="1:2" x14ac:dyDescent="0.25">
      <c r="A309" s="59" t="s">
        <v>360</v>
      </c>
      <c r="B309" s="59">
        <v>258406</v>
      </c>
    </row>
    <row r="310" spans="1:2" x14ac:dyDescent="0.25">
      <c r="A310" s="59" t="s">
        <v>1395</v>
      </c>
      <c r="B310" s="59">
        <v>206145</v>
      </c>
    </row>
    <row r="311" spans="1:2" x14ac:dyDescent="0.25">
      <c r="A311" s="59" t="s">
        <v>43</v>
      </c>
      <c r="B311" s="59">
        <v>2420</v>
      </c>
    </row>
    <row r="312" spans="1:2" x14ac:dyDescent="0.25">
      <c r="A312" s="59" t="s">
        <v>362</v>
      </c>
      <c r="B312" s="59">
        <v>206160</v>
      </c>
    </row>
    <row r="313" spans="1:2" x14ac:dyDescent="0.25">
      <c r="A313" s="59" t="s">
        <v>45</v>
      </c>
      <c r="B313" s="59">
        <v>2003</v>
      </c>
    </row>
    <row r="314" spans="1:2" x14ac:dyDescent="0.25">
      <c r="A314" s="59" t="s">
        <v>46</v>
      </c>
      <c r="B314" s="59">
        <v>2423</v>
      </c>
    </row>
    <row r="315" spans="1:2" x14ac:dyDescent="0.25">
      <c r="A315" s="59" t="s">
        <v>47</v>
      </c>
      <c r="B315" s="59">
        <v>2424</v>
      </c>
    </row>
    <row r="316" spans="1:2" x14ac:dyDescent="0.25">
      <c r="A316" s="59" t="s">
        <v>364</v>
      </c>
      <c r="B316" s="59" t="s">
        <v>366</v>
      </c>
    </row>
    <row r="317" spans="1:2" x14ac:dyDescent="0.25">
      <c r="A317" s="59" t="s">
        <v>367</v>
      </c>
      <c r="B317" s="59" t="s">
        <v>368</v>
      </c>
    </row>
    <row r="318" spans="1:2" x14ac:dyDescent="0.25">
      <c r="A318" s="59" t="s">
        <v>369</v>
      </c>
      <c r="B318" s="59" t="s">
        <v>371</v>
      </c>
    </row>
    <row r="319" spans="1:2" x14ac:dyDescent="0.25">
      <c r="A319" s="59" t="s">
        <v>811</v>
      </c>
      <c r="B319" s="59" t="s">
        <v>812</v>
      </c>
    </row>
    <row r="320" spans="1:2" x14ac:dyDescent="0.25">
      <c r="A320" s="59" t="s">
        <v>372</v>
      </c>
      <c r="B320" s="59">
        <v>206146</v>
      </c>
    </row>
    <row r="321" spans="1:2" x14ac:dyDescent="0.25">
      <c r="A321" s="59" t="s">
        <v>48</v>
      </c>
      <c r="B321" s="59">
        <v>2439</v>
      </c>
    </row>
    <row r="322" spans="1:2" x14ac:dyDescent="0.25">
      <c r="A322" s="59" t="s">
        <v>49</v>
      </c>
      <c r="B322" s="59">
        <v>2440</v>
      </c>
    </row>
    <row r="323" spans="1:2" x14ac:dyDescent="0.25">
      <c r="A323" s="59" t="s">
        <v>374</v>
      </c>
      <c r="B323" s="59" t="s">
        <v>375</v>
      </c>
    </row>
    <row r="324" spans="1:2" x14ac:dyDescent="0.25">
      <c r="A324" s="59" t="s">
        <v>813</v>
      </c>
      <c r="B324" s="59" t="s">
        <v>814</v>
      </c>
    </row>
    <row r="325" spans="1:2" x14ac:dyDescent="0.25">
      <c r="A325" s="59" t="s">
        <v>815</v>
      </c>
      <c r="B325" s="59" t="s">
        <v>816</v>
      </c>
    </row>
    <row r="326" spans="1:2" x14ac:dyDescent="0.25">
      <c r="A326" s="67" t="s">
        <v>377</v>
      </c>
      <c r="B326" s="67" t="s">
        <v>378</v>
      </c>
    </row>
    <row r="327" spans="1:2" x14ac:dyDescent="0.25">
      <c r="A327" s="105" t="s">
        <v>377</v>
      </c>
      <c r="B327" s="110" t="s">
        <v>817</v>
      </c>
    </row>
    <row r="328" spans="1:2" x14ac:dyDescent="0.25">
      <c r="A328" s="105" t="s">
        <v>102</v>
      </c>
      <c r="B328" s="110">
        <v>2462</v>
      </c>
    </row>
    <row r="329" spans="1:2" x14ac:dyDescent="0.25">
      <c r="A329" s="105" t="s">
        <v>50</v>
      </c>
      <c r="B329" s="110">
        <v>2463</v>
      </c>
    </row>
    <row r="330" spans="1:2" x14ac:dyDescent="0.25">
      <c r="A330" s="105" t="s">
        <v>51</v>
      </c>
      <c r="B330" s="67">
        <v>2505</v>
      </c>
    </row>
    <row r="331" spans="1:2" x14ac:dyDescent="0.25">
      <c r="A331" s="105" t="s">
        <v>1304</v>
      </c>
      <c r="B331" s="110">
        <v>2000</v>
      </c>
    </row>
    <row r="332" spans="1:2" x14ac:dyDescent="0.25">
      <c r="A332" s="105" t="s">
        <v>53</v>
      </c>
      <c r="B332" s="67">
        <v>2458</v>
      </c>
    </row>
    <row r="333" spans="1:2" x14ac:dyDescent="0.25">
      <c r="A333" s="105" t="s">
        <v>379</v>
      </c>
      <c r="B333" s="67" t="s">
        <v>381</v>
      </c>
    </row>
    <row r="334" spans="1:2" x14ac:dyDescent="0.25">
      <c r="A334" s="105" t="s">
        <v>54</v>
      </c>
      <c r="B334" s="67">
        <v>2001</v>
      </c>
    </row>
    <row r="335" spans="1:2" x14ac:dyDescent="0.25">
      <c r="A335" s="105" t="s">
        <v>382</v>
      </c>
      <c r="B335" s="67" t="s">
        <v>383</v>
      </c>
    </row>
    <row r="336" spans="1:2" x14ac:dyDescent="0.25">
      <c r="A336" s="105" t="s">
        <v>55</v>
      </c>
      <c r="B336" s="67">
        <v>2429</v>
      </c>
    </row>
    <row r="337" spans="1:2" x14ac:dyDescent="0.25">
      <c r="A337" s="105" t="s">
        <v>384</v>
      </c>
      <c r="B337" s="67">
        <v>113044</v>
      </c>
    </row>
    <row r="338" spans="1:2" x14ac:dyDescent="0.25">
      <c r="A338" s="105" t="s">
        <v>386</v>
      </c>
      <c r="B338" s="67" t="s">
        <v>388</v>
      </c>
    </row>
    <row r="339" spans="1:2" x14ac:dyDescent="0.25">
      <c r="A339" s="105" t="s">
        <v>72</v>
      </c>
      <c r="B339" s="67">
        <v>4607</v>
      </c>
    </row>
    <row r="340" spans="1:2" x14ac:dyDescent="0.25">
      <c r="A340" s="105" t="s">
        <v>818</v>
      </c>
      <c r="B340" s="67" t="s">
        <v>819</v>
      </c>
    </row>
    <row r="341" spans="1:2" x14ac:dyDescent="0.25">
      <c r="A341" s="105" t="s">
        <v>820</v>
      </c>
      <c r="B341" s="67" t="s">
        <v>821</v>
      </c>
    </row>
    <row r="342" spans="1:2" x14ac:dyDescent="0.25">
      <c r="A342" s="105" t="s">
        <v>56</v>
      </c>
      <c r="B342" s="67">
        <v>2444</v>
      </c>
    </row>
    <row r="343" spans="1:2" x14ac:dyDescent="0.25">
      <c r="A343" s="105" t="s">
        <v>57</v>
      </c>
      <c r="B343" s="67">
        <v>5209</v>
      </c>
    </row>
    <row r="344" spans="1:2" x14ac:dyDescent="0.25">
      <c r="A344" s="105" t="s">
        <v>389</v>
      </c>
      <c r="B344" s="67" t="s">
        <v>391</v>
      </c>
    </row>
    <row r="345" spans="1:2" x14ac:dyDescent="0.25">
      <c r="A345" s="105" t="s">
        <v>392</v>
      </c>
      <c r="B345" s="67" t="s">
        <v>394</v>
      </c>
    </row>
    <row r="346" spans="1:2" x14ac:dyDescent="0.25">
      <c r="A346" s="105" t="s">
        <v>58</v>
      </c>
      <c r="B346" s="67">
        <v>2469</v>
      </c>
    </row>
    <row r="347" spans="1:2" x14ac:dyDescent="0.25">
      <c r="A347" s="105" t="s">
        <v>395</v>
      </c>
      <c r="B347" s="110" t="s">
        <v>397</v>
      </c>
    </row>
    <row r="348" spans="1:2" x14ac:dyDescent="0.25">
      <c r="A348" s="105" t="s">
        <v>398</v>
      </c>
      <c r="B348" s="67" t="s">
        <v>399</v>
      </c>
    </row>
    <row r="349" spans="1:2" x14ac:dyDescent="0.25">
      <c r="A349" s="59" t="s">
        <v>59</v>
      </c>
      <c r="B349" s="59">
        <v>2466</v>
      </c>
    </row>
    <row r="350" spans="1:2" x14ac:dyDescent="0.25">
      <c r="A350" s="59" t="s">
        <v>60</v>
      </c>
      <c r="B350" s="59">
        <v>3543</v>
      </c>
    </row>
    <row r="351" spans="1:2" x14ac:dyDescent="0.25">
      <c r="A351" s="59" t="s">
        <v>400</v>
      </c>
      <c r="B351" s="59">
        <v>206152</v>
      </c>
    </row>
    <row r="352" spans="1:2" x14ac:dyDescent="0.25">
      <c r="A352" s="59" t="s">
        <v>402</v>
      </c>
      <c r="B352" s="59">
        <v>206153</v>
      </c>
    </row>
    <row r="353" spans="1:2" x14ac:dyDescent="0.25">
      <c r="A353" s="59" t="s">
        <v>62</v>
      </c>
      <c r="B353" s="59">
        <v>3531</v>
      </c>
    </row>
    <row r="354" spans="1:2" x14ac:dyDescent="0.25">
      <c r="A354" s="59" t="s">
        <v>63</v>
      </c>
      <c r="B354" s="59">
        <v>3526</v>
      </c>
    </row>
    <row r="355" spans="1:2" x14ac:dyDescent="0.25">
      <c r="A355" s="59" t="s">
        <v>104</v>
      </c>
      <c r="B355" s="59">
        <v>3535</v>
      </c>
    </row>
    <row r="356" spans="1:2" x14ac:dyDescent="0.25">
      <c r="A356" s="59" t="s">
        <v>64</v>
      </c>
      <c r="B356" s="59">
        <v>2008</v>
      </c>
    </row>
    <row r="357" spans="1:2" x14ac:dyDescent="0.25">
      <c r="A357" s="59" t="s">
        <v>105</v>
      </c>
      <c r="B357" s="59">
        <v>3542</v>
      </c>
    </row>
    <row r="358" spans="1:2" x14ac:dyDescent="0.25">
      <c r="A358" s="59" t="s">
        <v>404</v>
      </c>
      <c r="B358" s="59">
        <v>206154</v>
      </c>
    </row>
    <row r="359" spans="1:2" x14ac:dyDescent="0.25">
      <c r="A359" s="59" t="s">
        <v>106</v>
      </c>
      <c r="B359" s="59">
        <v>3528</v>
      </c>
    </row>
    <row r="360" spans="1:2" x14ac:dyDescent="0.25">
      <c r="A360" s="59" t="s">
        <v>406</v>
      </c>
      <c r="B360" s="59" t="s">
        <v>407</v>
      </c>
    </row>
    <row r="361" spans="1:2" x14ac:dyDescent="0.25">
      <c r="A361" s="59" t="s">
        <v>107</v>
      </c>
      <c r="B361" s="59">
        <v>3534</v>
      </c>
    </row>
    <row r="362" spans="1:2" x14ac:dyDescent="0.25">
      <c r="A362" s="59" t="s">
        <v>108</v>
      </c>
      <c r="B362" s="59">
        <v>3532</v>
      </c>
    </row>
    <row r="363" spans="1:2" x14ac:dyDescent="0.25">
      <c r="A363" s="59" t="s">
        <v>7</v>
      </c>
      <c r="B363" s="59">
        <v>1010</v>
      </c>
    </row>
    <row r="364" spans="1:2" x14ac:dyDescent="0.25">
      <c r="A364" s="59" t="s">
        <v>1396</v>
      </c>
      <c r="B364" s="59">
        <v>484523</v>
      </c>
    </row>
    <row r="365" spans="1:2" x14ac:dyDescent="0.25">
      <c r="A365" s="59" t="s">
        <v>408</v>
      </c>
      <c r="B365" s="59" t="s">
        <v>410</v>
      </c>
    </row>
    <row r="366" spans="1:2" x14ac:dyDescent="0.25">
      <c r="A366" s="59" t="s">
        <v>114</v>
      </c>
      <c r="B366" s="59">
        <v>4177</v>
      </c>
    </row>
    <row r="367" spans="1:2" x14ac:dyDescent="0.25">
      <c r="A367" s="59" t="s">
        <v>822</v>
      </c>
      <c r="B367" s="59" t="s">
        <v>824</v>
      </c>
    </row>
    <row r="368" spans="1:2" x14ac:dyDescent="0.25">
      <c r="A368" s="59" t="s">
        <v>411</v>
      </c>
      <c r="B368" s="59" t="s">
        <v>413</v>
      </c>
    </row>
    <row r="369" spans="1:2" x14ac:dyDescent="0.25">
      <c r="A369" s="59" t="s">
        <v>414</v>
      </c>
      <c r="B369" s="59">
        <v>206103</v>
      </c>
    </row>
    <row r="370" spans="1:2" x14ac:dyDescent="0.25">
      <c r="A370" s="59" t="s">
        <v>415</v>
      </c>
      <c r="B370" s="59" t="s">
        <v>417</v>
      </c>
    </row>
    <row r="371" spans="1:2" x14ac:dyDescent="0.25">
      <c r="A371" s="59" t="s">
        <v>418</v>
      </c>
      <c r="B371" s="59" t="s">
        <v>420</v>
      </c>
    </row>
    <row r="372" spans="1:2" x14ac:dyDescent="0.25">
      <c r="A372" s="59" t="s">
        <v>421</v>
      </c>
      <c r="B372" s="59">
        <v>258420</v>
      </c>
    </row>
    <row r="373" spans="1:2" x14ac:dyDescent="0.25">
      <c r="A373" s="59" t="s">
        <v>423</v>
      </c>
      <c r="B373" s="59">
        <v>258424</v>
      </c>
    </row>
    <row r="374" spans="1:2" x14ac:dyDescent="0.25">
      <c r="A374" s="59" t="s">
        <v>1397</v>
      </c>
      <c r="B374" s="59">
        <v>482634</v>
      </c>
    </row>
    <row r="375" spans="1:2" x14ac:dyDescent="0.25">
      <c r="A375" s="59" t="s">
        <v>425</v>
      </c>
      <c r="B375" s="59" t="s">
        <v>426</v>
      </c>
    </row>
    <row r="376" spans="1:2" x14ac:dyDescent="0.25">
      <c r="A376" s="59" t="s">
        <v>65</v>
      </c>
      <c r="B376" s="59">
        <v>3546</v>
      </c>
    </row>
    <row r="377" spans="1:2" x14ac:dyDescent="0.25">
      <c r="A377" s="59" t="s">
        <v>8</v>
      </c>
      <c r="B377" s="59">
        <v>1009</v>
      </c>
    </row>
    <row r="378" spans="1:2" x14ac:dyDescent="0.25">
      <c r="A378" s="59" t="s">
        <v>1398</v>
      </c>
      <c r="B378" s="59">
        <v>476554</v>
      </c>
    </row>
    <row r="379" spans="1:2" x14ac:dyDescent="0.25">
      <c r="A379" s="59" t="s">
        <v>66</v>
      </c>
      <c r="B379" s="59">
        <v>3530</v>
      </c>
    </row>
    <row r="380" spans="1:2" x14ac:dyDescent="0.25">
      <c r="A380" s="59" t="s">
        <v>74</v>
      </c>
      <c r="B380" s="59">
        <v>5412</v>
      </c>
    </row>
    <row r="381" spans="1:2" x14ac:dyDescent="0.25">
      <c r="A381" s="59" t="s">
        <v>432</v>
      </c>
      <c r="B381" s="59" t="s">
        <v>433</v>
      </c>
    </row>
    <row r="382" spans="1:2" x14ac:dyDescent="0.25">
      <c r="A382" s="59" t="s">
        <v>427</v>
      </c>
      <c r="B382" s="59" t="s">
        <v>429</v>
      </c>
    </row>
    <row r="383" spans="1:2" x14ac:dyDescent="0.25">
      <c r="A383" s="59" t="s">
        <v>9</v>
      </c>
      <c r="B383" s="59">
        <v>1015</v>
      </c>
    </row>
    <row r="384" spans="1:2" x14ac:dyDescent="0.25">
      <c r="A384" s="59" t="s">
        <v>430</v>
      </c>
      <c r="B384" s="59" t="s">
        <v>431</v>
      </c>
    </row>
    <row r="385" spans="1:2" x14ac:dyDescent="0.25">
      <c r="A385" s="59" t="s">
        <v>434</v>
      </c>
      <c r="B385" s="59">
        <v>509204</v>
      </c>
    </row>
    <row r="386" spans="1:2" x14ac:dyDescent="0.25">
      <c r="A386" s="59" t="s">
        <v>434</v>
      </c>
      <c r="B386" s="59" t="s">
        <v>825</v>
      </c>
    </row>
    <row r="387" spans="1:2" x14ac:dyDescent="0.25">
      <c r="A387" s="59" t="s">
        <v>67</v>
      </c>
      <c r="B387" s="59">
        <v>2459</v>
      </c>
    </row>
    <row r="388" spans="1:2" x14ac:dyDescent="0.25">
      <c r="A388" s="59" t="s">
        <v>96</v>
      </c>
      <c r="B388" s="59">
        <v>2007</v>
      </c>
    </row>
    <row r="389" spans="1:2" x14ac:dyDescent="0.25">
      <c r="A389" s="11"/>
      <c r="B389" s="2"/>
    </row>
    <row r="390" spans="1:2" x14ac:dyDescent="0.25">
      <c r="A390" s="11"/>
      <c r="B390" s="2"/>
    </row>
    <row r="391" spans="1:2" x14ac:dyDescent="0.25">
      <c r="A391" s="11"/>
      <c r="B391" s="2"/>
    </row>
  </sheetData>
  <sheetProtection password="EF5C" sheet="1" objects="1" scenarios="1"/>
  <pageMargins left="0.7" right="0.7" top="0.75" bottom="0.75" header="0.3" footer="0.3"/>
  <pageSetup paperSize="9" orientation="portrait"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59999389629810485"/>
    <pageSetUpPr fitToPage="1"/>
  </sheetPr>
  <dimension ref="A1:G29"/>
  <sheetViews>
    <sheetView tabSelected="1" zoomScale="75" zoomScaleNormal="75" zoomScalePageLayoutView="88" workbookViewId="0">
      <selection activeCell="A7" sqref="A7:D7"/>
    </sheetView>
  </sheetViews>
  <sheetFormatPr defaultColWidth="9.109375" defaultRowHeight="13.2" x14ac:dyDescent="0.25"/>
  <cols>
    <col min="1" max="1" width="71.109375" style="59" customWidth="1"/>
    <col min="2" max="2" width="30.33203125" style="59" customWidth="1"/>
    <col min="3" max="3" width="24.6640625" style="59" customWidth="1"/>
    <col min="4" max="4" width="32" style="68" customWidth="1"/>
    <col min="5" max="6" width="9.109375" style="59"/>
    <col min="7" max="7" width="13.109375" style="59" bestFit="1" customWidth="1"/>
    <col min="8" max="16384" width="9.109375" style="59"/>
  </cols>
  <sheetData>
    <row r="1" spans="1:4" ht="39" customHeight="1" thickBot="1" x14ac:dyDescent="0.3">
      <c r="A1" s="58"/>
      <c r="B1" s="69"/>
      <c r="C1" s="69"/>
      <c r="D1" s="70"/>
    </row>
    <row r="2" spans="1:4" ht="15.75" customHeight="1" thickBot="1" x14ac:dyDescent="0.25">
      <c r="A2" s="113" t="s">
        <v>574</v>
      </c>
      <c r="B2" s="60"/>
      <c r="C2" s="60"/>
      <c r="D2" s="61"/>
    </row>
    <row r="3" spans="1:4" ht="20.25" customHeight="1" thickBot="1" x14ac:dyDescent="0.25">
      <c r="A3" s="92" t="s">
        <v>502</v>
      </c>
      <c r="B3" s="65"/>
      <c r="C3" s="60"/>
      <c r="D3" s="63"/>
    </row>
    <row r="4" spans="1:4" ht="12.75" x14ac:dyDescent="0.2">
      <c r="A4" s="62"/>
      <c r="B4" s="65"/>
      <c r="C4" s="71" t="s">
        <v>498</v>
      </c>
      <c r="D4" s="82"/>
    </row>
    <row r="5" spans="1:4" ht="12.75" customHeight="1" x14ac:dyDescent="0.2">
      <c r="A5" s="62"/>
      <c r="B5" s="65"/>
      <c r="C5" s="64" t="str">
        <f>VLOOKUP($A$3,'Special Schools List'!A:C,3,FALSE)</f>
        <v>All</v>
      </c>
      <c r="D5" s="82"/>
    </row>
    <row r="6" spans="1:4" ht="12.75" x14ac:dyDescent="0.2">
      <c r="A6" s="66"/>
      <c r="B6" s="71"/>
      <c r="C6" s="60"/>
      <c r="D6" s="61"/>
    </row>
    <row r="7" spans="1:4" ht="25.5" customHeight="1" thickBot="1" x14ac:dyDescent="0.3">
      <c r="A7" s="1229" t="s">
        <v>1468</v>
      </c>
      <c r="B7" s="1230"/>
      <c r="C7" s="1230"/>
      <c r="D7" s="1231"/>
    </row>
    <row r="8" spans="1:4" ht="12.75" customHeight="1" thickBot="1" x14ac:dyDescent="0.3">
      <c r="A8" s="102"/>
      <c r="B8" s="72" t="s">
        <v>499</v>
      </c>
      <c r="C8" s="93" t="s">
        <v>500</v>
      </c>
      <c r="D8" s="87" t="s">
        <v>455</v>
      </c>
    </row>
    <row r="9" spans="1:4" s="73" customFormat="1" ht="50.1" customHeight="1" thickBot="1" x14ac:dyDescent="0.25">
      <c r="A9" s="96" t="s">
        <v>548</v>
      </c>
      <c r="B9" s="94">
        <f>SUMIF('Special Schools 2015-16'!A:A,C5,'Special Schools 2015-16'!BZ:BZ)</f>
        <v>535</v>
      </c>
      <c r="C9" s="95">
        <v>10000</v>
      </c>
      <c r="D9" s="88">
        <f>C9*B9</f>
        <v>5350000</v>
      </c>
    </row>
    <row r="10" spans="1:4" ht="12.75" customHeight="1" thickBot="1" x14ac:dyDescent="0.3">
      <c r="A10" s="102"/>
      <c r="B10" s="89" t="s">
        <v>499</v>
      </c>
      <c r="C10" s="90" t="s">
        <v>500</v>
      </c>
      <c r="D10" s="87" t="s">
        <v>455</v>
      </c>
    </row>
    <row r="11" spans="1:4" s="73" customFormat="1" ht="50.1" customHeight="1" thickBot="1" x14ac:dyDescent="0.25">
      <c r="A11" s="97" t="s">
        <v>504</v>
      </c>
      <c r="B11" s="1082">
        <f>SUMIF('Special Schools 2015-16'!A:A,C5,'Special Schools 2015-16'!CA:CA)</f>
        <v>85</v>
      </c>
      <c r="C11" s="1083">
        <v>10000</v>
      </c>
      <c r="D11" s="1081">
        <f>C11*B11</f>
        <v>850000</v>
      </c>
    </row>
    <row r="12" spans="1:4" s="73" customFormat="1" ht="12.75" customHeight="1" thickBot="1" x14ac:dyDescent="0.3">
      <c r="A12" s="101"/>
      <c r="B12" s="89" t="s">
        <v>499</v>
      </c>
      <c r="C12" s="90"/>
      <c r="D12" s="87" t="s">
        <v>455</v>
      </c>
    </row>
    <row r="13" spans="1:4" s="73" customFormat="1" ht="50.1" customHeight="1" thickBot="1" x14ac:dyDescent="0.25">
      <c r="A13" s="98" t="s">
        <v>1474</v>
      </c>
      <c r="B13" s="94">
        <f>SUMIF('Special Schools 2015-16'!A:A,C5,'Special Schools 2015-16'!CE:CE)+SUMIF('Special Schools 2015-16'!A:A,C5,'Special Schools 2015-16'!CH:CH)</f>
        <v>96</v>
      </c>
      <c r="C13" s="91">
        <v>10000</v>
      </c>
      <c r="D13" s="380">
        <f>B13*C13</f>
        <v>960000</v>
      </c>
    </row>
    <row r="14" spans="1:4" s="73" customFormat="1" ht="12.75" customHeight="1" thickBot="1" x14ac:dyDescent="0.3">
      <c r="A14" s="101"/>
      <c r="B14" s="89"/>
      <c r="C14" s="90"/>
      <c r="D14" s="87" t="s">
        <v>455</v>
      </c>
    </row>
    <row r="15" spans="1:4" s="73" customFormat="1" ht="50.1" customHeight="1" thickBot="1" x14ac:dyDescent="0.25">
      <c r="A15" s="99" t="s">
        <v>576</v>
      </c>
      <c r="B15" s="1227" t="s">
        <v>505</v>
      </c>
      <c r="C15" s="1228"/>
      <c r="D15" s="1077">
        <f>SUMIF('Special Schools 2015-16'!$A:$A,$C$5,'Special Schools 2015-16'!$CB:$CB)</f>
        <v>6885686.0036897566</v>
      </c>
    </row>
    <row r="16" spans="1:4" s="73" customFormat="1" ht="12.75" customHeight="1" thickBot="1" x14ac:dyDescent="0.3">
      <c r="A16" s="101"/>
      <c r="B16" s="89"/>
      <c r="C16" s="90"/>
      <c r="D16" s="87" t="s">
        <v>455</v>
      </c>
    </row>
    <row r="17" spans="1:7" s="73" customFormat="1" ht="50.1" customHeight="1" thickBot="1" x14ac:dyDescent="0.3">
      <c r="A17" s="99" t="s">
        <v>577</v>
      </c>
      <c r="B17" s="1227" t="s">
        <v>505</v>
      </c>
      <c r="C17" s="1228"/>
      <c r="D17" s="1077">
        <f>SUMIF('Special Schools 2015-16'!$A:$A,$C$5,'Special Schools 2015-16'!$CC:$CC)</f>
        <v>929303</v>
      </c>
    </row>
    <row r="18" spans="1:7" ht="12.75" customHeight="1" thickBot="1" x14ac:dyDescent="0.3">
      <c r="A18" s="102"/>
      <c r="B18" s="89"/>
      <c r="C18" s="90"/>
      <c r="D18" s="87" t="s">
        <v>455</v>
      </c>
    </row>
    <row r="19" spans="1:7" s="73" customFormat="1" ht="50.1" customHeight="1" thickBot="1" x14ac:dyDescent="0.35">
      <c r="A19" s="99" t="s">
        <v>501</v>
      </c>
      <c r="B19" s="1227" t="s">
        <v>505</v>
      </c>
      <c r="C19" s="1228"/>
      <c r="D19" s="1077">
        <f>SUMIF('Special Schools 2015-16'!$A:$A,$C$5,'Special Schools 2015-16'!$BR:$BR)</f>
        <v>376295</v>
      </c>
      <c r="G19" s="1143"/>
    </row>
    <row r="20" spans="1:7" s="73" customFormat="1" ht="12.75" customHeight="1" thickBot="1" x14ac:dyDescent="0.3">
      <c r="A20" s="101"/>
      <c r="B20" s="89"/>
      <c r="C20" s="90"/>
      <c r="D20" s="87" t="s">
        <v>455</v>
      </c>
    </row>
    <row r="21" spans="1:7" s="73" customFormat="1" ht="50.1" customHeight="1" thickBot="1" x14ac:dyDescent="0.35">
      <c r="A21" s="99" t="s">
        <v>1406</v>
      </c>
      <c r="B21" s="1227" t="s">
        <v>505</v>
      </c>
      <c r="C21" s="1228"/>
      <c r="D21" s="1077">
        <f>SUMIF('Special Schools 2015-16'!$A:$A,$C$5,'Special Schools 2015-16'!$BS:$BS)</f>
        <v>45365</v>
      </c>
      <c r="G21" s="1143"/>
    </row>
    <row r="22" spans="1:7" s="73" customFormat="1" ht="12.75" customHeight="1" thickBot="1" x14ac:dyDescent="0.3">
      <c r="A22" s="101"/>
      <c r="B22" s="89"/>
      <c r="C22" s="90"/>
      <c r="D22" s="87" t="s">
        <v>455</v>
      </c>
    </row>
    <row r="23" spans="1:7" s="73" customFormat="1" ht="50.1" customHeight="1" thickBot="1" x14ac:dyDescent="0.35">
      <c r="A23" s="99" t="s">
        <v>162</v>
      </c>
      <c r="B23" s="1232"/>
      <c r="C23" s="1233"/>
      <c r="D23" s="1077">
        <f>SUMIF('Special Schools 2015-16'!$A:$A,$C$5,'Special Schools 2015-16'!$BT:$BT)</f>
        <v>86224.39</v>
      </c>
    </row>
    <row r="24" spans="1:7" ht="15.6" thickBot="1" x14ac:dyDescent="0.3">
      <c r="A24" s="102"/>
      <c r="B24" s="103"/>
      <c r="C24" s="104"/>
      <c r="D24" s="87" t="s">
        <v>455</v>
      </c>
    </row>
    <row r="25" spans="1:7" ht="60" customHeight="1" thickBot="1" x14ac:dyDescent="0.35">
      <c r="A25" s="100" t="s">
        <v>575</v>
      </c>
      <c r="B25" s="85"/>
      <c r="C25" s="86"/>
      <c r="D25" s="84">
        <f>D9+D11+D13+D15+D17+D21+D23+D19</f>
        <v>15482873.393689757</v>
      </c>
    </row>
    <row r="26" spans="1:7" ht="15.6" thickBot="1" x14ac:dyDescent="0.3">
      <c r="A26" s="102"/>
      <c r="B26" s="89" t="s">
        <v>578</v>
      </c>
      <c r="C26" s="90"/>
      <c r="D26" s="87" t="s">
        <v>455</v>
      </c>
    </row>
    <row r="27" spans="1:7" ht="60" customHeight="1" thickBot="1" x14ac:dyDescent="0.3">
      <c r="A27" s="115" t="s">
        <v>572</v>
      </c>
      <c r="B27" s="1053">
        <f>SUMIF('Special Schools 2015-16'!A:A,C5,'Special Schools 2015-16'!D:D)</f>
        <v>27</v>
      </c>
      <c r="C27" s="114" t="s">
        <v>505</v>
      </c>
      <c r="D27" s="1054">
        <f>SUMIF('Special Schools 2015-16'!A:A,C5,'Special Schools 2015-16'!BV:BV)</f>
        <v>259272</v>
      </c>
    </row>
    <row r="28" spans="1:7" ht="15.6" thickBot="1" x14ac:dyDescent="0.3">
      <c r="A28" s="116"/>
      <c r="B28" s="117"/>
      <c r="C28" s="93"/>
      <c r="D28" s="118"/>
    </row>
    <row r="29" spans="1:7" ht="15.6" thickBot="1" x14ac:dyDescent="0.3">
      <c r="A29" s="1224" t="s">
        <v>570</v>
      </c>
      <c r="B29" s="1225"/>
      <c r="C29" s="1225"/>
      <c r="D29" s="1226"/>
      <c r="E29" s="119"/>
      <c r="F29" s="119"/>
      <c r="G29" s="119"/>
    </row>
  </sheetData>
  <sheetProtection password="EF5C" sheet="1" objects="1" scenarios="1"/>
  <mergeCells count="7">
    <mergeCell ref="A29:D29"/>
    <mergeCell ref="B21:C21"/>
    <mergeCell ref="A7:D7"/>
    <mergeCell ref="B17:C17"/>
    <mergeCell ref="B23:C23"/>
    <mergeCell ref="B15:C15"/>
    <mergeCell ref="B19:C19"/>
  </mergeCells>
  <printOptions horizontalCentered="1"/>
  <pageMargins left="0.25" right="0.25" top="0.75" bottom="0.75" header="0.3" footer="0.3"/>
  <pageSetup paperSize="9" scale="42" orientation="portrait" r:id="rId1"/>
  <headerFooter alignWithMargins="0">
    <oddHeader>&amp;C&amp;A&amp;L&amp;"arial,Bold"&amp;11&amp;K008040Classification: OFFICIAL</oddHeader>
    <oddFooter>&amp;Z&amp;F&amp;L&amp;"arial,Bold"&amp;11&amp;K008040Classification: OFFICIAL</oddFooter>
    <evenHeader>&amp;C&amp;A&amp;L&amp;"arial,Bold"&amp;11&amp;K008040Classification: OFFICIAL</evenHeader>
    <evenFooter>&amp;C&amp;Z&amp;F&amp;L&amp;"arial,Bold"&amp;11&amp;K008040Classification: OFFICIAL</evenFooter>
    <firstHeader>&amp;C&amp;A&amp;L&amp;"arial,Bold"&amp;11&amp;K008040Classification: OFFICIAL</firstHeader>
    <firstFooter>&amp;C&amp;Z&amp;F&amp;L&amp;"arial,Bold"&amp;11&amp;K008040Classification: OFFICIAL</first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'Special Schools List'!$A:$A</xm:f>
          </x14:formula1>
          <xm:sqref>A3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1:E386"/>
  <sheetViews>
    <sheetView workbookViewId="0">
      <pane xSplit="2" ySplit="6" topLeftCell="C13" activePane="bottomRight" state="frozen"/>
      <selection activeCell="C118" sqref="C118"/>
      <selection pane="topRight" activeCell="C118" sqref="C118"/>
      <selection pane="bottomLeft" activeCell="C118" sqref="C118"/>
      <selection pane="bottomRight" activeCell="B38" sqref="B38"/>
    </sheetView>
  </sheetViews>
  <sheetFormatPr defaultColWidth="9.109375" defaultRowHeight="13.2" x14ac:dyDescent="0.25"/>
  <cols>
    <col min="1" max="1" width="52.44140625" style="22" bestFit="1" customWidth="1"/>
    <col min="2" max="2" width="17.109375" style="22" bestFit="1" customWidth="1"/>
    <col min="3" max="3" width="13" style="14" bestFit="1" customWidth="1"/>
    <col min="4" max="16384" width="9.109375" style="22"/>
  </cols>
  <sheetData>
    <row r="1" spans="1:5" x14ac:dyDescent="0.25">
      <c r="A1" s="24" t="s">
        <v>958</v>
      </c>
      <c r="B1" s="920"/>
    </row>
    <row r="2" spans="1:5" x14ac:dyDescent="0.25">
      <c r="A2" s="24" t="s">
        <v>77</v>
      </c>
      <c r="B2" s="920"/>
    </row>
    <row r="3" spans="1:5" x14ac:dyDescent="0.25">
      <c r="A3" s="24" t="s">
        <v>78</v>
      </c>
      <c r="B3" s="920"/>
    </row>
    <row r="4" spans="1:5" x14ac:dyDescent="0.25">
      <c r="A4" s="24" t="s">
        <v>79</v>
      </c>
      <c r="B4" s="920"/>
    </row>
    <row r="5" spans="1:5" ht="12.75" x14ac:dyDescent="0.2">
      <c r="A5" s="24" t="s">
        <v>80</v>
      </c>
      <c r="B5" s="920"/>
    </row>
    <row r="6" spans="1:5" ht="26.4" x14ac:dyDescent="0.25">
      <c r="A6" s="938" t="s">
        <v>118</v>
      </c>
      <c r="B6" s="940" t="s">
        <v>81</v>
      </c>
      <c r="C6" s="968" t="s">
        <v>1013</v>
      </c>
      <c r="D6" s="22" t="s">
        <v>1337</v>
      </c>
      <c r="E6" s="22">
        <v>1.03</v>
      </c>
    </row>
    <row r="7" spans="1:5" ht="12.75" x14ac:dyDescent="0.2">
      <c r="A7" s="25" t="s">
        <v>1301</v>
      </c>
      <c r="B7" s="26">
        <v>2014</v>
      </c>
      <c r="C7" s="969">
        <v>0</v>
      </c>
    </row>
    <row r="8" spans="1:5" ht="12.75" x14ac:dyDescent="0.2">
      <c r="A8" s="25" t="s">
        <v>10</v>
      </c>
      <c r="B8" s="26">
        <v>2012</v>
      </c>
      <c r="C8" s="969">
        <v>0</v>
      </c>
    </row>
    <row r="9" spans="1:5" ht="12.75" x14ac:dyDescent="0.2">
      <c r="A9" s="25" t="s">
        <v>11</v>
      </c>
      <c r="B9" s="26">
        <v>2443</v>
      </c>
      <c r="C9" s="969">
        <v>0</v>
      </c>
    </row>
    <row r="10" spans="1:5" ht="12.75" x14ac:dyDescent="0.2">
      <c r="A10" s="25" t="s">
        <v>94</v>
      </c>
      <c r="B10" s="26">
        <v>2442</v>
      </c>
      <c r="C10" s="969">
        <v>0</v>
      </c>
    </row>
    <row r="11" spans="1:5" ht="12.75" x14ac:dyDescent="0.2">
      <c r="A11" s="25" t="s">
        <v>13</v>
      </c>
      <c r="B11" s="26">
        <v>2629</v>
      </c>
      <c r="C11" s="969">
        <v>0</v>
      </c>
    </row>
    <row r="12" spans="1:5" ht="12.75" x14ac:dyDescent="0.2">
      <c r="A12" s="25" t="s">
        <v>14</v>
      </c>
      <c r="B12" s="26">
        <v>2509</v>
      </c>
      <c r="C12" s="969">
        <v>0</v>
      </c>
    </row>
    <row r="13" spans="1:5" ht="12.75" x14ac:dyDescent="0.2">
      <c r="A13" s="25" t="s">
        <v>15</v>
      </c>
      <c r="B13" s="26">
        <v>2005</v>
      </c>
      <c r="C13" s="969">
        <v>0</v>
      </c>
    </row>
    <row r="14" spans="1:5" ht="12.75" x14ac:dyDescent="0.2">
      <c r="A14" s="25" t="s">
        <v>16</v>
      </c>
      <c r="B14" s="26">
        <v>2464</v>
      </c>
      <c r="C14" s="969">
        <v>0</v>
      </c>
    </row>
    <row r="15" spans="1:5" ht="12.75" x14ac:dyDescent="0.2">
      <c r="A15" s="25" t="s">
        <v>17</v>
      </c>
      <c r="B15" s="26">
        <v>2004</v>
      </c>
      <c r="C15" s="969">
        <v>0</v>
      </c>
    </row>
    <row r="16" spans="1:5" ht="12.75" x14ac:dyDescent="0.2">
      <c r="A16" s="25" t="s">
        <v>18</v>
      </c>
      <c r="B16" s="26">
        <v>2405</v>
      </c>
      <c r="C16" s="969">
        <v>0</v>
      </c>
    </row>
    <row r="17" spans="1:3" ht="12.75" x14ac:dyDescent="0.2">
      <c r="A17" s="25" t="s">
        <v>95</v>
      </c>
      <c r="B17" s="26">
        <v>2011</v>
      </c>
      <c r="C17" s="969">
        <v>0</v>
      </c>
    </row>
    <row r="18" spans="1:3" ht="12.75" x14ac:dyDescent="0.2">
      <c r="A18" s="25" t="s">
        <v>20</v>
      </c>
      <c r="B18" s="26">
        <v>5201</v>
      </c>
      <c r="C18" s="969">
        <v>0</v>
      </c>
    </row>
    <row r="19" spans="1:3" ht="12.75" x14ac:dyDescent="0.2">
      <c r="A19" s="25" t="s">
        <v>96</v>
      </c>
      <c r="B19" s="26">
        <v>2007</v>
      </c>
      <c r="C19" s="969">
        <v>0</v>
      </c>
    </row>
    <row r="20" spans="1:3" ht="12.75" x14ac:dyDescent="0.2">
      <c r="A20" s="25" t="s">
        <v>21</v>
      </c>
      <c r="B20" s="26">
        <v>2433</v>
      </c>
      <c r="C20" s="969">
        <v>0</v>
      </c>
    </row>
    <row r="21" spans="1:3" ht="12.75" x14ac:dyDescent="0.2">
      <c r="A21" s="25" t="s">
        <v>22</v>
      </c>
      <c r="B21" s="26">
        <v>2432</v>
      </c>
      <c r="C21" s="969">
        <v>0</v>
      </c>
    </row>
    <row r="22" spans="1:3" ht="12.75" x14ac:dyDescent="0.2">
      <c r="A22" s="25" t="s">
        <v>188</v>
      </c>
      <c r="B22" s="26">
        <v>2447</v>
      </c>
      <c r="C22" s="969">
        <v>0</v>
      </c>
    </row>
    <row r="23" spans="1:3" ht="12.75" x14ac:dyDescent="0.2">
      <c r="A23" s="25" t="s">
        <v>23</v>
      </c>
      <c r="B23" s="26">
        <v>2512</v>
      </c>
      <c r="C23" s="969">
        <v>0</v>
      </c>
    </row>
    <row r="24" spans="1:3" ht="12.75" x14ac:dyDescent="0.2">
      <c r="A24" s="25" t="s">
        <v>24</v>
      </c>
      <c r="B24" s="26">
        <v>2456</v>
      </c>
      <c r="C24" s="969">
        <v>0</v>
      </c>
    </row>
    <row r="25" spans="1:3" ht="12.75" x14ac:dyDescent="0.2">
      <c r="A25" s="25" t="s">
        <v>25</v>
      </c>
      <c r="B25" s="26">
        <v>2449</v>
      </c>
      <c r="C25" s="969">
        <v>0</v>
      </c>
    </row>
    <row r="26" spans="1:3" ht="12.75" x14ac:dyDescent="0.2">
      <c r="A26" s="25" t="s">
        <v>26</v>
      </c>
      <c r="B26" s="26">
        <v>2448</v>
      </c>
      <c r="C26" s="969">
        <v>0</v>
      </c>
    </row>
    <row r="27" spans="1:3" ht="12.75" x14ac:dyDescent="0.2">
      <c r="A27" s="25" t="s">
        <v>126</v>
      </c>
      <c r="B27" s="26">
        <v>2467</v>
      </c>
      <c r="C27" s="969">
        <v>0</v>
      </c>
    </row>
    <row r="28" spans="1:3" ht="12.75" x14ac:dyDescent="0.2">
      <c r="A28" s="25" t="s">
        <v>28</v>
      </c>
      <c r="B28" s="26">
        <v>2455</v>
      </c>
      <c r="C28" s="969">
        <v>0</v>
      </c>
    </row>
    <row r="29" spans="1:3" ht="12.75" x14ac:dyDescent="0.2">
      <c r="A29" s="25" t="s">
        <v>29</v>
      </c>
      <c r="B29" s="26">
        <v>5203</v>
      </c>
      <c r="C29" s="969">
        <v>0</v>
      </c>
    </row>
    <row r="30" spans="1:3" ht="12.75" x14ac:dyDescent="0.2">
      <c r="A30" s="25" t="s">
        <v>30</v>
      </c>
      <c r="B30" s="26">
        <v>2451</v>
      </c>
      <c r="C30" s="969">
        <v>0</v>
      </c>
    </row>
    <row r="31" spans="1:3" ht="12.75" x14ac:dyDescent="0.2">
      <c r="A31" s="25" t="s">
        <v>31</v>
      </c>
      <c r="B31" s="26">
        <v>2409</v>
      </c>
      <c r="C31" s="969">
        <v>0</v>
      </c>
    </row>
    <row r="32" spans="1:3" ht="12.75" x14ac:dyDescent="0.2">
      <c r="A32" s="25" t="s">
        <v>98</v>
      </c>
      <c r="B32" s="26">
        <v>3158</v>
      </c>
      <c r="C32" s="969">
        <v>0</v>
      </c>
    </row>
    <row r="33" spans="1:3" ht="12.75" x14ac:dyDescent="0.2">
      <c r="A33" s="25" t="s">
        <v>32</v>
      </c>
      <c r="B33" s="26">
        <v>2619</v>
      </c>
      <c r="C33" s="969">
        <v>0</v>
      </c>
    </row>
    <row r="34" spans="1:3" ht="12.75" x14ac:dyDescent="0.2">
      <c r="A34" s="25" t="s">
        <v>33</v>
      </c>
      <c r="B34" s="26">
        <v>2518</v>
      </c>
      <c r="C34" s="969">
        <v>0</v>
      </c>
    </row>
    <row r="35" spans="1:3" ht="12.75" x14ac:dyDescent="0.2">
      <c r="A35" s="25" t="s">
        <v>34</v>
      </c>
      <c r="B35" s="26">
        <v>2457</v>
      </c>
      <c r="C35" s="969">
        <v>0</v>
      </c>
    </row>
    <row r="36" spans="1:3" x14ac:dyDescent="0.25">
      <c r="A36" s="25" t="s">
        <v>99</v>
      </c>
      <c r="B36" s="26">
        <v>2010</v>
      </c>
      <c r="C36" s="969">
        <v>0</v>
      </c>
    </row>
    <row r="37" spans="1:3" x14ac:dyDescent="0.25">
      <c r="A37" s="25" t="s">
        <v>35</v>
      </c>
      <c r="B37" s="26">
        <v>2002</v>
      </c>
      <c r="C37" s="969">
        <v>0</v>
      </c>
    </row>
    <row r="38" spans="1:3" x14ac:dyDescent="0.25">
      <c r="A38" s="25" t="s">
        <v>36</v>
      </c>
      <c r="B38" s="26">
        <v>3544</v>
      </c>
      <c r="C38" s="969">
        <f>127972*E6</f>
        <v>131811.16</v>
      </c>
    </row>
    <row r="39" spans="1:3" x14ac:dyDescent="0.25">
      <c r="A39" s="25" t="s">
        <v>100</v>
      </c>
      <c r="B39" s="26">
        <v>2006</v>
      </c>
      <c r="C39" s="969">
        <v>0</v>
      </c>
    </row>
    <row r="40" spans="1:3" x14ac:dyDescent="0.25">
      <c r="A40" s="25" t="s">
        <v>37</v>
      </c>
      <c r="B40" s="26">
        <v>2434</v>
      </c>
      <c r="C40" s="969">
        <f>137820*E6</f>
        <v>141954.6</v>
      </c>
    </row>
    <row r="41" spans="1:3" x14ac:dyDescent="0.25">
      <c r="A41" s="25" t="s">
        <v>38</v>
      </c>
      <c r="B41" s="26">
        <v>2522</v>
      </c>
      <c r="C41" s="969">
        <v>0</v>
      </c>
    </row>
    <row r="42" spans="1:3" x14ac:dyDescent="0.25">
      <c r="A42" s="25" t="s">
        <v>39</v>
      </c>
      <c r="B42" s="26">
        <v>2436</v>
      </c>
      <c r="C42" s="969">
        <v>0</v>
      </c>
    </row>
    <row r="43" spans="1:3" x14ac:dyDescent="0.25">
      <c r="A43" s="25" t="s">
        <v>40</v>
      </c>
      <c r="B43" s="26">
        <v>2452</v>
      </c>
      <c r="C43" s="969">
        <v>0</v>
      </c>
    </row>
    <row r="44" spans="1:3" x14ac:dyDescent="0.25">
      <c r="A44" s="25" t="s">
        <v>41</v>
      </c>
      <c r="B44" s="26">
        <v>2627</v>
      </c>
      <c r="C44" s="969">
        <v>0</v>
      </c>
    </row>
    <row r="45" spans="1:3" x14ac:dyDescent="0.25">
      <c r="A45" s="25" t="s">
        <v>42</v>
      </c>
      <c r="B45" s="26">
        <v>2009</v>
      </c>
      <c r="C45" s="969">
        <v>0</v>
      </c>
    </row>
    <row r="46" spans="1:3" x14ac:dyDescent="0.25">
      <c r="A46" s="25" t="s">
        <v>101</v>
      </c>
      <c r="B46" s="26">
        <v>2473</v>
      </c>
      <c r="C46" s="969">
        <v>0</v>
      </c>
    </row>
    <row r="47" spans="1:3" x14ac:dyDescent="0.25">
      <c r="A47" s="25" t="s">
        <v>44</v>
      </c>
      <c r="B47" s="26">
        <v>2471</v>
      </c>
      <c r="C47" s="969">
        <v>0</v>
      </c>
    </row>
    <row r="48" spans="1:3" x14ac:dyDescent="0.25">
      <c r="A48" s="25" t="s">
        <v>43</v>
      </c>
      <c r="B48" s="26">
        <v>2420</v>
      </c>
      <c r="C48" s="969">
        <v>0</v>
      </c>
    </row>
    <row r="49" spans="1:3" x14ac:dyDescent="0.25">
      <c r="A49" s="25" t="s">
        <v>45</v>
      </c>
      <c r="B49" s="26">
        <v>2003</v>
      </c>
      <c r="C49" s="969">
        <v>0</v>
      </c>
    </row>
    <row r="50" spans="1:3" x14ac:dyDescent="0.25">
      <c r="A50" s="25" t="s">
        <v>46</v>
      </c>
      <c r="B50" s="26">
        <v>2423</v>
      </c>
      <c r="C50" s="969">
        <v>0</v>
      </c>
    </row>
    <row r="51" spans="1:3" x14ac:dyDescent="0.25">
      <c r="A51" s="25" t="s">
        <v>47</v>
      </c>
      <c r="B51" s="26">
        <v>2424</v>
      </c>
      <c r="C51" s="969">
        <v>0</v>
      </c>
    </row>
    <row r="52" spans="1:3" x14ac:dyDescent="0.25">
      <c r="A52" s="25" t="s">
        <v>48</v>
      </c>
      <c r="B52" s="26">
        <v>2439</v>
      </c>
      <c r="C52" s="969">
        <v>0</v>
      </c>
    </row>
    <row r="53" spans="1:3" x14ac:dyDescent="0.25">
      <c r="A53" s="25" t="s">
        <v>49</v>
      </c>
      <c r="B53" s="26">
        <v>2440</v>
      </c>
      <c r="C53" s="969">
        <v>0</v>
      </c>
    </row>
    <row r="54" spans="1:3" x14ac:dyDescent="0.25">
      <c r="A54" s="25" t="s">
        <v>102</v>
      </c>
      <c r="B54" s="26">
        <v>2462</v>
      </c>
      <c r="C54" s="969">
        <v>0</v>
      </c>
    </row>
    <row r="55" spans="1:3" x14ac:dyDescent="0.25">
      <c r="A55" s="25" t="s">
        <v>50</v>
      </c>
      <c r="B55" s="26">
        <v>2463</v>
      </c>
      <c r="C55" s="969">
        <v>0</v>
      </c>
    </row>
    <row r="56" spans="1:3" x14ac:dyDescent="0.25">
      <c r="A56" s="25" t="s">
        <v>51</v>
      </c>
      <c r="B56" s="26">
        <v>2505</v>
      </c>
      <c r="C56" s="969">
        <v>0</v>
      </c>
    </row>
    <row r="57" spans="1:3" x14ac:dyDescent="0.25">
      <c r="A57" s="9" t="s">
        <v>1304</v>
      </c>
      <c r="B57" s="26">
        <v>2000</v>
      </c>
      <c r="C57" s="969">
        <v>0</v>
      </c>
    </row>
    <row r="58" spans="1:3" x14ac:dyDescent="0.25">
      <c r="A58" s="25" t="s">
        <v>53</v>
      </c>
      <c r="B58" s="26">
        <v>2458</v>
      </c>
      <c r="C58" s="969">
        <v>0</v>
      </c>
    </row>
    <row r="59" spans="1:3" x14ac:dyDescent="0.25">
      <c r="A59" s="25" t="s">
        <v>54</v>
      </c>
      <c r="B59" s="26">
        <v>2001</v>
      </c>
      <c r="C59" s="969">
        <v>0</v>
      </c>
    </row>
    <row r="60" spans="1:3" x14ac:dyDescent="0.25">
      <c r="A60" s="25" t="s">
        <v>55</v>
      </c>
      <c r="B60" s="26">
        <v>2429</v>
      </c>
      <c r="C60" s="969">
        <v>0</v>
      </c>
    </row>
    <row r="61" spans="1:3" x14ac:dyDescent="0.25">
      <c r="A61" s="25" t="s">
        <v>56</v>
      </c>
      <c r="B61" s="26">
        <v>2444</v>
      </c>
      <c r="C61" s="969">
        <v>0</v>
      </c>
    </row>
    <row r="62" spans="1:3" x14ac:dyDescent="0.25">
      <c r="A62" s="25" t="s">
        <v>57</v>
      </c>
      <c r="B62" s="26">
        <v>5209</v>
      </c>
      <c r="C62" s="969">
        <v>0</v>
      </c>
    </row>
    <row r="63" spans="1:3" x14ac:dyDescent="0.25">
      <c r="A63" s="25" t="s">
        <v>58</v>
      </c>
      <c r="B63" s="26">
        <v>2469</v>
      </c>
      <c r="C63" s="969">
        <v>0</v>
      </c>
    </row>
    <row r="64" spans="1:3" x14ac:dyDescent="0.25">
      <c r="A64" s="22" t="s">
        <v>437</v>
      </c>
      <c r="B64" s="26">
        <v>2430</v>
      </c>
      <c r="C64" s="969">
        <f>22497*E6</f>
        <v>23171.91</v>
      </c>
    </row>
    <row r="65" spans="1:3" x14ac:dyDescent="0.25">
      <c r="A65" s="25" t="s">
        <v>59</v>
      </c>
      <c r="B65" s="26">
        <v>2466</v>
      </c>
      <c r="C65" s="969">
        <v>0</v>
      </c>
    </row>
    <row r="66" spans="1:3" x14ac:dyDescent="0.25">
      <c r="A66" s="25" t="s">
        <v>60</v>
      </c>
      <c r="B66" s="26">
        <v>3543</v>
      </c>
      <c r="C66" s="969">
        <v>0</v>
      </c>
    </row>
    <row r="67" spans="1:3" x14ac:dyDescent="0.25">
      <c r="A67" s="25" t="s">
        <v>62</v>
      </c>
      <c r="B67" s="26">
        <v>3531</v>
      </c>
      <c r="C67" s="969">
        <v>0</v>
      </c>
    </row>
    <row r="68" spans="1:3" x14ac:dyDescent="0.25">
      <c r="A68" s="25" t="s">
        <v>103</v>
      </c>
      <c r="B68" s="26">
        <v>3526</v>
      </c>
      <c r="C68" s="969">
        <v>0</v>
      </c>
    </row>
    <row r="69" spans="1:3" x14ac:dyDescent="0.25">
      <c r="A69" s="25" t="s">
        <v>104</v>
      </c>
      <c r="B69" s="26">
        <v>3535</v>
      </c>
      <c r="C69" s="969">
        <v>0</v>
      </c>
    </row>
    <row r="70" spans="1:3" x14ac:dyDescent="0.25">
      <c r="A70" s="945" t="s">
        <v>64</v>
      </c>
      <c r="B70" s="26">
        <v>2008</v>
      </c>
      <c r="C70" s="969">
        <v>0</v>
      </c>
    </row>
    <row r="71" spans="1:3" x14ac:dyDescent="0.25">
      <c r="A71" s="25" t="s">
        <v>105</v>
      </c>
      <c r="B71" s="26">
        <v>3542</v>
      </c>
      <c r="C71" s="969">
        <v>0</v>
      </c>
    </row>
    <row r="72" spans="1:3" x14ac:dyDescent="0.25">
      <c r="A72" s="25" t="s">
        <v>106</v>
      </c>
      <c r="B72" s="26">
        <v>3528</v>
      </c>
      <c r="C72" s="969">
        <v>0</v>
      </c>
    </row>
    <row r="73" spans="1:3" x14ac:dyDescent="0.25">
      <c r="A73" s="25" t="s">
        <v>107</v>
      </c>
      <c r="B73" s="26">
        <v>3534</v>
      </c>
      <c r="C73" s="969">
        <v>0</v>
      </c>
    </row>
    <row r="74" spans="1:3" x14ac:dyDescent="0.25">
      <c r="A74" s="25" t="s">
        <v>108</v>
      </c>
      <c r="B74" s="26">
        <v>3532</v>
      </c>
      <c r="C74" s="969">
        <v>0</v>
      </c>
    </row>
    <row r="75" spans="1:3" x14ac:dyDescent="0.25">
      <c r="A75" s="25" t="s">
        <v>65</v>
      </c>
      <c r="B75" s="26">
        <v>3546</v>
      </c>
      <c r="C75" s="969">
        <v>0</v>
      </c>
    </row>
    <row r="76" spans="1:3" x14ac:dyDescent="0.25">
      <c r="A76" s="25" t="s">
        <v>109</v>
      </c>
      <c r="B76" s="26">
        <v>3530</v>
      </c>
      <c r="C76" s="969">
        <v>0</v>
      </c>
    </row>
    <row r="77" spans="1:3" x14ac:dyDescent="0.25">
      <c r="A77" s="25" t="s">
        <v>67</v>
      </c>
      <c r="B77" s="26">
        <v>2459</v>
      </c>
      <c r="C77" s="969">
        <v>0</v>
      </c>
    </row>
    <row r="78" spans="1:3" x14ac:dyDescent="0.25">
      <c r="A78" s="9" t="s">
        <v>846</v>
      </c>
      <c r="B78" s="10">
        <v>4000</v>
      </c>
      <c r="C78" s="969">
        <v>0</v>
      </c>
    </row>
    <row r="79" spans="1:3" x14ac:dyDescent="0.25">
      <c r="A79" s="25"/>
      <c r="B79" s="26"/>
      <c r="C79" s="969"/>
    </row>
    <row r="80" spans="1:3" x14ac:dyDescent="0.25">
      <c r="A80" s="24" t="s">
        <v>110</v>
      </c>
      <c r="B80" s="24" t="s">
        <v>110</v>
      </c>
      <c r="C80" s="969">
        <f>SUM(C7:C79)</f>
        <v>296937.67</v>
      </c>
    </row>
    <row r="81" spans="1:3" x14ac:dyDescent="0.25">
      <c r="A81" s="25"/>
      <c r="B81" s="26"/>
      <c r="C81" s="969"/>
    </row>
    <row r="82" spans="1:3" x14ac:dyDescent="0.25">
      <c r="A82" s="25" t="s">
        <v>75</v>
      </c>
      <c r="B82" s="26">
        <v>5402</v>
      </c>
      <c r="C82" s="969">
        <v>0</v>
      </c>
    </row>
    <row r="83" spans="1:3" x14ac:dyDescent="0.25">
      <c r="A83" s="25" t="s">
        <v>68</v>
      </c>
      <c r="B83" s="26">
        <v>4608</v>
      </c>
      <c r="C83" s="969">
        <f>20933*E6</f>
        <v>21560.99</v>
      </c>
    </row>
    <row r="84" spans="1:3" x14ac:dyDescent="0.25">
      <c r="A84" s="25" t="s">
        <v>111</v>
      </c>
      <c r="B84" s="26">
        <v>4178</v>
      </c>
      <c r="C84" s="969">
        <v>0</v>
      </c>
    </row>
    <row r="85" spans="1:3" x14ac:dyDescent="0.25">
      <c r="A85" s="25" t="s">
        <v>69</v>
      </c>
      <c r="B85" s="26">
        <v>4181</v>
      </c>
      <c r="C85" s="969">
        <v>0</v>
      </c>
    </row>
    <row r="86" spans="1:3" x14ac:dyDescent="0.25">
      <c r="A86" s="25" t="s">
        <v>70</v>
      </c>
      <c r="B86" s="26">
        <v>4182</v>
      </c>
      <c r="C86" s="969">
        <v>0</v>
      </c>
    </row>
    <row r="87" spans="1:3" x14ac:dyDescent="0.25">
      <c r="A87" s="25" t="s">
        <v>71</v>
      </c>
      <c r="B87" s="38">
        <v>4001</v>
      </c>
      <c r="C87" s="969">
        <f>320881*E6</f>
        <v>330507.43</v>
      </c>
    </row>
    <row r="88" spans="1:3" x14ac:dyDescent="0.25">
      <c r="A88" s="25" t="s">
        <v>112</v>
      </c>
      <c r="B88" s="26">
        <v>5406</v>
      </c>
      <c r="C88" s="969">
        <v>0</v>
      </c>
    </row>
    <row r="89" spans="1:3" x14ac:dyDescent="0.25">
      <c r="A89" s="25" t="s">
        <v>113</v>
      </c>
      <c r="B89" s="26">
        <v>5407</v>
      </c>
      <c r="C89" s="969">
        <v>395815</v>
      </c>
    </row>
    <row r="90" spans="1:3" x14ac:dyDescent="0.25">
      <c r="A90" s="25" t="s">
        <v>72</v>
      </c>
      <c r="B90" s="26">
        <v>4607</v>
      </c>
      <c r="C90" s="969">
        <v>0</v>
      </c>
    </row>
    <row r="91" spans="1:3" x14ac:dyDescent="0.25">
      <c r="A91" s="25" t="s">
        <v>966</v>
      </c>
      <c r="B91" s="38">
        <v>4002</v>
      </c>
      <c r="C91" s="969">
        <v>0</v>
      </c>
    </row>
    <row r="92" spans="1:3" x14ac:dyDescent="0.25">
      <c r="A92" s="25" t="s">
        <v>114</v>
      </c>
      <c r="B92" s="26">
        <v>4177</v>
      </c>
      <c r="C92" s="969">
        <v>0</v>
      </c>
    </row>
    <row r="93" spans="1:3" x14ac:dyDescent="0.25">
      <c r="A93" s="25" t="s">
        <v>74</v>
      </c>
      <c r="B93" s="26">
        <v>5412</v>
      </c>
      <c r="C93" s="969">
        <v>0</v>
      </c>
    </row>
    <row r="94" spans="1:3" x14ac:dyDescent="0.25">
      <c r="A94" s="9" t="s">
        <v>1306</v>
      </c>
      <c r="B94" s="10">
        <v>4003</v>
      </c>
      <c r="C94" s="969">
        <v>0</v>
      </c>
    </row>
    <row r="95" spans="1:3" x14ac:dyDescent="0.25">
      <c r="A95" s="25" t="s">
        <v>73</v>
      </c>
      <c r="B95" s="26">
        <v>5414</v>
      </c>
      <c r="C95" s="969">
        <v>0</v>
      </c>
    </row>
    <row r="96" spans="1:3" x14ac:dyDescent="0.25">
      <c r="A96" s="9" t="s">
        <v>569</v>
      </c>
      <c r="B96" s="10">
        <v>6905</v>
      </c>
      <c r="C96" s="969">
        <v>0</v>
      </c>
    </row>
    <row r="97" spans="1:3" x14ac:dyDescent="0.25">
      <c r="A97" s="25"/>
      <c r="B97" s="26"/>
      <c r="C97" s="969"/>
    </row>
    <row r="98" spans="1:3" x14ac:dyDescent="0.25">
      <c r="A98" s="24" t="s">
        <v>115</v>
      </c>
      <c r="B98" s="24" t="s">
        <v>115</v>
      </c>
      <c r="C98" s="969">
        <f>SUM(C82:C97)</f>
        <v>747883.41999999993</v>
      </c>
    </row>
    <row r="99" spans="1:3" x14ac:dyDescent="0.25">
      <c r="A99" s="24"/>
      <c r="B99" s="24"/>
      <c r="C99" s="969"/>
    </row>
    <row r="100" spans="1:3" x14ac:dyDescent="0.25">
      <c r="A100" s="9" t="s">
        <v>114</v>
      </c>
      <c r="B100" s="26">
        <v>4177</v>
      </c>
      <c r="C100" s="969">
        <v>0</v>
      </c>
    </row>
    <row r="101" spans="1:3" x14ac:dyDescent="0.25">
      <c r="A101" s="1"/>
      <c r="B101" s="24"/>
      <c r="C101" s="969"/>
    </row>
    <row r="102" spans="1:3" x14ac:dyDescent="0.25">
      <c r="A102" s="1" t="s">
        <v>848</v>
      </c>
      <c r="B102" s="1" t="s">
        <v>849</v>
      </c>
      <c r="C102" s="969">
        <f>C100</f>
        <v>0</v>
      </c>
    </row>
    <row r="103" spans="1:3" x14ac:dyDescent="0.25">
      <c r="A103" s="1"/>
      <c r="B103" s="26"/>
      <c r="C103" s="969"/>
    </row>
    <row r="104" spans="1:3" x14ac:dyDescent="0.25">
      <c r="A104" s="24" t="s">
        <v>116</v>
      </c>
      <c r="B104" s="24" t="s">
        <v>117</v>
      </c>
      <c r="C104" s="969">
        <f>C80+C98+C102</f>
        <v>1044821.0899999999</v>
      </c>
    </row>
    <row r="107" spans="1:3" x14ac:dyDescent="0.25">
      <c r="A107" s="59" t="s">
        <v>238</v>
      </c>
      <c r="B107" s="59">
        <v>206189</v>
      </c>
    </row>
    <row r="108" spans="1:3" x14ac:dyDescent="0.25">
      <c r="A108" s="59" t="s">
        <v>1301</v>
      </c>
      <c r="B108" s="59">
        <v>2014</v>
      </c>
    </row>
    <row r="109" spans="1:3" x14ac:dyDescent="0.25">
      <c r="A109" s="59" t="s">
        <v>10</v>
      </c>
      <c r="B109" s="59">
        <v>2012</v>
      </c>
    </row>
    <row r="110" spans="1:3" x14ac:dyDescent="0.25">
      <c r="A110" s="59" t="s">
        <v>73</v>
      </c>
      <c r="B110" s="59">
        <v>5414</v>
      </c>
    </row>
    <row r="111" spans="1:3" x14ac:dyDescent="0.25">
      <c r="A111" s="59" t="s">
        <v>846</v>
      </c>
      <c r="B111" s="59">
        <v>4000</v>
      </c>
    </row>
    <row r="112" spans="1:3" x14ac:dyDescent="0.25">
      <c r="A112" s="59" t="s">
        <v>11</v>
      </c>
      <c r="B112" s="59">
        <v>2443</v>
      </c>
    </row>
    <row r="113" spans="1:2" x14ac:dyDescent="0.25">
      <c r="A113" s="59" t="s">
        <v>94</v>
      </c>
      <c r="B113" s="59">
        <v>2442</v>
      </c>
    </row>
    <row r="114" spans="1:2" x14ac:dyDescent="0.25">
      <c r="A114" s="59" t="s">
        <v>241</v>
      </c>
      <c r="B114" s="59" t="s">
        <v>242</v>
      </c>
    </row>
    <row r="115" spans="1:2" x14ac:dyDescent="0.25">
      <c r="A115" s="59" t="s">
        <v>13</v>
      </c>
      <c r="B115" s="59">
        <v>2629</v>
      </c>
    </row>
    <row r="116" spans="1:2" x14ac:dyDescent="0.25">
      <c r="A116" s="59" t="s">
        <v>14</v>
      </c>
      <c r="B116" s="59">
        <v>2509</v>
      </c>
    </row>
    <row r="117" spans="1:2" x14ac:dyDescent="0.25">
      <c r="A117" s="59" t="s">
        <v>2</v>
      </c>
      <c r="B117" s="59">
        <v>1014</v>
      </c>
    </row>
    <row r="118" spans="1:2" x14ac:dyDescent="0.25">
      <c r="A118" s="59" t="s">
        <v>15</v>
      </c>
      <c r="B118" s="59">
        <v>2005</v>
      </c>
    </row>
    <row r="119" spans="1:2" x14ac:dyDescent="0.25">
      <c r="A119" s="59" t="s">
        <v>16</v>
      </c>
      <c r="B119" s="59">
        <v>2464</v>
      </c>
    </row>
    <row r="120" spans="1:2" x14ac:dyDescent="0.25">
      <c r="A120" s="59" t="s">
        <v>706</v>
      </c>
      <c r="B120" s="59" t="s">
        <v>708</v>
      </c>
    </row>
    <row r="121" spans="1:2" x14ac:dyDescent="0.25">
      <c r="A121" s="59" t="s">
        <v>17</v>
      </c>
      <c r="B121" s="59">
        <v>2004</v>
      </c>
    </row>
    <row r="122" spans="1:2" x14ac:dyDescent="0.25">
      <c r="A122" s="59" t="s">
        <v>18</v>
      </c>
      <c r="B122" s="59">
        <v>2405</v>
      </c>
    </row>
    <row r="123" spans="1:2" x14ac:dyDescent="0.25">
      <c r="A123" s="59" t="s">
        <v>243</v>
      </c>
      <c r="B123" s="59" t="s">
        <v>245</v>
      </c>
    </row>
    <row r="124" spans="1:2" x14ac:dyDescent="0.25">
      <c r="A124" s="59" t="s">
        <v>250</v>
      </c>
      <c r="B124" s="59" t="s">
        <v>709</v>
      </c>
    </row>
    <row r="125" spans="1:2" x14ac:dyDescent="0.25">
      <c r="A125" s="59" t="s">
        <v>246</v>
      </c>
      <c r="B125" s="59" t="s">
        <v>247</v>
      </c>
    </row>
    <row r="126" spans="1:2" x14ac:dyDescent="0.25">
      <c r="A126" s="59" t="s">
        <v>248</v>
      </c>
      <c r="B126" s="59" t="s">
        <v>249</v>
      </c>
    </row>
    <row r="127" spans="1:2" x14ac:dyDescent="0.25">
      <c r="A127" s="59" t="s">
        <v>19</v>
      </c>
      <c r="B127" s="59">
        <v>2011</v>
      </c>
    </row>
    <row r="128" spans="1:2" x14ac:dyDescent="0.25">
      <c r="A128" s="59" t="s">
        <v>251</v>
      </c>
      <c r="B128" s="59" t="s">
        <v>252</v>
      </c>
    </row>
    <row r="129" spans="1:2" x14ac:dyDescent="0.25">
      <c r="A129" s="59" t="s">
        <v>20</v>
      </c>
      <c r="B129" s="59">
        <v>5201</v>
      </c>
    </row>
    <row r="130" spans="1:2" x14ac:dyDescent="0.25">
      <c r="A130" s="59" t="s">
        <v>253</v>
      </c>
      <c r="B130" s="59">
        <v>206124</v>
      </c>
    </row>
    <row r="131" spans="1:2" x14ac:dyDescent="0.25">
      <c r="A131" s="59" t="s">
        <v>21</v>
      </c>
      <c r="B131" s="59">
        <v>2433</v>
      </c>
    </row>
    <row r="132" spans="1:2" x14ac:dyDescent="0.25">
      <c r="A132" s="59" t="s">
        <v>22</v>
      </c>
      <c r="B132" s="59">
        <v>2432</v>
      </c>
    </row>
    <row r="133" spans="1:2" x14ac:dyDescent="0.25">
      <c r="A133" s="59" t="s">
        <v>256</v>
      </c>
      <c r="B133" s="59" t="s">
        <v>258</v>
      </c>
    </row>
    <row r="134" spans="1:2" x14ac:dyDescent="0.25">
      <c r="A134" s="59" t="s">
        <v>188</v>
      </c>
      <c r="B134" s="59">
        <v>2447</v>
      </c>
    </row>
    <row r="135" spans="1:2" x14ac:dyDescent="0.25">
      <c r="A135" s="59" t="s">
        <v>23</v>
      </c>
      <c r="B135" s="59">
        <v>2512</v>
      </c>
    </row>
    <row r="136" spans="1:2" x14ac:dyDescent="0.25">
      <c r="A136" s="59" t="s">
        <v>259</v>
      </c>
      <c r="B136" s="59">
        <v>206126</v>
      </c>
    </row>
    <row r="137" spans="1:2" x14ac:dyDescent="0.25">
      <c r="A137" s="59" t="s">
        <v>261</v>
      </c>
      <c r="B137" s="59">
        <v>206111</v>
      </c>
    </row>
    <row r="138" spans="1:2" x14ac:dyDescent="0.25">
      <c r="A138" s="59" t="s">
        <v>263</v>
      </c>
      <c r="B138" s="59">
        <v>206091</v>
      </c>
    </row>
    <row r="139" spans="1:2" x14ac:dyDescent="0.25">
      <c r="A139" s="59" t="s">
        <v>24</v>
      </c>
      <c r="B139" s="59">
        <v>2456</v>
      </c>
    </row>
    <row r="140" spans="1:2" x14ac:dyDescent="0.25">
      <c r="A140" s="59" t="s">
        <v>3</v>
      </c>
      <c r="B140" s="59">
        <v>1017</v>
      </c>
    </row>
    <row r="141" spans="1:2" x14ac:dyDescent="0.25">
      <c r="A141" s="59" t="s">
        <v>25</v>
      </c>
      <c r="B141" s="59">
        <v>2449</v>
      </c>
    </row>
    <row r="142" spans="1:2" x14ac:dyDescent="0.25">
      <c r="A142" s="59" t="s">
        <v>26</v>
      </c>
      <c r="B142" s="59">
        <v>2448</v>
      </c>
    </row>
    <row r="143" spans="1:2" x14ac:dyDescent="0.25">
      <c r="A143" s="59" t="s">
        <v>4</v>
      </c>
      <c r="B143" s="59">
        <v>1006</v>
      </c>
    </row>
    <row r="144" spans="1:2" x14ac:dyDescent="0.25">
      <c r="A144" s="59" t="s">
        <v>27</v>
      </c>
      <c r="B144" s="59">
        <v>2467</v>
      </c>
    </row>
    <row r="145" spans="1:2" x14ac:dyDescent="0.25">
      <c r="A145" s="59" t="s">
        <v>1373</v>
      </c>
      <c r="B145" s="59">
        <v>484300</v>
      </c>
    </row>
    <row r="146" spans="1:2" x14ac:dyDescent="0.25">
      <c r="A146" s="59" t="s">
        <v>75</v>
      </c>
      <c r="B146" s="59">
        <v>5402</v>
      </c>
    </row>
    <row r="147" spans="1:2" x14ac:dyDescent="0.25">
      <c r="A147" s="59" t="s">
        <v>28</v>
      </c>
      <c r="B147" s="59">
        <v>2455</v>
      </c>
    </row>
    <row r="148" spans="1:2" x14ac:dyDescent="0.25">
      <c r="A148" s="59" t="s">
        <v>29</v>
      </c>
      <c r="B148" s="59">
        <v>5203</v>
      </c>
    </row>
    <row r="149" spans="1:2" x14ac:dyDescent="0.25">
      <c r="A149" s="59" t="s">
        <v>30</v>
      </c>
      <c r="B149" s="59">
        <v>2451</v>
      </c>
    </row>
    <row r="150" spans="1:2" x14ac:dyDescent="0.25">
      <c r="A150" s="59" t="s">
        <v>265</v>
      </c>
      <c r="B150" s="59" t="s">
        <v>266</v>
      </c>
    </row>
    <row r="151" spans="1:2" x14ac:dyDescent="0.25">
      <c r="A151" s="59" t="s">
        <v>267</v>
      </c>
      <c r="B151" s="59">
        <v>206128</v>
      </c>
    </row>
    <row r="152" spans="1:2" x14ac:dyDescent="0.25">
      <c r="A152" s="59" t="s">
        <v>438</v>
      </c>
      <c r="B152" s="59">
        <v>4002</v>
      </c>
    </row>
    <row r="153" spans="1:2" x14ac:dyDescent="0.25">
      <c r="A153" s="59" t="s">
        <v>441</v>
      </c>
      <c r="B153" s="59">
        <v>2430</v>
      </c>
    </row>
    <row r="154" spans="1:2" x14ac:dyDescent="0.25">
      <c r="A154" s="59" t="s">
        <v>269</v>
      </c>
      <c r="B154" s="59" t="s">
        <v>710</v>
      </c>
    </row>
    <row r="155" spans="1:2" x14ac:dyDescent="0.25">
      <c r="A155" s="59" t="s">
        <v>711</v>
      </c>
      <c r="B155" s="59" t="s">
        <v>712</v>
      </c>
    </row>
    <row r="156" spans="1:2" x14ac:dyDescent="0.25">
      <c r="A156" s="59" t="s">
        <v>68</v>
      </c>
      <c r="B156" s="59">
        <v>4608</v>
      </c>
    </row>
    <row r="157" spans="1:2" x14ac:dyDescent="0.25">
      <c r="A157" s="59" t="s">
        <v>31</v>
      </c>
      <c r="B157" s="59">
        <v>2409</v>
      </c>
    </row>
    <row r="158" spans="1:2" x14ac:dyDescent="0.25">
      <c r="A158" s="59" t="s">
        <v>270</v>
      </c>
      <c r="B158" s="59" t="s">
        <v>271</v>
      </c>
    </row>
    <row r="159" spans="1:2" x14ac:dyDescent="0.25">
      <c r="A159" s="59" t="s">
        <v>1283</v>
      </c>
      <c r="B159" s="59" t="s">
        <v>714</v>
      </c>
    </row>
    <row r="160" spans="1:2" x14ac:dyDescent="0.25">
      <c r="A160" s="59" t="s">
        <v>525</v>
      </c>
      <c r="B160" s="59">
        <v>205921</v>
      </c>
    </row>
    <row r="161" spans="1:2" x14ac:dyDescent="0.25">
      <c r="A161" s="59" t="s">
        <v>1256</v>
      </c>
      <c r="B161" s="59" t="s">
        <v>719</v>
      </c>
    </row>
    <row r="162" spans="1:2" x14ac:dyDescent="0.25">
      <c r="A162" s="59" t="s">
        <v>1375</v>
      </c>
      <c r="B162" s="59">
        <v>398922</v>
      </c>
    </row>
    <row r="163" spans="1:2" x14ac:dyDescent="0.25">
      <c r="A163" s="59" t="s">
        <v>1374</v>
      </c>
      <c r="B163" s="59">
        <v>479804</v>
      </c>
    </row>
    <row r="164" spans="1:2" x14ac:dyDescent="0.25">
      <c r="A164" s="59" t="s">
        <v>524</v>
      </c>
      <c r="B164" s="59">
        <v>205999</v>
      </c>
    </row>
    <row r="165" spans="1:2" x14ac:dyDescent="0.25">
      <c r="A165" s="59" t="s">
        <v>523</v>
      </c>
      <c r="B165" s="59" t="s">
        <v>272</v>
      </c>
    </row>
    <row r="166" spans="1:2" x14ac:dyDescent="0.25">
      <c r="A166" s="59" t="s">
        <v>1257</v>
      </c>
      <c r="B166" s="59">
        <v>206065</v>
      </c>
    </row>
    <row r="167" spans="1:2" x14ac:dyDescent="0.25">
      <c r="A167" s="59" t="s">
        <v>1376</v>
      </c>
      <c r="B167" s="59">
        <v>314105</v>
      </c>
    </row>
    <row r="168" spans="1:2" x14ac:dyDescent="0.25">
      <c r="A168" s="59" t="s">
        <v>1400</v>
      </c>
      <c r="B168" s="59" t="s">
        <v>277</v>
      </c>
    </row>
    <row r="169" spans="1:2" x14ac:dyDescent="0.25">
      <c r="A169" s="59" t="s">
        <v>1377</v>
      </c>
      <c r="B169" s="59">
        <v>206076</v>
      </c>
    </row>
    <row r="170" spans="1:2" x14ac:dyDescent="0.25">
      <c r="A170" s="59" t="s">
        <v>561</v>
      </c>
      <c r="B170" s="59" t="s">
        <v>727</v>
      </c>
    </row>
    <row r="171" spans="1:2" x14ac:dyDescent="0.25">
      <c r="A171" s="59" t="s">
        <v>1399</v>
      </c>
      <c r="B171" s="59" t="s">
        <v>730</v>
      </c>
    </row>
    <row r="172" spans="1:2" x14ac:dyDescent="0.25">
      <c r="A172" s="59" t="s">
        <v>562</v>
      </c>
      <c r="B172" s="59" t="s">
        <v>275</v>
      </c>
    </row>
    <row r="173" spans="1:2" x14ac:dyDescent="0.25">
      <c r="A173" s="59" t="s">
        <v>1258</v>
      </c>
      <c r="B173" s="59" t="s">
        <v>724</v>
      </c>
    </row>
    <row r="174" spans="1:2" x14ac:dyDescent="0.25">
      <c r="A174" s="59" t="s">
        <v>1259</v>
      </c>
      <c r="B174" s="59">
        <v>205919</v>
      </c>
    </row>
    <row r="175" spans="1:2" x14ac:dyDescent="0.25">
      <c r="A175" s="59" t="s">
        <v>526</v>
      </c>
      <c r="B175" s="59" t="s">
        <v>276</v>
      </c>
    </row>
    <row r="176" spans="1:2" x14ac:dyDescent="0.25">
      <c r="A176" s="59" t="s">
        <v>1378</v>
      </c>
      <c r="B176" s="59">
        <v>477405</v>
      </c>
    </row>
    <row r="177" spans="1:2" x14ac:dyDescent="0.25">
      <c r="A177" s="59" t="s">
        <v>1260</v>
      </c>
      <c r="B177" s="59" t="s">
        <v>734</v>
      </c>
    </row>
    <row r="178" spans="1:2" x14ac:dyDescent="0.25">
      <c r="A178" s="59" t="s">
        <v>1379</v>
      </c>
      <c r="B178" s="59">
        <v>401536</v>
      </c>
    </row>
    <row r="179" spans="1:2" x14ac:dyDescent="0.25">
      <c r="A179" s="59" t="s">
        <v>1261</v>
      </c>
      <c r="B179" s="59" t="s">
        <v>736</v>
      </c>
    </row>
    <row r="180" spans="1:2" x14ac:dyDescent="0.25">
      <c r="A180" s="59" t="s">
        <v>1263</v>
      </c>
      <c r="B180" s="59" t="s">
        <v>739</v>
      </c>
    </row>
    <row r="181" spans="1:2" x14ac:dyDescent="0.25">
      <c r="A181" s="59" t="s">
        <v>1262</v>
      </c>
      <c r="B181" s="59">
        <v>205849</v>
      </c>
    </row>
    <row r="182" spans="1:2" x14ac:dyDescent="0.25">
      <c r="A182" s="59" t="s">
        <v>566</v>
      </c>
      <c r="B182" s="59" t="s">
        <v>273</v>
      </c>
    </row>
    <row r="183" spans="1:2" x14ac:dyDescent="0.25">
      <c r="A183" s="59" t="s">
        <v>1264</v>
      </c>
      <c r="B183" s="59" t="s">
        <v>741</v>
      </c>
    </row>
    <row r="184" spans="1:2" x14ac:dyDescent="0.25">
      <c r="A184" s="59" t="s">
        <v>1268</v>
      </c>
      <c r="B184" s="59">
        <v>205922</v>
      </c>
    </row>
    <row r="185" spans="1:2" x14ac:dyDescent="0.25">
      <c r="A185" s="59" t="s">
        <v>1267</v>
      </c>
      <c r="B185" s="59">
        <v>205881</v>
      </c>
    </row>
    <row r="186" spans="1:2" x14ac:dyDescent="0.25">
      <c r="A186" s="59" t="s">
        <v>1265</v>
      </c>
      <c r="B186" s="59" t="s">
        <v>744</v>
      </c>
    </row>
    <row r="187" spans="1:2" x14ac:dyDescent="0.25">
      <c r="A187" s="59" t="s">
        <v>527</v>
      </c>
      <c r="B187" s="59" t="s">
        <v>278</v>
      </c>
    </row>
    <row r="188" spans="1:2" x14ac:dyDescent="0.25">
      <c r="A188" s="59" t="s">
        <v>1266</v>
      </c>
      <c r="B188" s="59" t="s">
        <v>749</v>
      </c>
    </row>
    <row r="189" spans="1:2" x14ac:dyDescent="0.25">
      <c r="A189" s="59" t="s">
        <v>1380</v>
      </c>
      <c r="B189" s="59">
        <v>462623</v>
      </c>
    </row>
    <row r="190" spans="1:2" x14ac:dyDescent="0.25">
      <c r="A190" s="59" t="s">
        <v>750</v>
      </c>
      <c r="B190" s="59" t="s">
        <v>751</v>
      </c>
    </row>
    <row r="191" spans="1:2" x14ac:dyDescent="0.25">
      <c r="A191" s="59" t="s">
        <v>1269</v>
      </c>
      <c r="B191" s="59" t="s">
        <v>754</v>
      </c>
    </row>
    <row r="192" spans="1:2" x14ac:dyDescent="0.25">
      <c r="A192" s="59" t="s">
        <v>528</v>
      </c>
      <c r="B192" s="59">
        <v>2</v>
      </c>
    </row>
    <row r="193" spans="1:2" x14ac:dyDescent="0.25">
      <c r="A193" s="59" t="s">
        <v>1270</v>
      </c>
      <c r="B193" s="59" t="s">
        <v>621</v>
      </c>
    </row>
    <row r="194" spans="1:2" x14ac:dyDescent="0.25">
      <c r="A194" s="59" t="s">
        <v>1271</v>
      </c>
      <c r="B194" s="59" t="s">
        <v>639</v>
      </c>
    </row>
    <row r="195" spans="1:2" x14ac:dyDescent="0.25">
      <c r="A195" s="59" t="s">
        <v>1271</v>
      </c>
      <c r="B195" s="59">
        <v>205878</v>
      </c>
    </row>
    <row r="196" spans="1:2" x14ac:dyDescent="0.25">
      <c r="A196" s="59" t="s">
        <v>529</v>
      </c>
      <c r="B196" s="59">
        <v>205956</v>
      </c>
    </row>
    <row r="197" spans="1:2" x14ac:dyDescent="0.25">
      <c r="A197" s="59" t="s">
        <v>1273</v>
      </c>
      <c r="B197" s="59" t="s">
        <v>759</v>
      </c>
    </row>
    <row r="198" spans="1:2" x14ac:dyDescent="0.25">
      <c r="A198" s="59" t="s">
        <v>1382</v>
      </c>
      <c r="B198" s="59">
        <v>472319</v>
      </c>
    </row>
    <row r="199" spans="1:2" x14ac:dyDescent="0.25">
      <c r="A199" s="59" t="s">
        <v>1272</v>
      </c>
      <c r="B199" s="59">
        <v>260849</v>
      </c>
    </row>
    <row r="200" spans="1:2" x14ac:dyDescent="0.25">
      <c r="A200" s="59" t="s">
        <v>1383</v>
      </c>
      <c r="B200" s="59">
        <v>482805</v>
      </c>
    </row>
    <row r="201" spans="1:2" x14ac:dyDescent="0.25">
      <c r="A201" s="59" t="s">
        <v>1381</v>
      </c>
      <c r="B201" s="59">
        <v>447579</v>
      </c>
    </row>
    <row r="202" spans="1:2" x14ac:dyDescent="0.25">
      <c r="A202" s="59" t="s">
        <v>1274</v>
      </c>
      <c r="B202" s="59" t="s">
        <v>280</v>
      </c>
    </row>
    <row r="203" spans="1:2" x14ac:dyDescent="0.25">
      <c r="A203" s="59" t="s">
        <v>1275</v>
      </c>
      <c r="B203" s="59" t="s">
        <v>762</v>
      </c>
    </row>
    <row r="204" spans="1:2" x14ac:dyDescent="0.25">
      <c r="A204" s="59" t="s">
        <v>1277</v>
      </c>
      <c r="B204" s="59" t="s">
        <v>766</v>
      </c>
    </row>
    <row r="205" spans="1:2" x14ac:dyDescent="0.25">
      <c r="A205" s="59" t="s">
        <v>1276</v>
      </c>
      <c r="B205" s="59" t="s">
        <v>764</v>
      </c>
    </row>
    <row r="206" spans="1:2" x14ac:dyDescent="0.25">
      <c r="A206" s="59" t="s">
        <v>1279</v>
      </c>
      <c r="B206" s="59" t="s">
        <v>771</v>
      </c>
    </row>
    <row r="207" spans="1:2" x14ac:dyDescent="0.25">
      <c r="A207" s="437" t="s">
        <v>1278</v>
      </c>
      <c r="B207" s="529" t="s">
        <v>768</v>
      </c>
    </row>
    <row r="208" spans="1:2" x14ac:dyDescent="0.25">
      <c r="A208" s="437" t="s">
        <v>564</v>
      </c>
      <c r="B208" s="529" t="s">
        <v>281</v>
      </c>
    </row>
    <row r="209" spans="1:2" x14ac:dyDescent="0.25">
      <c r="A209" s="59" t="s">
        <v>1284</v>
      </c>
      <c r="B209" s="59" t="s">
        <v>774</v>
      </c>
    </row>
    <row r="210" spans="1:2" x14ac:dyDescent="0.25">
      <c r="A210" s="59" t="s">
        <v>1384</v>
      </c>
      <c r="B210" s="59">
        <v>484039</v>
      </c>
    </row>
    <row r="211" spans="1:2" x14ac:dyDescent="0.25">
      <c r="A211" s="59" t="s">
        <v>1285</v>
      </c>
      <c r="B211" s="59" t="s">
        <v>776</v>
      </c>
    </row>
    <row r="212" spans="1:2" x14ac:dyDescent="0.25">
      <c r="A212" s="59" t="s">
        <v>1385</v>
      </c>
      <c r="B212" s="59">
        <v>343478</v>
      </c>
    </row>
    <row r="213" spans="1:2" x14ac:dyDescent="0.25">
      <c r="A213" s="59" t="s">
        <v>532</v>
      </c>
      <c r="B213" s="59" t="s">
        <v>283</v>
      </c>
    </row>
    <row r="214" spans="1:2" x14ac:dyDescent="0.25">
      <c r="A214" s="59" t="s">
        <v>1280</v>
      </c>
      <c r="B214" s="59">
        <v>206031</v>
      </c>
    </row>
    <row r="215" spans="1:2" x14ac:dyDescent="0.25">
      <c r="A215" s="59" t="s">
        <v>531</v>
      </c>
      <c r="B215" s="59" t="s">
        <v>284</v>
      </c>
    </row>
    <row r="216" spans="1:2" x14ac:dyDescent="0.25">
      <c r="A216" s="59" t="s">
        <v>530</v>
      </c>
      <c r="B216" s="59" t="s">
        <v>282</v>
      </c>
    </row>
    <row r="217" spans="1:2" x14ac:dyDescent="0.25">
      <c r="A217" s="59" t="s">
        <v>1281</v>
      </c>
      <c r="B217" s="59" t="s">
        <v>781</v>
      </c>
    </row>
    <row r="218" spans="1:2" x14ac:dyDescent="0.25">
      <c r="A218" s="59" t="s">
        <v>1255</v>
      </c>
      <c r="B218" s="59" t="s">
        <v>285</v>
      </c>
    </row>
    <row r="219" spans="1:2" x14ac:dyDescent="0.25">
      <c r="A219" s="59" t="s">
        <v>1289</v>
      </c>
      <c r="B219" s="59">
        <v>260848</v>
      </c>
    </row>
    <row r="220" spans="1:2" x14ac:dyDescent="0.25">
      <c r="A220" s="59" t="s">
        <v>565</v>
      </c>
      <c r="B220" s="59">
        <v>206043</v>
      </c>
    </row>
    <row r="221" spans="1:2" x14ac:dyDescent="0.25">
      <c r="A221" s="59" t="s">
        <v>533</v>
      </c>
      <c r="B221" s="59" t="s">
        <v>286</v>
      </c>
    </row>
    <row r="222" spans="1:2" x14ac:dyDescent="0.25">
      <c r="A222" s="59" t="s">
        <v>533</v>
      </c>
      <c r="B222" s="59">
        <v>505502</v>
      </c>
    </row>
    <row r="223" spans="1:2" x14ac:dyDescent="0.25">
      <c r="A223" s="59" t="s">
        <v>563</v>
      </c>
      <c r="B223" s="59">
        <v>205978</v>
      </c>
    </row>
    <row r="224" spans="1:2" x14ac:dyDescent="0.25">
      <c r="A224" s="59" t="s">
        <v>1296</v>
      </c>
      <c r="B224" s="59">
        <v>435150</v>
      </c>
    </row>
    <row r="225" spans="1:2" x14ac:dyDescent="0.25">
      <c r="A225" s="59" t="s">
        <v>1288</v>
      </c>
      <c r="B225" s="59">
        <v>206067</v>
      </c>
    </row>
    <row r="226" spans="1:2" x14ac:dyDescent="0.25">
      <c r="A226" s="59" t="s">
        <v>534</v>
      </c>
      <c r="B226" s="59" t="s">
        <v>287</v>
      </c>
    </row>
    <row r="227" spans="1:2" x14ac:dyDescent="0.25">
      <c r="A227" s="59" t="s">
        <v>1282</v>
      </c>
      <c r="B227" s="59" t="s">
        <v>279</v>
      </c>
    </row>
    <row r="228" spans="1:2" x14ac:dyDescent="0.25">
      <c r="A228" s="59" t="s">
        <v>535</v>
      </c>
      <c r="B228" s="59" t="s">
        <v>288</v>
      </c>
    </row>
    <row r="229" spans="1:2" x14ac:dyDescent="0.25">
      <c r="A229" s="59" t="s">
        <v>1286</v>
      </c>
      <c r="B229" s="59" t="s">
        <v>793</v>
      </c>
    </row>
    <row r="230" spans="1:2" x14ac:dyDescent="0.25">
      <c r="A230" s="59" t="s">
        <v>1386</v>
      </c>
      <c r="B230" s="59">
        <v>414019</v>
      </c>
    </row>
    <row r="231" spans="1:2" x14ac:dyDescent="0.25">
      <c r="A231" s="59" t="s">
        <v>567</v>
      </c>
      <c r="B231" s="59" t="s">
        <v>274</v>
      </c>
    </row>
    <row r="232" spans="1:2" x14ac:dyDescent="0.25">
      <c r="A232" s="59" t="s">
        <v>1387</v>
      </c>
      <c r="B232" s="59">
        <v>458078</v>
      </c>
    </row>
    <row r="233" spans="1:2" x14ac:dyDescent="0.25">
      <c r="A233" s="59" t="s">
        <v>1287</v>
      </c>
      <c r="B233" s="59" t="s">
        <v>795</v>
      </c>
    </row>
    <row r="234" spans="1:2" x14ac:dyDescent="0.25">
      <c r="A234" s="59" t="s">
        <v>289</v>
      </c>
      <c r="B234" s="59" t="s">
        <v>290</v>
      </c>
    </row>
    <row r="235" spans="1:2" x14ac:dyDescent="0.25">
      <c r="A235" s="59" t="s">
        <v>1306</v>
      </c>
      <c r="B235" s="59">
        <v>4003</v>
      </c>
    </row>
    <row r="236" spans="1:2" x14ac:dyDescent="0.25">
      <c r="A236" s="59" t="s">
        <v>797</v>
      </c>
      <c r="B236" s="59" t="s">
        <v>798</v>
      </c>
    </row>
    <row r="237" spans="1:2" x14ac:dyDescent="0.25">
      <c r="A237" s="59" t="s">
        <v>291</v>
      </c>
      <c r="B237" s="59" t="s">
        <v>293</v>
      </c>
    </row>
    <row r="238" spans="1:2" x14ac:dyDescent="0.25">
      <c r="A238" s="59" t="s">
        <v>111</v>
      </c>
      <c r="B238" s="59">
        <v>4178</v>
      </c>
    </row>
    <row r="239" spans="1:2" x14ac:dyDescent="0.25">
      <c r="A239" s="59" t="s">
        <v>98</v>
      </c>
      <c r="B239" s="59">
        <v>3158</v>
      </c>
    </row>
    <row r="240" spans="1:2" x14ac:dyDescent="0.25">
      <c r="A240" s="59" t="s">
        <v>32</v>
      </c>
      <c r="B240" s="59">
        <v>2619</v>
      </c>
    </row>
    <row r="241" spans="1:2" x14ac:dyDescent="0.25">
      <c r="A241" s="59" t="s">
        <v>1388</v>
      </c>
      <c r="B241" s="59">
        <v>479542</v>
      </c>
    </row>
    <row r="242" spans="1:2" x14ac:dyDescent="0.25">
      <c r="A242" s="59" t="s">
        <v>1389</v>
      </c>
      <c r="B242" s="59" t="s">
        <v>1390</v>
      </c>
    </row>
    <row r="243" spans="1:2" x14ac:dyDescent="0.25">
      <c r="A243" s="59" t="s">
        <v>799</v>
      </c>
      <c r="B243" s="59" t="s">
        <v>800</v>
      </c>
    </row>
    <row r="244" spans="1:2" x14ac:dyDescent="0.25">
      <c r="A244" s="59" t="s">
        <v>1391</v>
      </c>
      <c r="B244" s="59">
        <v>487369</v>
      </c>
    </row>
    <row r="245" spans="1:2" x14ac:dyDescent="0.25">
      <c r="A245" s="59" t="s">
        <v>1392</v>
      </c>
      <c r="B245" s="59">
        <v>477763</v>
      </c>
    </row>
    <row r="246" spans="1:2" x14ac:dyDescent="0.25">
      <c r="A246" s="59" t="s">
        <v>294</v>
      </c>
      <c r="B246" s="59" t="s">
        <v>295</v>
      </c>
    </row>
    <row r="247" spans="1:2" x14ac:dyDescent="0.25">
      <c r="A247" s="59" t="s">
        <v>296</v>
      </c>
      <c r="B247" s="59">
        <v>258417</v>
      </c>
    </row>
    <row r="248" spans="1:2" x14ac:dyDescent="0.25">
      <c r="A248" s="59" t="s">
        <v>298</v>
      </c>
      <c r="B248" s="59" t="s">
        <v>300</v>
      </c>
    </row>
    <row r="249" spans="1:2" x14ac:dyDescent="0.25">
      <c r="A249" s="59" t="s">
        <v>301</v>
      </c>
      <c r="B249" s="59" t="s">
        <v>303</v>
      </c>
    </row>
    <row r="250" spans="1:2" x14ac:dyDescent="0.25">
      <c r="A250" s="59" t="s">
        <v>33</v>
      </c>
      <c r="B250" s="59">
        <v>2518</v>
      </c>
    </row>
    <row r="251" spans="1:2" x14ac:dyDescent="0.25">
      <c r="A251" s="59" t="s">
        <v>801</v>
      </c>
      <c r="B251" s="59" t="s">
        <v>802</v>
      </c>
    </row>
    <row r="252" spans="1:2" x14ac:dyDescent="0.25">
      <c r="A252" s="59" t="s">
        <v>304</v>
      </c>
      <c r="B252" s="59">
        <v>206106</v>
      </c>
    </row>
    <row r="253" spans="1:2" x14ac:dyDescent="0.25">
      <c r="A253" s="59" t="s">
        <v>306</v>
      </c>
      <c r="B253" s="59" t="s">
        <v>307</v>
      </c>
    </row>
    <row r="254" spans="1:2" x14ac:dyDescent="0.25">
      <c r="A254" s="59" t="s">
        <v>803</v>
      </c>
      <c r="B254" s="59" t="s">
        <v>804</v>
      </c>
    </row>
    <row r="255" spans="1:2" x14ac:dyDescent="0.25">
      <c r="A255" s="59" t="s">
        <v>34</v>
      </c>
      <c r="B255" s="59">
        <v>2457</v>
      </c>
    </row>
    <row r="256" spans="1:2" x14ac:dyDescent="0.25">
      <c r="A256" s="59" t="s">
        <v>99</v>
      </c>
      <c r="B256" s="59">
        <v>2010</v>
      </c>
    </row>
    <row r="257" spans="1:2" x14ac:dyDescent="0.25">
      <c r="A257" s="59" t="s">
        <v>35</v>
      </c>
      <c r="B257" s="59">
        <v>2002</v>
      </c>
    </row>
    <row r="258" spans="1:2" x14ac:dyDescent="0.25">
      <c r="A258" s="59" t="s">
        <v>36</v>
      </c>
      <c r="B258" s="59">
        <v>3544</v>
      </c>
    </row>
    <row r="259" spans="1:2" x14ac:dyDescent="0.25">
      <c r="A259" s="59" t="s">
        <v>5</v>
      </c>
      <c r="B259" s="59">
        <v>1008</v>
      </c>
    </row>
    <row r="260" spans="1:2" x14ac:dyDescent="0.25">
      <c r="A260" s="59" t="s">
        <v>308</v>
      </c>
      <c r="B260" s="59" t="s">
        <v>309</v>
      </c>
    </row>
    <row r="261" spans="1:2" x14ac:dyDescent="0.25">
      <c r="A261" s="59" t="s">
        <v>100</v>
      </c>
      <c r="B261" s="59">
        <v>2006</v>
      </c>
    </row>
    <row r="262" spans="1:2" x14ac:dyDescent="0.25">
      <c r="A262" s="59" t="s">
        <v>310</v>
      </c>
      <c r="B262" s="59" t="s">
        <v>311</v>
      </c>
    </row>
    <row r="263" spans="1:2" x14ac:dyDescent="0.25">
      <c r="A263" s="59" t="s">
        <v>312</v>
      </c>
      <c r="B263" s="59">
        <v>206133</v>
      </c>
    </row>
    <row r="264" spans="1:2" x14ac:dyDescent="0.25">
      <c r="A264" s="59" t="s">
        <v>806</v>
      </c>
      <c r="B264" s="59" t="s">
        <v>807</v>
      </c>
    </row>
    <row r="265" spans="1:2" x14ac:dyDescent="0.25">
      <c r="A265" s="59" t="s">
        <v>314</v>
      </c>
      <c r="B265" s="59" t="s">
        <v>316</v>
      </c>
    </row>
    <row r="266" spans="1:2" x14ac:dyDescent="0.25">
      <c r="A266" s="59" t="s">
        <v>317</v>
      </c>
      <c r="B266" s="59">
        <v>206134</v>
      </c>
    </row>
    <row r="267" spans="1:2" x14ac:dyDescent="0.25">
      <c r="A267" s="59" t="s">
        <v>321</v>
      </c>
      <c r="B267" s="59" t="s">
        <v>322</v>
      </c>
    </row>
    <row r="268" spans="1:2" x14ac:dyDescent="0.25">
      <c r="A268" s="59" t="s">
        <v>319</v>
      </c>
      <c r="B268" s="59" t="s">
        <v>320</v>
      </c>
    </row>
    <row r="269" spans="1:2" x14ac:dyDescent="0.25">
      <c r="A269" s="59" t="s">
        <v>323</v>
      </c>
      <c r="B269" s="59" t="s">
        <v>324</v>
      </c>
    </row>
    <row r="270" spans="1:2" x14ac:dyDescent="0.25">
      <c r="A270" s="59" t="s">
        <v>325</v>
      </c>
      <c r="B270" s="59">
        <v>206109</v>
      </c>
    </row>
    <row r="271" spans="1:2" x14ac:dyDescent="0.25">
      <c r="A271" s="59" t="s">
        <v>37</v>
      </c>
      <c r="B271" s="59">
        <v>2434</v>
      </c>
    </row>
    <row r="272" spans="1:2" x14ac:dyDescent="0.25">
      <c r="A272" s="59" t="s">
        <v>42</v>
      </c>
      <c r="B272" s="59">
        <v>2009</v>
      </c>
    </row>
    <row r="273" spans="1:2" x14ac:dyDescent="0.25">
      <c r="A273" s="59" t="s">
        <v>569</v>
      </c>
      <c r="B273" s="59">
        <v>6905</v>
      </c>
    </row>
    <row r="274" spans="1:2" x14ac:dyDescent="0.25">
      <c r="A274" s="59" t="s">
        <v>38</v>
      </c>
      <c r="B274" s="59">
        <v>2522</v>
      </c>
    </row>
    <row r="275" spans="1:2" x14ac:dyDescent="0.25">
      <c r="A275" s="59" t="s">
        <v>327</v>
      </c>
      <c r="B275" s="59">
        <v>206110</v>
      </c>
    </row>
    <row r="276" spans="1:2" x14ac:dyDescent="0.25">
      <c r="A276" s="59" t="s">
        <v>329</v>
      </c>
      <c r="B276" s="59">
        <v>206135</v>
      </c>
    </row>
    <row r="277" spans="1:2" x14ac:dyDescent="0.25">
      <c r="A277" s="59" t="s">
        <v>69</v>
      </c>
      <c r="B277" s="59">
        <v>4181</v>
      </c>
    </row>
    <row r="278" spans="1:2" x14ac:dyDescent="0.25">
      <c r="A278" s="59" t="s">
        <v>331</v>
      </c>
      <c r="B278" s="59">
        <v>509195</v>
      </c>
    </row>
    <row r="279" spans="1:2" x14ac:dyDescent="0.25">
      <c r="A279" s="59" t="s">
        <v>1393</v>
      </c>
      <c r="B279" s="59">
        <v>480857</v>
      </c>
    </row>
    <row r="280" spans="1:2" x14ac:dyDescent="0.25">
      <c r="A280" s="59" t="s">
        <v>333</v>
      </c>
      <c r="B280" s="59" t="s">
        <v>334</v>
      </c>
    </row>
    <row r="281" spans="1:2" x14ac:dyDescent="0.25">
      <c r="A281" s="59" t="s">
        <v>335</v>
      </c>
      <c r="B281" s="59" t="s">
        <v>336</v>
      </c>
    </row>
    <row r="282" spans="1:2" x14ac:dyDescent="0.25">
      <c r="A282" s="59" t="s">
        <v>1394</v>
      </c>
      <c r="B282" s="59">
        <v>492973</v>
      </c>
    </row>
    <row r="283" spans="1:2" x14ac:dyDescent="0.25">
      <c r="A283" s="59" t="s">
        <v>337</v>
      </c>
      <c r="B283" s="59" t="s">
        <v>339</v>
      </c>
    </row>
    <row r="284" spans="1:2" x14ac:dyDescent="0.25">
      <c r="A284" s="59" t="s">
        <v>340</v>
      </c>
      <c r="B284" s="59">
        <v>509199</v>
      </c>
    </row>
    <row r="285" spans="1:2" x14ac:dyDescent="0.25">
      <c r="A285" s="59" t="s">
        <v>342</v>
      </c>
      <c r="B285" s="59">
        <v>509197</v>
      </c>
    </row>
    <row r="286" spans="1:2" x14ac:dyDescent="0.25">
      <c r="A286" s="59" t="s">
        <v>808</v>
      </c>
      <c r="B286" s="59">
        <v>479383</v>
      </c>
    </row>
    <row r="287" spans="1:2" x14ac:dyDescent="0.25">
      <c r="A287" s="59" t="s">
        <v>347</v>
      </c>
      <c r="B287" s="59" t="s">
        <v>348</v>
      </c>
    </row>
    <row r="288" spans="1:2" x14ac:dyDescent="0.25">
      <c r="A288" s="59" t="s">
        <v>70</v>
      </c>
      <c r="B288" s="59">
        <v>4182</v>
      </c>
    </row>
    <row r="289" spans="1:2" x14ac:dyDescent="0.25">
      <c r="A289" s="59" t="s">
        <v>344</v>
      </c>
      <c r="B289" s="59" t="s">
        <v>346</v>
      </c>
    </row>
    <row r="290" spans="1:2" x14ac:dyDescent="0.25">
      <c r="A290" s="59" t="s">
        <v>6</v>
      </c>
      <c r="B290" s="59">
        <v>1005</v>
      </c>
    </row>
    <row r="291" spans="1:2" x14ac:dyDescent="0.25">
      <c r="A291" s="59" t="s">
        <v>809</v>
      </c>
      <c r="B291" s="59" t="s">
        <v>810</v>
      </c>
    </row>
    <row r="292" spans="1:2" x14ac:dyDescent="0.25">
      <c r="A292" s="59" t="s">
        <v>39</v>
      </c>
      <c r="B292" s="59">
        <v>2436</v>
      </c>
    </row>
    <row r="293" spans="1:2" x14ac:dyDescent="0.25">
      <c r="A293" s="59" t="s">
        <v>349</v>
      </c>
      <c r="B293" s="59">
        <v>206117</v>
      </c>
    </row>
    <row r="294" spans="1:2" x14ac:dyDescent="0.25">
      <c r="A294" s="59" t="s">
        <v>40</v>
      </c>
      <c r="B294" s="59">
        <v>2452</v>
      </c>
    </row>
    <row r="295" spans="1:2" x14ac:dyDescent="0.25">
      <c r="A295" s="59" t="s">
        <v>71</v>
      </c>
      <c r="B295" s="59">
        <v>4001</v>
      </c>
    </row>
    <row r="296" spans="1:2" x14ac:dyDescent="0.25">
      <c r="A296" s="59" t="s">
        <v>351</v>
      </c>
      <c r="B296" s="59">
        <v>206141</v>
      </c>
    </row>
    <row r="297" spans="1:2" x14ac:dyDescent="0.25">
      <c r="A297" s="59" t="s">
        <v>41</v>
      </c>
      <c r="B297" s="59">
        <v>2627</v>
      </c>
    </row>
    <row r="298" spans="1:2" x14ac:dyDescent="0.25">
      <c r="A298" s="59" t="s">
        <v>112</v>
      </c>
      <c r="B298" s="59">
        <v>5406</v>
      </c>
    </row>
    <row r="299" spans="1:2" x14ac:dyDescent="0.25">
      <c r="A299" s="59" t="s">
        <v>113</v>
      </c>
      <c r="B299" s="59">
        <v>5407</v>
      </c>
    </row>
    <row r="300" spans="1:2" x14ac:dyDescent="0.25">
      <c r="A300" s="59" t="s">
        <v>353</v>
      </c>
      <c r="B300" s="59" t="s">
        <v>355</v>
      </c>
    </row>
    <row r="301" spans="1:2" x14ac:dyDescent="0.25">
      <c r="A301" s="59" t="s">
        <v>356</v>
      </c>
      <c r="B301" s="59">
        <v>258404</v>
      </c>
    </row>
    <row r="302" spans="1:2" x14ac:dyDescent="0.25">
      <c r="A302" s="59" t="s">
        <v>101</v>
      </c>
      <c r="B302" s="59">
        <v>2473</v>
      </c>
    </row>
    <row r="303" spans="1:2" x14ac:dyDescent="0.25">
      <c r="A303" s="59" t="s">
        <v>44</v>
      </c>
      <c r="B303" s="59">
        <v>2471</v>
      </c>
    </row>
    <row r="304" spans="1:2" x14ac:dyDescent="0.25">
      <c r="A304" s="59" t="s">
        <v>358</v>
      </c>
      <c r="B304" s="59">
        <v>258405</v>
      </c>
    </row>
    <row r="305" spans="1:2" x14ac:dyDescent="0.25">
      <c r="A305" s="59" t="s">
        <v>360</v>
      </c>
      <c r="B305" s="59">
        <v>258406</v>
      </c>
    </row>
    <row r="306" spans="1:2" x14ac:dyDescent="0.25">
      <c r="A306" s="59" t="s">
        <v>1395</v>
      </c>
      <c r="B306" s="59">
        <v>206145</v>
      </c>
    </row>
    <row r="307" spans="1:2" x14ac:dyDescent="0.25">
      <c r="A307" s="59" t="s">
        <v>43</v>
      </c>
      <c r="B307" s="59">
        <v>2420</v>
      </c>
    </row>
    <row r="308" spans="1:2" x14ac:dyDescent="0.25">
      <c r="A308" s="59" t="s">
        <v>362</v>
      </c>
      <c r="B308" s="59">
        <v>206160</v>
      </c>
    </row>
    <row r="309" spans="1:2" x14ac:dyDescent="0.25">
      <c r="A309" s="59" t="s">
        <v>45</v>
      </c>
      <c r="B309" s="59">
        <v>2003</v>
      </c>
    </row>
    <row r="310" spans="1:2" x14ac:dyDescent="0.25">
      <c r="A310" s="59" t="s">
        <v>46</v>
      </c>
      <c r="B310" s="59">
        <v>2423</v>
      </c>
    </row>
    <row r="311" spans="1:2" x14ac:dyDescent="0.25">
      <c r="A311" s="59" t="s">
        <v>47</v>
      </c>
      <c r="B311" s="59">
        <v>2424</v>
      </c>
    </row>
    <row r="312" spans="1:2" x14ac:dyDescent="0.25">
      <c r="A312" s="59" t="s">
        <v>364</v>
      </c>
      <c r="B312" s="59" t="s">
        <v>366</v>
      </c>
    </row>
    <row r="313" spans="1:2" x14ac:dyDescent="0.25">
      <c r="A313" s="59" t="s">
        <v>367</v>
      </c>
      <c r="B313" s="59" t="s">
        <v>368</v>
      </c>
    </row>
    <row r="314" spans="1:2" x14ac:dyDescent="0.25">
      <c r="A314" s="59" t="s">
        <v>369</v>
      </c>
      <c r="B314" s="59" t="s">
        <v>371</v>
      </c>
    </row>
    <row r="315" spans="1:2" x14ac:dyDescent="0.25">
      <c r="A315" s="59" t="s">
        <v>811</v>
      </c>
      <c r="B315" s="59" t="s">
        <v>812</v>
      </c>
    </row>
    <row r="316" spans="1:2" x14ac:dyDescent="0.25">
      <c r="A316" s="59" t="s">
        <v>372</v>
      </c>
      <c r="B316" s="59">
        <v>206146</v>
      </c>
    </row>
    <row r="317" spans="1:2" x14ac:dyDescent="0.25">
      <c r="A317" s="59" t="s">
        <v>48</v>
      </c>
      <c r="B317" s="59">
        <v>2439</v>
      </c>
    </row>
    <row r="318" spans="1:2" x14ac:dyDescent="0.25">
      <c r="A318" s="59" t="s">
        <v>49</v>
      </c>
      <c r="B318" s="59">
        <v>2440</v>
      </c>
    </row>
    <row r="319" spans="1:2" x14ac:dyDescent="0.25">
      <c r="A319" s="59" t="s">
        <v>374</v>
      </c>
      <c r="B319" s="59" t="s">
        <v>375</v>
      </c>
    </row>
    <row r="320" spans="1:2" x14ac:dyDescent="0.25">
      <c r="A320" s="59" t="s">
        <v>813</v>
      </c>
      <c r="B320" s="59" t="s">
        <v>814</v>
      </c>
    </row>
    <row r="321" spans="1:2" x14ac:dyDescent="0.25">
      <c r="A321" s="59" t="s">
        <v>815</v>
      </c>
      <c r="B321" s="59" t="s">
        <v>816</v>
      </c>
    </row>
    <row r="322" spans="1:2" x14ac:dyDescent="0.25">
      <c r="A322" s="67" t="s">
        <v>377</v>
      </c>
      <c r="B322" s="67" t="s">
        <v>378</v>
      </c>
    </row>
    <row r="323" spans="1:2" x14ac:dyDescent="0.25">
      <c r="A323" s="105" t="s">
        <v>377</v>
      </c>
      <c r="B323" s="110" t="s">
        <v>817</v>
      </c>
    </row>
    <row r="324" spans="1:2" x14ac:dyDescent="0.25">
      <c r="A324" s="105" t="s">
        <v>102</v>
      </c>
      <c r="B324" s="110">
        <v>2462</v>
      </c>
    </row>
    <row r="325" spans="1:2" x14ac:dyDescent="0.25">
      <c r="A325" s="105" t="s">
        <v>50</v>
      </c>
      <c r="B325" s="110">
        <v>2463</v>
      </c>
    </row>
    <row r="326" spans="1:2" x14ac:dyDescent="0.25">
      <c r="A326" s="105" t="s">
        <v>51</v>
      </c>
      <c r="B326" s="67">
        <v>2505</v>
      </c>
    </row>
    <row r="327" spans="1:2" x14ac:dyDescent="0.25">
      <c r="A327" s="105" t="s">
        <v>1304</v>
      </c>
      <c r="B327" s="110">
        <v>2000</v>
      </c>
    </row>
    <row r="328" spans="1:2" x14ac:dyDescent="0.25">
      <c r="A328" s="105" t="s">
        <v>53</v>
      </c>
      <c r="B328" s="67">
        <v>2458</v>
      </c>
    </row>
    <row r="329" spans="1:2" x14ac:dyDescent="0.25">
      <c r="A329" s="105" t="s">
        <v>379</v>
      </c>
      <c r="B329" s="67" t="s">
        <v>381</v>
      </c>
    </row>
    <row r="330" spans="1:2" x14ac:dyDescent="0.25">
      <c r="A330" s="105" t="s">
        <v>54</v>
      </c>
      <c r="B330" s="67">
        <v>2001</v>
      </c>
    </row>
    <row r="331" spans="1:2" x14ac:dyDescent="0.25">
      <c r="A331" s="105" t="s">
        <v>382</v>
      </c>
      <c r="B331" s="67" t="s">
        <v>383</v>
      </c>
    </row>
    <row r="332" spans="1:2" x14ac:dyDescent="0.25">
      <c r="A332" s="105" t="s">
        <v>55</v>
      </c>
      <c r="B332" s="67">
        <v>2429</v>
      </c>
    </row>
    <row r="333" spans="1:2" x14ac:dyDescent="0.25">
      <c r="A333" s="105" t="s">
        <v>384</v>
      </c>
      <c r="B333" s="67">
        <v>113044</v>
      </c>
    </row>
    <row r="334" spans="1:2" x14ac:dyDescent="0.25">
      <c r="A334" s="105" t="s">
        <v>386</v>
      </c>
      <c r="B334" s="67" t="s">
        <v>388</v>
      </c>
    </row>
    <row r="335" spans="1:2" x14ac:dyDescent="0.25">
      <c r="A335" s="105" t="s">
        <v>72</v>
      </c>
      <c r="B335" s="67">
        <v>4607</v>
      </c>
    </row>
    <row r="336" spans="1:2" x14ac:dyDescent="0.25">
      <c r="A336" s="105" t="s">
        <v>818</v>
      </c>
      <c r="B336" s="67" t="s">
        <v>819</v>
      </c>
    </row>
    <row r="337" spans="1:2" x14ac:dyDescent="0.25">
      <c r="A337" s="105" t="s">
        <v>820</v>
      </c>
      <c r="B337" s="67" t="s">
        <v>821</v>
      </c>
    </row>
    <row r="338" spans="1:2" x14ac:dyDescent="0.25">
      <c r="A338" s="105" t="s">
        <v>56</v>
      </c>
      <c r="B338" s="67">
        <v>2444</v>
      </c>
    </row>
    <row r="339" spans="1:2" x14ac:dyDescent="0.25">
      <c r="A339" s="105" t="s">
        <v>57</v>
      </c>
      <c r="B339" s="67">
        <v>5209</v>
      </c>
    </row>
    <row r="340" spans="1:2" x14ac:dyDescent="0.25">
      <c r="A340" s="105" t="s">
        <v>389</v>
      </c>
      <c r="B340" s="67" t="s">
        <v>391</v>
      </c>
    </row>
    <row r="341" spans="1:2" x14ac:dyDescent="0.25">
      <c r="A341" s="105" t="s">
        <v>392</v>
      </c>
      <c r="B341" s="67" t="s">
        <v>394</v>
      </c>
    </row>
    <row r="342" spans="1:2" x14ac:dyDescent="0.25">
      <c r="A342" s="105" t="s">
        <v>58</v>
      </c>
      <c r="B342" s="67">
        <v>2469</v>
      </c>
    </row>
    <row r="343" spans="1:2" x14ac:dyDescent="0.25">
      <c r="A343" s="105" t="s">
        <v>395</v>
      </c>
      <c r="B343" s="110" t="s">
        <v>397</v>
      </c>
    </row>
    <row r="344" spans="1:2" x14ac:dyDescent="0.25">
      <c r="A344" s="105" t="s">
        <v>398</v>
      </c>
      <c r="B344" s="67" t="s">
        <v>399</v>
      </c>
    </row>
    <row r="345" spans="1:2" x14ac:dyDescent="0.25">
      <c r="A345" s="59" t="s">
        <v>59</v>
      </c>
      <c r="B345" s="59">
        <v>2466</v>
      </c>
    </row>
    <row r="346" spans="1:2" x14ac:dyDescent="0.25">
      <c r="A346" s="59" t="s">
        <v>60</v>
      </c>
      <c r="B346" s="59">
        <v>3543</v>
      </c>
    </row>
    <row r="347" spans="1:2" x14ac:dyDescent="0.25">
      <c r="A347" s="59" t="s">
        <v>400</v>
      </c>
      <c r="B347" s="59">
        <v>206152</v>
      </c>
    </row>
    <row r="348" spans="1:2" x14ac:dyDescent="0.25">
      <c r="A348" s="59" t="s">
        <v>402</v>
      </c>
      <c r="B348" s="59">
        <v>206153</v>
      </c>
    </row>
    <row r="349" spans="1:2" x14ac:dyDescent="0.25">
      <c r="A349" s="59" t="s">
        <v>62</v>
      </c>
      <c r="B349" s="59">
        <v>3531</v>
      </c>
    </row>
    <row r="350" spans="1:2" x14ac:dyDescent="0.25">
      <c r="A350" s="59" t="s">
        <v>63</v>
      </c>
      <c r="B350" s="59">
        <v>3526</v>
      </c>
    </row>
    <row r="351" spans="1:2" x14ac:dyDescent="0.25">
      <c r="A351" s="59" t="s">
        <v>104</v>
      </c>
      <c r="B351" s="59">
        <v>3535</v>
      </c>
    </row>
    <row r="352" spans="1:2" x14ac:dyDescent="0.25">
      <c r="A352" s="59" t="s">
        <v>64</v>
      </c>
      <c r="B352" s="59">
        <v>2008</v>
      </c>
    </row>
    <row r="353" spans="1:2" x14ac:dyDescent="0.25">
      <c r="A353" s="59" t="s">
        <v>105</v>
      </c>
      <c r="B353" s="59">
        <v>3542</v>
      </c>
    </row>
    <row r="354" spans="1:2" x14ac:dyDescent="0.25">
      <c r="A354" s="59" t="s">
        <v>404</v>
      </c>
      <c r="B354" s="59">
        <v>206154</v>
      </c>
    </row>
    <row r="355" spans="1:2" x14ac:dyDescent="0.25">
      <c r="A355" s="59" t="s">
        <v>106</v>
      </c>
      <c r="B355" s="59">
        <v>3528</v>
      </c>
    </row>
    <row r="356" spans="1:2" x14ac:dyDescent="0.25">
      <c r="A356" s="59" t="s">
        <v>406</v>
      </c>
      <c r="B356" s="59" t="s">
        <v>407</v>
      </c>
    </row>
    <row r="357" spans="1:2" x14ac:dyDescent="0.25">
      <c r="A357" s="59" t="s">
        <v>107</v>
      </c>
      <c r="B357" s="59">
        <v>3534</v>
      </c>
    </row>
    <row r="358" spans="1:2" x14ac:dyDescent="0.25">
      <c r="A358" s="59" t="s">
        <v>108</v>
      </c>
      <c r="B358" s="59">
        <v>3532</v>
      </c>
    </row>
    <row r="359" spans="1:2" x14ac:dyDescent="0.25">
      <c r="A359" s="59" t="s">
        <v>7</v>
      </c>
      <c r="B359" s="59">
        <v>1010</v>
      </c>
    </row>
    <row r="360" spans="1:2" x14ac:dyDescent="0.25">
      <c r="A360" s="59" t="s">
        <v>1396</v>
      </c>
      <c r="B360" s="59">
        <v>484523</v>
      </c>
    </row>
    <row r="361" spans="1:2" x14ac:dyDescent="0.25">
      <c r="A361" s="59" t="s">
        <v>408</v>
      </c>
      <c r="B361" s="59" t="s">
        <v>410</v>
      </c>
    </row>
    <row r="362" spans="1:2" x14ac:dyDescent="0.25">
      <c r="A362" s="59" t="s">
        <v>114</v>
      </c>
      <c r="B362" s="59">
        <v>4177</v>
      </c>
    </row>
    <row r="363" spans="1:2" x14ac:dyDescent="0.25">
      <c r="A363" s="59" t="s">
        <v>822</v>
      </c>
      <c r="B363" s="59" t="s">
        <v>824</v>
      </c>
    </row>
    <row r="364" spans="1:2" x14ac:dyDescent="0.25">
      <c r="A364" s="59" t="s">
        <v>411</v>
      </c>
      <c r="B364" s="59" t="s">
        <v>413</v>
      </c>
    </row>
    <row r="365" spans="1:2" x14ac:dyDescent="0.25">
      <c r="A365" s="59" t="s">
        <v>414</v>
      </c>
      <c r="B365" s="59">
        <v>206103</v>
      </c>
    </row>
    <row r="366" spans="1:2" x14ac:dyDescent="0.25">
      <c r="A366" s="59" t="s">
        <v>415</v>
      </c>
      <c r="B366" s="59" t="s">
        <v>417</v>
      </c>
    </row>
    <row r="367" spans="1:2" x14ac:dyDescent="0.25">
      <c r="A367" s="59" t="s">
        <v>418</v>
      </c>
      <c r="B367" s="59" t="s">
        <v>420</v>
      </c>
    </row>
    <row r="368" spans="1:2" x14ac:dyDescent="0.25">
      <c r="A368" s="59" t="s">
        <v>421</v>
      </c>
      <c r="B368" s="59">
        <v>258420</v>
      </c>
    </row>
    <row r="369" spans="1:2" x14ac:dyDescent="0.25">
      <c r="A369" s="59" t="s">
        <v>423</v>
      </c>
      <c r="B369" s="59">
        <v>258424</v>
      </c>
    </row>
    <row r="370" spans="1:2" x14ac:dyDescent="0.25">
      <c r="A370" s="59" t="s">
        <v>1397</v>
      </c>
      <c r="B370" s="59">
        <v>482634</v>
      </c>
    </row>
    <row r="371" spans="1:2" x14ac:dyDescent="0.25">
      <c r="A371" s="59" t="s">
        <v>425</v>
      </c>
      <c r="B371" s="59" t="s">
        <v>426</v>
      </c>
    </row>
    <row r="372" spans="1:2" x14ac:dyDescent="0.25">
      <c r="A372" s="59" t="s">
        <v>65</v>
      </c>
      <c r="B372" s="59">
        <v>3546</v>
      </c>
    </row>
    <row r="373" spans="1:2" x14ac:dyDescent="0.25">
      <c r="A373" s="59" t="s">
        <v>8</v>
      </c>
      <c r="B373" s="59">
        <v>1009</v>
      </c>
    </row>
    <row r="374" spans="1:2" x14ac:dyDescent="0.25">
      <c r="A374" s="59" t="s">
        <v>1398</v>
      </c>
      <c r="B374" s="59">
        <v>476554</v>
      </c>
    </row>
    <row r="375" spans="1:2" x14ac:dyDescent="0.25">
      <c r="A375" s="59" t="s">
        <v>66</v>
      </c>
      <c r="B375" s="59">
        <v>3530</v>
      </c>
    </row>
    <row r="376" spans="1:2" x14ac:dyDescent="0.25">
      <c r="A376" s="59" t="s">
        <v>74</v>
      </c>
      <c r="B376" s="59">
        <v>5412</v>
      </c>
    </row>
    <row r="377" spans="1:2" x14ac:dyDescent="0.25">
      <c r="A377" s="59" t="s">
        <v>432</v>
      </c>
      <c r="B377" s="59" t="s">
        <v>433</v>
      </c>
    </row>
    <row r="378" spans="1:2" x14ac:dyDescent="0.25">
      <c r="A378" s="59" t="s">
        <v>427</v>
      </c>
      <c r="B378" s="59" t="s">
        <v>429</v>
      </c>
    </row>
    <row r="379" spans="1:2" x14ac:dyDescent="0.25">
      <c r="A379" s="59" t="s">
        <v>9</v>
      </c>
      <c r="B379" s="59">
        <v>1015</v>
      </c>
    </row>
    <row r="380" spans="1:2" x14ac:dyDescent="0.25">
      <c r="A380" s="59" t="s">
        <v>430</v>
      </c>
      <c r="B380" s="59" t="s">
        <v>431</v>
      </c>
    </row>
    <row r="381" spans="1:2" x14ac:dyDescent="0.25">
      <c r="A381" s="59" t="s">
        <v>434</v>
      </c>
      <c r="B381" s="59">
        <v>509204</v>
      </c>
    </row>
    <row r="382" spans="1:2" x14ac:dyDescent="0.25">
      <c r="A382" s="59" t="s">
        <v>434</v>
      </c>
      <c r="B382" s="59" t="s">
        <v>825</v>
      </c>
    </row>
    <row r="383" spans="1:2" x14ac:dyDescent="0.25">
      <c r="A383" s="59" t="s">
        <v>67</v>
      </c>
      <c r="B383" s="59">
        <v>2459</v>
      </c>
    </row>
    <row r="384" spans="1:2" x14ac:dyDescent="0.25">
      <c r="A384" s="59" t="s">
        <v>96</v>
      </c>
      <c r="B384" s="59">
        <v>2007</v>
      </c>
    </row>
    <row r="385" spans="1:2" x14ac:dyDescent="0.25">
      <c r="A385" s="11"/>
      <c r="B385" s="2"/>
    </row>
    <row r="386" spans="1:2" x14ac:dyDescent="0.25">
      <c r="A386" s="11"/>
      <c r="B386" s="2"/>
    </row>
  </sheetData>
  <sheetProtection password="EF5C" sheet="1" objects="1" scenarios="1"/>
  <pageMargins left="0.7" right="0.7" top="0.75" bottom="0.75" header="0.3" footer="0.3"/>
  <pageSetup paperSize="9" orientation="portrait"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pageSetUpPr fitToPage="1"/>
  </sheetPr>
  <dimension ref="A1:AA407"/>
  <sheetViews>
    <sheetView workbookViewId="0">
      <pane xSplit="4" ySplit="7" topLeftCell="E134" activePane="bottomRight" state="frozen"/>
      <selection activeCell="C118" sqref="C118"/>
      <selection pane="topRight" activeCell="C118" sqref="C118"/>
      <selection pane="bottomLeft" activeCell="C118" sqref="C118"/>
      <selection pane="bottomRight" activeCell="B147" sqref="B147"/>
    </sheetView>
  </sheetViews>
  <sheetFormatPr defaultColWidth="9.109375" defaultRowHeight="13.2" x14ac:dyDescent="0.25"/>
  <cols>
    <col min="1" max="1" width="52.44140625" style="22" bestFit="1" customWidth="1"/>
    <col min="2" max="2" width="10.6640625" style="22" customWidth="1"/>
    <col min="3" max="3" width="14.44140625" style="22" customWidth="1"/>
    <col min="4" max="4" width="17.109375" style="22" bestFit="1" customWidth="1"/>
    <col min="5" max="5" width="11.88671875" style="969" customWidth="1"/>
    <col min="6" max="6" width="9.109375" style="22"/>
    <col min="7" max="7" width="11.44140625" style="927" customWidth="1"/>
    <col min="8" max="8" width="13.88671875" style="927" customWidth="1"/>
    <col min="9" max="9" width="73.88671875" style="22" bestFit="1" customWidth="1"/>
    <col min="10" max="10" width="10.88671875" style="970" bestFit="1" customWidth="1"/>
    <col min="11" max="11" width="10.88671875" style="970" customWidth="1"/>
    <col min="12" max="12" width="10.88671875" style="970" bestFit="1" customWidth="1"/>
    <col min="13" max="14" width="10" style="970" customWidth="1"/>
    <col min="15" max="16" width="10.109375" style="970" customWidth="1"/>
    <col min="17" max="20" width="9.109375" style="22"/>
    <col min="21" max="21" width="11.6640625" style="970" bestFit="1" customWidth="1"/>
    <col min="22" max="22" width="10.6640625" style="970" bestFit="1" customWidth="1"/>
    <col min="23" max="23" width="11.88671875" style="22" customWidth="1"/>
    <col min="24" max="16384" width="9.109375" style="22"/>
  </cols>
  <sheetData>
    <row r="1" spans="1:27" x14ac:dyDescent="0.25">
      <c r="A1" s="24" t="s">
        <v>958</v>
      </c>
      <c r="B1" s="24"/>
      <c r="C1" s="24"/>
      <c r="D1" s="920"/>
    </row>
    <row r="2" spans="1:27" x14ac:dyDescent="0.25">
      <c r="A2" s="24" t="s">
        <v>77</v>
      </c>
      <c r="B2" s="24"/>
      <c r="C2" s="24"/>
      <c r="D2" s="920"/>
    </row>
    <row r="3" spans="1:27" x14ac:dyDescent="0.25">
      <c r="A3" s="24" t="s">
        <v>78</v>
      </c>
      <c r="B3" s="24"/>
      <c r="C3" s="24"/>
      <c r="D3" s="920"/>
      <c r="G3" s="971"/>
      <c r="H3" s="971"/>
    </row>
    <row r="4" spans="1:27" ht="26.4" x14ac:dyDescent="0.25">
      <c r="A4" s="24" t="s">
        <v>79</v>
      </c>
      <c r="B4" s="24"/>
      <c r="C4" s="24"/>
      <c r="D4" s="920"/>
      <c r="G4" s="970" t="s">
        <v>1329</v>
      </c>
      <c r="H4" s="970"/>
    </row>
    <row r="5" spans="1:27" ht="12.75" customHeight="1" x14ac:dyDescent="0.2">
      <c r="A5" s="24" t="s">
        <v>80</v>
      </c>
      <c r="B5" s="24"/>
      <c r="C5" s="24"/>
      <c r="D5" s="920"/>
      <c r="L5" s="1256" t="s">
        <v>1330</v>
      </c>
      <c r="M5" s="1256"/>
      <c r="N5" s="1256"/>
      <c r="O5" s="1256"/>
      <c r="P5" s="1256"/>
    </row>
    <row r="6" spans="1:27" ht="26.4" x14ac:dyDescent="0.25">
      <c r="A6" s="938" t="s">
        <v>118</v>
      </c>
      <c r="B6" s="938" t="s">
        <v>1014</v>
      </c>
      <c r="C6" s="938"/>
      <c r="D6" s="940" t="s">
        <v>81</v>
      </c>
      <c r="E6" s="969" t="s">
        <v>1015</v>
      </c>
      <c r="G6" s="974" t="s">
        <v>1331</v>
      </c>
      <c r="H6" s="927" t="s">
        <v>1332</v>
      </c>
      <c r="J6" s="970" t="s">
        <v>1333</v>
      </c>
      <c r="K6" s="970" t="s">
        <v>1016</v>
      </c>
      <c r="L6" s="970" t="s">
        <v>1017</v>
      </c>
      <c r="M6" s="970" t="s">
        <v>1018</v>
      </c>
      <c r="N6" s="970" t="s">
        <v>1019</v>
      </c>
      <c r="O6" s="970" t="s">
        <v>1020</v>
      </c>
      <c r="P6" s="970" t="s">
        <v>1021</v>
      </c>
    </row>
    <row r="7" spans="1:27" ht="25.5" x14ac:dyDescent="0.2">
      <c r="A7" s="938"/>
      <c r="B7" s="938"/>
      <c r="C7" s="938"/>
      <c r="D7" s="940"/>
      <c r="U7" s="970" t="s">
        <v>1022</v>
      </c>
      <c r="V7" s="970" t="s">
        <v>1016</v>
      </c>
    </row>
    <row r="8" spans="1:27" ht="12.75" x14ac:dyDescent="0.2">
      <c r="A8" s="51" t="s">
        <v>2</v>
      </c>
      <c r="B8" s="51" t="s">
        <v>1023</v>
      </c>
      <c r="C8" s="51"/>
      <c r="D8" s="51">
        <v>1014</v>
      </c>
      <c r="E8" s="969">
        <f t="shared" ref="E8:E15" si="0">G8+H8</f>
        <v>9805.7699999999986</v>
      </c>
      <c r="G8" s="927">
        <v>9805.7699999999986</v>
      </c>
      <c r="H8" s="927">
        <v>0</v>
      </c>
      <c r="I8" s="23"/>
      <c r="S8" s="22">
        <v>8312000</v>
      </c>
      <c r="T8" s="22" t="s">
        <v>52</v>
      </c>
      <c r="U8" s="970">
        <f t="shared" ref="U8:U71" si="1">SUMIF(B:B,S8,G:G)</f>
        <v>14834.369999999999</v>
      </c>
      <c r="V8" s="970">
        <f t="shared" ref="V8:V71" si="2">SUMIF(B:B,S8,H:H)</f>
        <v>0</v>
      </c>
      <c r="W8" s="927"/>
      <c r="Z8" s="927"/>
      <c r="AA8" s="927"/>
    </row>
    <row r="9" spans="1:27" ht="12.75" x14ac:dyDescent="0.2">
      <c r="A9" s="51" t="s">
        <v>3</v>
      </c>
      <c r="B9" s="51" t="s">
        <v>1024</v>
      </c>
      <c r="C9" s="51" t="s">
        <v>1334</v>
      </c>
      <c r="D9" s="51">
        <v>1017</v>
      </c>
      <c r="E9" s="969">
        <f>G9+H9</f>
        <v>0</v>
      </c>
      <c r="G9" s="927">
        <v>0</v>
      </c>
      <c r="H9" s="927">
        <v>0</v>
      </c>
      <c r="I9" s="23"/>
      <c r="S9" s="22">
        <v>8312001</v>
      </c>
      <c r="T9" s="22" t="s">
        <v>54</v>
      </c>
      <c r="U9" s="970">
        <f t="shared" si="1"/>
        <v>14708.654999999999</v>
      </c>
      <c r="V9" s="970">
        <f t="shared" si="2"/>
        <v>0</v>
      </c>
      <c r="W9" s="927"/>
      <c r="Z9" s="927"/>
      <c r="AA9" s="927"/>
    </row>
    <row r="10" spans="1:27" ht="12.75" x14ac:dyDescent="0.2">
      <c r="A10" s="51" t="s">
        <v>4</v>
      </c>
      <c r="B10" s="51" t="s">
        <v>1025</v>
      </c>
      <c r="C10" s="51"/>
      <c r="D10" s="51">
        <v>1006</v>
      </c>
      <c r="E10" s="969">
        <f t="shared" si="0"/>
        <v>11565.779999999999</v>
      </c>
      <c r="G10" s="927">
        <v>11565.779999999999</v>
      </c>
      <c r="H10" s="927">
        <v>0</v>
      </c>
      <c r="I10" s="23"/>
      <c r="S10" s="22">
        <v>8312002</v>
      </c>
      <c r="T10" s="22" t="s">
        <v>35</v>
      </c>
      <c r="U10" s="970">
        <f t="shared" si="1"/>
        <v>44000.25</v>
      </c>
      <c r="V10" s="970">
        <f t="shared" si="2"/>
        <v>0</v>
      </c>
      <c r="W10" s="927"/>
      <c r="Z10" s="927"/>
      <c r="AA10" s="927"/>
    </row>
    <row r="11" spans="1:27" ht="12.75" x14ac:dyDescent="0.2">
      <c r="A11" s="51" t="s">
        <v>5</v>
      </c>
      <c r="B11" s="51" t="s">
        <v>1026</v>
      </c>
      <c r="C11" s="51"/>
      <c r="D11" s="51">
        <v>1008</v>
      </c>
      <c r="E11" s="969">
        <f t="shared" si="0"/>
        <v>4547.08</v>
      </c>
      <c r="G11" s="927">
        <v>4670.58</v>
      </c>
      <c r="H11" s="927">
        <v>-123.5</v>
      </c>
      <c r="I11" s="23"/>
      <c r="S11" s="22">
        <v>8312003</v>
      </c>
      <c r="T11" s="22" t="s">
        <v>45</v>
      </c>
      <c r="U11" s="970">
        <f t="shared" si="1"/>
        <v>25394.43</v>
      </c>
      <c r="V11" s="970">
        <f t="shared" si="2"/>
        <v>0</v>
      </c>
      <c r="W11" s="927"/>
      <c r="Z11" s="927"/>
      <c r="AA11" s="927"/>
    </row>
    <row r="12" spans="1:27" ht="12.75" x14ac:dyDescent="0.2">
      <c r="A12" s="51" t="s">
        <v>6</v>
      </c>
      <c r="B12" s="51" t="s">
        <v>1027</v>
      </c>
      <c r="C12" s="51"/>
      <c r="D12" s="51">
        <v>1005</v>
      </c>
      <c r="E12" s="969">
        <f t="shared" si="0"/>
        <v>14834.369999999999</v>
      </c>
      <c r="G12" s="927">
        <v>14834.369999999999</v>
      </c>
      <c r="H12" s="927">
        <v>0</v>
      </c>
      <c r="I12" s="23"/>
      <c r="S12" s="22">
        <v>8312004</v>
      </c>
      <c r="T12" s="22" t="s">
        <v>17</v>
      </c>
      <c r="U12" s="970">
        <f t="shared" si="1"/>
        <v>12571.5</v>
      </c>
      <c r="V12" s="970">
        <f t="shared" si="2"/>
        <v>0</v>
      </c>
      <c r="W12" s="927"/>
      <c r="Z12" s="927"/>
      <c r="AA12" s="927"/>
    </row>
    <row r="13" spans="1:27" ht="12.75" x14ac:dyDescent="0.2">
      <c r="A13" s="51" t="s">
        <v>7</v>
      </c>
      <c r="B13" s="51" t="s">
        <v>1028</v>
      </c>
      <c r="C13" s="51"/>
      <c r="D13" s="51">
        <v>1010</v>
      </c>
      <c r="E13" s="969">
        <f t="shared" si="0"/>
        <v>4406.7599999999993</v>
      </c>
      <c r="G13" s="927">
        <v>4424.7599999999993</v>
      </c>
      <c r="H13" s="927">
        <v>-18</v>
      </c>
      <c r="I13" s="23"/>
      <c r="S13" s="22">
        <v>8312005</v>
      </c>
      <c r="T13" s="22" t="s">
        <v>15</v>
      </c>
      <c r="U13" s="970">
        <f t="shared" si="1"/>
        <v>13954.365</v>
      </c>
      <c r="V13" s="970">
        <f t="shared" si="2"/>
        <v>0</v>
      </c>
      <c r="W13" s="927"/>
      <c r="Z13" s="927"/>
      <c r="AA13" s="927"/>
    </row>
    <row r="14" spans="1:27" ht="12.75" x14ac:dyDescent="0.2">
      <c r="A14" s="51" t="s">
        <v>8</v>
      </c>
      <c r="B14" s="51" t="s">
        <v>1029</v>
      </c>
      <c r="C14" s="51"/>
      <c r="D14" s="51">
        <v>1009</v>
      </c>
      <c r="E14" s="969">
        <f t="shared" si="0"/>
        <v>8079.0599999999995</v>
      </c>
      <c r="G14" s="927">
        <v>8112.0599999999995</v>
      </c>
      <c r="H14" s="927">
        <v>-33</v>
      </c>
      <c r="I14" s="23"/>
      <c r="S14" s="22">
        <v>8312006</v>
      </c>
      <c r="T14" s="22" t="s">
        <v>100</v>
      </c>
      <c r="U14" s="970">
        <f t="shared" si="1"/>
        <v>25897.289999999997</v>
      </c>
      <c r="V14" s="970">
        <f t="shared" si="2"/>
        <v>0</v>
      </c>
      <c r="W14" s="927"/>
      <c r="Z14" s="927"/>
      <c r="AA14" s="927"/>
    </row>
    <row r="15" spans="1:27" ht="12.75" x14ac:dyDescent="0.2">
      <c r="A15" s="51" t="s">
        <v>9</v>
      </c>
      <c r="B15" s="51" t="s">
        <v>1030</v>
      </c>
      <c r="C15" s="51"/>
      <c r="D15" s="51">
        <v>1015</v>
      </c>
      <c r="E15" s="969">
        <f t="shared" si="0"/>
        <v>5875.6799999999994</v>
      </c>
      <c r="G15" s="927">
        <v>5899.6799999999994</v>
      </c>
      <c r="H15" s="927">
        <v>-24</v>
      </c>
      <c r="I15" s="23"/>
      <c r="S15" s="22">
        <v>8312400</v>
      </c>
      <c r="T15" s="22" t="s">
        <v>10</v>
      </c>
      <c r="U15" s="970">
        <f t="shared" si="1"/>
        <v>0</v>
      </c>
      <c r="V15" s="970">
        <f t="shared" si="2"/>
        <v>0</v>
      </c>
      <c r="W15" s="927"/>
      <c r="Z15" s="927"/>
      <c r="AA15" s="927"/>
    </row>
    <row r="16" spans="1:27" ht="12.75" x14ac:dyDescent="0.2">
      <c r="A16" s="51"/>
      <c r="B16" s="51"/>
      <c r="C16" s="51"/>
      <c r="D16" s="51"/>
      <c r="I16" s="23"/>
      <c r="S16" s="22">
        <v>8312405</v>
      </c>
      <c r="T16" s="22" t="s">
        <v>18</v>
      </c>
      <c r="U16" s="970">
        <f t="shared" si="1"/>
        <v>10057.199999999999</v>
      </c>
      <c r="V16" s="970">
        <f t="shared" si="2"/>
        <v>0</v>
      </c>
      <c r="W16" s="927"/>
      <c r="Z16" s="927"/>
      <c r="AA16" s="927"/>
    </row>
    <row r="17" spans="1:27" ht="12.75" x14ac:dyDescent="0.2">
      <c r="A17" s="24" t="s">
        <v>556</v>
      </c>
      <c r="B17" s="51"/>
      <c r="C17" s="24"/>
      <c r="D17" s="24" t="s">
        <v>556</v>
      </c>
      <c r="E17" s="1103">
        <f>SUM(E8:E16)</f>
        <v>59114.5</v>
      </c>
      <c r="G17" s="946">
        <f>SUM(G8:G16)</f>
        <v>59313</v>
      </c>
      <c r="H17" s="946">
        <f>SUM(H8:H16)</f>
        <v>-198.5</v>
      </c>
      <c r="I17" s="23"/>
      <c r="J17" s="972">
        <f t="shared" ref="J17:P17" si="3">SUM(J8:J16)</f>
        <v>0</v>
      </c>
      <c r="K17" s="972">
        <f t="shared" si="3"/>
        <v>0</v>
      </c>
      <c r="L17" s="972">
        <f t="shared" si="3"/>
        <v>0</v>
      </c>
      <c r="M17" s="972">
        <f t="shared" si="3"/>
        <v>0</v>
      </c>
      <c r="N17" s="972">
        <f t="shared" si="3"/>
        <v>0</v>
      </c>
      <c r="O17" s="972">
        <f t="shared" si="3"/>
        <v>0</v>
      </c>
      <c r="P17" s="972">
        <f t="shared" si="3"/>
        <v>0</v>
      </c>
      <c r="S17" s="22">
        <v>8312409</v>
      </c>
      <c r="T17" s="22" t="s">
        <v>31</v>
      </c>
      <c r="U17" s="970">
        <f t="shared" si="1"/>
        <v>29920.17</v>
      </c>
      <c r="V17" s="970">
        <f t="shared" si="2"/>
        <v>0</v>
      </c>
      <c r="W17" s="927"/>
      <c r="Z17" s="927"/>
      <c r="AA17" s="927"/>
    </row>
    <row r="18" spans="1:27" ht="12.75" x14ac:dyDescent="0.2">
      <c r="A18" s="938"/>
      <c r="B18" s="51"/>
      <c r="C18" s="938"/>
      <c r="D18" s="940"/>
      <c r="S18" s="22">
        <v>8312420</v>
      </c>
      <c r="T18" s="22" t="s">
        <v>43</v>
      </c>
      <c r="U18" s="970">
        <f t="shared" si="1"/>
        <v>18982.965</v>
      </c>
      <c r="V18" s="970">
        <f t="shared" si="2"/>
        <v>0</v>
      </c>
      <c r="W18" s="927"/>
      <c r="Z18" s="927"/>
      <c r="AA18" s="927"/>
    </row>
    <row r="19" spans="1:27" ht="12.75" x14ac:dyDescent="0.2">
      <c r="A19" s="25" t="s">
        <v>1301</v>
      </c>
      <c r="B19" s="975">
        <v>8312014</v>
      </c>
      <c r="C19" s="25"/>
      <c r="D19" s="26">
        <v>2014</v>
      </c>
      <c r="E19" s="969">
        <f>G19+H19</f>
        <v>8800.0499999999956</v>
      </c>
      <c r="G19" s="927">
        <v>8800.0499999999956</v>
      </c>
      <c r="H19" s="927">
        <v>0</v>
      </c>
      <c r="S19" s="22">
        <v>8312423</v>
      </c>
      <c r="T19" s="22" t="s">
        <v>46</v>
      </c>
      <c r="U19" s="970">
        <f t="shared" si="1"/>
        <v>10811.49</v>
      </c>
      <c r="V19" s="970">
        <f t="shared" si="2"/>
        <v>0</v>
      </c>
      <c r="W19" s="927"/>
      <c r="Z19" s="927"/>
      <c r="AA19" s="927"/>
    </row>
    <row r="20" spans="1:27" ht="12.75" x14ac:dyDescent="0.2">
      <c r="A20" s="25" t="s">
        <v>10</v>
      </c>
      <c r="B20" s="975">
        <v>8312012</v>
      </c>
      <c r="C20" s="25"/>
      <c r="D20" s="26">
        <v>2012</v>
      </c>
      <c r="E20" s="969">
        <f>G20+H20</f>
        <v>-16601.281999999999</v>
      </c>
      <c r="G20" s="927">
        <v>5682.3179999999993</v>
      </c>
      <c r="H20" s="927">
        <v>-22283.599999999999</v>
      </c>
      <c r="S20" s="22">
        <v>8312423</v>
      </c>
      <c r="T20" s="22" t="s">
        <v>46</v>
      </c>
      <c r="U20" s="970">
        <f t="shared" si="1"/>
        <v>10811.49</v>
      </c>
      <c r="V20" s="970">
        <f t="shared" si="2"/>
        <v>0</v>
      </c>
      <c r="W20" s="927"/>
      <c r="Z20" s="927"/>
      <c r="AA20" s="927"/>
    </row>
    <row r="21" spans="1:27" ht="12.75" x14ac:dyDescent="0.2">
      <c r="A21" s="25" t="s">
        <v>11</v>
      </c>
      <c r="B21" s="51" t="s">
        <v>1032</v>
      </c>
      <c r="C21" s="25"/>
      <c r="D21" s="26">
        <v>2443</v>
      </c>
      <c r="E21" s="969">
        <f t="shared" ref="E21:E84" si="4">G21+H21</f>
        <v>12697.215</v>
      </c>
      <c r="G21" s="927">
        <v>12697.215</v>
      </c>
      <c r="H21" s="927">
        <v>0</v>
      </c>
      <c r="S21" s="22">
        <v>8312424</v>
      </c>
      <c r="T21" s="22" t="s">
        <v>47</v>
      </c>
      <c r="U21" s="970">
        <f t="shared" si="1"/>
        <v>10811.49</v>
      </c>
      <c r="V21" s="970">
        <f t="shared" si="2"/>
        <v>0</v>
      </c>
      <c r="W21" s="927"/>
      <c r="Z21" s="927"/>
      <c r="AA21" s="927"/>
    </row>
    <row r="22" spans="1:27" ht="12.75" x14ac:dyDescent="0.2">
      <c r="A22" s="25" t="s">
        <v>94</v>
      </c>
      <c r="B22" s="51" t="s">
        <v>1033</v>
      </c>
      <c r="C22" s="25"/>
      <c r="D22" s="26">
        <v>2442</v>
      </c>
      <c r="E22" s="969">
        <f t="shared" si="4"/>
        <v>12697.215</v>
      </c>
      <c r="G22" s="927">
        <v>12697.215</v>
      </c>
      <c r="H22" s="927">
        <v>0</v>
      </c>
      <c r="S22" s="22">
        <v>8312429</v>
      </c>
      <c r="T22" s="22" t="s">
        <v>55</v>
      </c>
      <c r="U22" s="970">
        <f t="shared" si="1"/>
        <v>6882.9599999999991</v>
      </c>
      <c r="V22" s="970">
        <f t="shared" si="2"/>
        <v>-28</v>
      </c>
      <c r="W22" s="927"/>
      <c r="Z22" s="927"/>
      <c r="AA22" s="927"/>
    </row>
    <row r="23" spans="1:27" ht="12.75" x14ac:dyDescent="0.2">
      <c r="A23" s="25" t="s">
        <v>13</v>
      </c>
      <c r="B23" s="51" t="s">
        <v>1034</v>
      </c>
      <c r="C23" s="25"/>
      <c r="D23" s="26">
        <v>2629</v>
      </c>
      <c r="E23" s="969">
        <f t="shared" si="4"/>
        <v>89765.440000000002</v>
      </c>
      <c r="G23" s="927">
        <v>64868.939999999995</v>
      </c>
      <c r="H23" s="927">
        <v>24896.5</v>
      </c>
      <c r="S23" s="22">
        <v>8312430</v>
      </c>
      <c r="T23" s="22" t="s">
        <v>437</v>
      </c>
      <c r="U23" s="970">
        <f t="shared" si="1"/>
        <v>19611.539999999997</v>
      </c>
      <c r="V23" s="970">
        <f t="shared" si="2"/>
        <v>0</v>
      </c>
      <c r="W23" s="927"/>
      <c r="Z23" s="927"/>
      <c r="AA23" s="927"/>
    </row>
    <row r="24" spans="1:27" ht="12.75" x14ac:dyDescent="0.2">
      <c r="A24" s="25" t="s">
        <v>14</v>
      </c>
      <c r="B24" s="51" t="s">
        <v>1035</v>
      </c>
      <c r="C24" s="25"/>
      <c r="D24" s="26">
        <v>2509</v>
      </c>
      <c r="E24" s="969">
        <f t="shared" si="4"/>
        <v>11565.779999999999</v>
      </c>
      <c r="G24" s="927">
        <v>11565.779999999999</v>
      </c>
      <c r="H24" s="927">
        <v>0</v>
      </c>
      <c r="S24" s="22">
        <v>8312432</v>
      </c>
      <c r="T24" s="22" t="s">
        <v>22</v>
      </c>
      <c r="U24" s="970">
        <f t="shared" si="1"/>
        <v>7040.04</v>
      </c>
      <c r="V24" s="970">
        <f t="shared" si="2"/>
        <v>0</v>
      </c>
      <c r="W24" s="927"/>
      <c r="Z24" s="927"/>
      <c r="AA24" s="927"/>
    </row>
    <row r="25" spans="1:27" ht="12.75" x14ac:dyDescent="0.2">
      <c r="A25" s="25" t="s">
        <v>15</v>
      </c>
      <c r="B25" s="51" t="s">
        <v>1036</v>
      </c>
      <c r="C25" s="25"/>
      <c r="D25" s="26">
        <v>2005</v>
      </c>
      <c r="E25" s="969">
        <f t="shared" si="4"/>
        <v>13954.365</v>
      </c>
      <c r="G25" s="927">
        <v>13954.365</v>
      </c>
      <c r="H25" s="927">
        <v>0</v>
      </c>
      <c r="S25" s="22">
        <v>8312433</v>
      </c>
      <c r="T25" s="22" t="s">
        <v>21</v>
      </c>
      <c r="U25" s="970">
        <f t="shared" si="1"/>
        <v>7040.04</v>
      </c>
      <c r="V25" s="970">
        <f t="shared" si="2"/>
        <v>0</v>
      </c>
      <c r="W25" s="927"/>
      <c r="Z25" s="927"/>
      <c r="AA25" s="927"/>
    </row>
    <row r="26" spans="1:27" ht="12.75" x14ac:dyDescent="0.2">
      <c r="A26" s="25" t="s">
        <v>16</v>
      </c>
      <c r="B26" s="51" t="s">
        <v>1037</v>
      </c>
      <c r="C26" s="25"/>
      <c r="D26" s="26">
        <v>2464</v>
      </c>
      <c r="E26" s="969">
        <f t="shared" si="4"/>
        <v>10811.49</v>
      </c>
      <c r="G26" s="927">
        <v>10811.49</v>
      </c>
      <c r="H26" s="927">
        <v>0</v>
      </c>
      <c r="S26" s="22">
        <v>8312434</v>
      </c>
      <c r="T26" s="22" t="s">
        <v>37</v>
      </c>
      <c r="U26" s="970">
        <f t="shared" si="1"/>
        <v>44251.68</v>
      </c>
      <c r="V26" s="970">
        <f t="shared" si="2"/>
        <v>0</v>
      </c>
      <c r="W26" s="927"/>
      <c r="Z26" s="927"/>
      <c r="AA26" s="927"/>
    </row>
    <row r="27" spans="1:27" ht="12.75" x14ac:dyDescent="0.2">
      <c r="A27" s="25" t="s">
        <v>17</v>
      </c>
      <c r="B27" s="51" t="s">
        <v>1038</v>
      </c>
      <c r="C27" s="25"/>
      <c r="D27" s="26">
        <v>2004</v>
      </c>
      <c r="E27" s="969">
        <f t="shared" si="4"/>
        <v>12571.5</v>
      </c>
      <c r="G27" s="927">
        <v>12571.5</v>
      </c>
      <c r="H27" s="927">
        <v>0</v>
      </c>
      <c r="S27" s="22">
        <v>8312436</v>
      </c>
      <c r="T27" s="22" t="s">
        <v>39</v>
      </c>
      <c r="U27" s="970">
        <f t="shared" si="1"/>
        <v>13200.074999999999</v>
      </c>
      <c r="V27" s="970">
        <f t="shared" si="2"/>
        <v>0</v>
      </c>
      <c r="W27" s="927"/>
      <c r="Z27" s="927"/>
      <c r="AA27" s="927"/>
    </row>
    <row r="28" spans="1:27" ht="12.75" x14ac:dyDescent="0.2">
      <c r="A28" s="25" t="s">
        <v>18</v>
      </c>
      <c r="B28" s="51" t="s">
        <v>1039</v>
      </c>
      <c r="C28" s="25"/>
      <c r="D28" s="26">
        <v>2405</v>
      </c>
      <c r="E28" s="969">
        <f t="shared" si="4"/>
        <v>10057.199999999999</v>
      </c>
      <c r="G28" s="927">
        <v>10057.199999999999</v>
      </c>
      <c r="H28" s="927">
        <v>0</v>
      </c>
      <c r="S28" s="22">
        <v>8312439</v>
      </c>
      <c r="T28" s="22" t="s">
        <v>48</v>
      </c>
      <c r="U28" s="970">
        <f t="shared" si="1"/>
        <v>8112.0599999999995</v>
      </c>
      <c r="V28" s="970">
        <f t="shared" si="2"/>
        <v>-33</v>
      </c>
      <c r="W28" s="927"/>
      <c r="Z28" s="927"/>
      <c r="AA28" s="927"/>
    </row>
    <row r="29" spans="1:27" ht="22.5" x14ac:dyDescent="0.2">
      <c r="A29" s="25" t="s">
        <v>95</v>
      </c>
      <c r="B29" s="51">
        <v>8312011</v>
      </c>
      <c r="C29" s="973" t="s">
        <v>1041</v>
      </c>
      <c r="D29" s="26">
        <v>2011</v>
      </c>
      <c r="E29" s="969">
        <f t="shared" si="4"/>
        <v>4953.1709999999985</v>
      </c>
      <c r="G29" s="927">
        <v>4953.1709999999985</v>
      </c>
      <c r="H29" s="927">
        <v>0</v>
      </c>
      <c r="S29" s="22">
        <v>8312440</v>
      </c>
      <c r="T29" s="22" t="s">
        <v>49</v>
      </c>
      <c r="U29" s="970">
        <f t="shared" si="1"/>
        <v>31931.609999999997</v>
      </c>
      <c r="V29" s="970">
        <f t="shared" si="2"/>
        <v>0</v>
      </c>
      <c r="W29" s="927"/>
      <c r="Z29" s="927"/>
      <c r="AA29" s="927"/>
    </row>
    <row r="30" spans="1:27" ht="12.75" x14ac:dyDescent="0.2">
      <c r="A30" s="25" t="s">
        <v>20</v>
      </c>
      <c r="B30" s="51" t="s">
        <v>1042</v>
      </c>
      <c r="C30" s="25"/>
      <c r="D30" s="26">
        <v>5201</v>
      </c>
      <c r="E30" s="969">
        <f t="shared" si="4"/>
        <v>16915.239999999998</v>
      </c>
      <c r="G30" s="927">
        <v>17097.239999999998</v>
      </c>
      <c r="H30" s="927">
        <v>-182</v>
      </c>
      <c r="S30" s="22">
        <v>8312442</v>
      </c>
      <c r="T30" s="22" t="s">
        <v>94</v>
      </c>
      <c r="U30" s="970">
        <f t="shared" si="1"/>
        <v>12697.215</v>
      </c>
      <c r="V30" s="970">
        <f t="shared" si="2"/>
        <v>0</v>
      </c>
      <c r="W30" s="927"/>
      <c r="Z30" s="927"/>
      <c r="AA30" s="927"/>
    </row>
    <row r="31" spans="1:27" ht="22.5" x14ac:dyDescent="0.2">
      <c r="A31" s="25" t="s">
        <v>96</v>
      </c>
      <c r="B31" s="51" t="s">
        <v>1043</v>
      </c>
      <c r="C31" s="973" t="s">
        <v>1044</v>
      </c>
      <c r="D31" s="26">
        <v>2007</v>
      </c>
      <c r="E31" s="969">
        <f t="shared" si="4"/>
        <v>2564.5859999999993</v>
      </c>
      <c r="G31" s="927">
        <v>2564.5859999999993</v>
      </c>
      <c r="H31" s="927">
        <v>0</v>
      </c>
      <c r="S31" s="22">
        <v>8312443</v>
      </c>
      <c r="T31" s="22" t="s">
        <v>11</v>
      </c>
      <c r="U31" s="970">
        <f t="shared" si="1"/>
        <v>12697.215</v>
      </c>
      <c r="V31" s="970">
        <f t="shared" si="2"/>
        <v>0</v>
      </c>
      <c r="W31" s="927"/>
      <c r="Z31" s="927"/>
      <c r="AA31" s="927"/>
    </row>
    <row r="32" spans="1:27" ht="12.75" x14ac:dyDescent="0.2">
      <c r="A32" s="25" t="s">
        <v>21</v>
      </c>
      <c r="B32" s="51" t="s">
        <v>1045</v>
      </c>
      <c r="C32" s="25"/>
      <c r="D32" s="26">
        <v>2433</v>
      </c>
      <c r="E32" s="969">
        <f t="shared" si="4"/>
        <v>7040.04</v>
      </c>
      <c r="G32" s="927">
        <v>7040.04</v>
      </c>
      <c r="H32" s="927">
        <v>0</v>
      </c>
      <c r="S32" s="22">
        <v>8312444</v>
      </c>
      <c r="T32" s="22" t="s">
        <v>56</v>
      </c>
      <c r="U32" s="970">
        <f t="shared" si="1"/>
        <v>9051.48</v>
      </c>
      <c r="V32" s="970">
        <f t="shared" si="2"/>
        <v>0</v>
      </c>
      <c r="W32" s="927"/>
      <c r="Z32" s="927"/>
      <c r="AA32" s="927"/>
    </row>
    <row r="33" spans="1:27" ht="12.75" x14ac:dyDescent="0.2">
      <c r="A33" s="25" t="s">
        <v>22</v>
      </c>
      <c r="B33" s="51" t="s">
        <v>1046</v>
      </c>
      <c r="C33" s="25"/>
      <c r="D33" s="26">
        <v>2432</v>
      </c>
      <c r="E33" s="969">
        <f t="shared" si="4"/>
        <v>7040.04</v>
      </c>
      <c r="G33" s="927">
        <v>7040.04</v>
      </c>
      <c r="H33" s="927">
        <v>0</v>
      </c>
      <c r="S33" s="22">
        <v>8312448</v>
      </c>
      <c r="T33" s="22" t="s">
        <v>26</v>
      </c>
      <c r="U33" s="970">
        <f t="shared" si="1"/>
        <v>15588.66</v>
      </c>
      <c r="V33" s="970">
        <f t="shared" si="2"/>
        <v>8134.5</v>
      </c>
      <c r="W33" s="927"/>
      <c r="Z33" s="927"/>
      <c r="AA33" s="927"/>
    </row>
    <row r="34" spans="1:27" ht="12.75" x14ac:dyDescent="0.2">
      <c r="A34" s="25" t="s">
        <v>188</v>
      </c>
      <c r="B34" s="51" t="s">
        <v>1047</v>
      </c>
      <c r="C34" s="25"/>
      <c r="D34" s="26">
        <v>2447</v>
      </c>
      <c r="E34" s="969">
        <f t="shared" si="4"/>
        <v>16594.379999999997</v>
      </c>
      <c r="G34" s="927">
        <v>16594.379999999997</v>
      </c>
      <c r="H34" s="927">
        <v>0</v>
      </c>
      <c r="S34" s="22">
        <v>8312449</v>
      </c>
      <c r="T34" s="22" t="s">
        <v>25</v>
      </c>
      <c r="U34" s="970">
        <f t="shared" si="1"/>
        <v>9554.34</v>
      </c>
      <c r="V34" s="970">
        <f t="shared" si="2"/>
        <v>2218.5</v>
      </c>
      <c r="W34" s="927"/>
      <c r="Z34" s="927"/>
      <c r="AA34" s="927"/>
    </row>
    <row r="35" spans="1:27" ht="12.75" x14ac:dyDescent="0.2">
      <c r="A35" s="25" t="s">
        <v>23</v>
      </c>
      <c r="B35" s="51" t="s">
        <v>1048</v>
      </c>
      <c r="C35" s="25"/>
      <c r="D35" s="26">
        <v>2512</v>
      </c>
      <c r="E35" s="969">
        <f t="shared" si="4"/>
        <v>15337.23</v>
      </c>
      <c r="G35" s="927">
        <v>15337.23</v>
      </c>
      <c r="H35" s="927">
        <v>0</v>
      </c>
      <c r="S35" s="22">
        <v>8312451</v>
      </c>
      <c r="T35" s="22" t="s">
        <v>30</v>
      </c>
      <c r="U35" s="970">
        <f t="shared" si="1"/>
        <v>22880.129999999997</v>
      </c>
      <c r="V35" s="970">
        <f t="shared" si="2"/>
        <v>0</v>
      </c>
      <c r="W35" s="927"/>
      <c r="Z35" s="927"/>
      <c r="AA35" s="927"/>
    </row>
    <row r="36" spans="1:27" ht="12.75" x14ac:dyDescent="0.2">
      <c r="A36" s="25" t="s">
        <v>24</v>
      </c>
      <c r="B36" s="51" t="s">
        <v>1049</v>
      </c>
      <c r="C36" s="25"/>
      <c r="D36" s="26">
        <v>2456</v>
      </c>
      <c r="E36" s="969">
        <f t="shared" si="4"/>
        <v>8568.6999999999989</v>
      </c>
      <c r="G36" s="927">
        <v>8603.6999999999989</v>
      </c>
      <c r="H36" s="927">
        <v>-35</v>
      </c>
      <c r="S36" s="22">
        <v>8312452</v>
      </c>
      <c r="T36" s="22" t="s">
        <v>40</v>
      </c>
      <c r="U36" s="970">
        <f t="shared" si="1"/>
        <v>11565.779999999999</v>
      </c>
      <c r="V36" s="970">
        <f t="shared" si="2"/>
        <v>0</v>
      </c>
      <c r="W36" s="927"/>
      <c r="Z36" s="927"/>
      <c r="AA36" s="927"/>
    </row>
    <row r="37" spans="1:27" ht="12.75" x14ac:dyDescent="0.2">
      <c r="A37" s="25" t="s">
        <v>25</v>
      </c>
      <c r="B37" s="51" t="s">
        <v>1050</v>
      </c>
      <c r="C37" s="25"/>
      <c r="D37" s="26">
        <v>2449</v>
      </c>
      <c r="E37" s="969">
        <f t="shared" si="4"/>
        <v>11772.84</v>
      </c>
      <c r="G37" s="927">
        <v>9554.34</v>
      </c>
      <c r="H37" s="927">
        <v>2218.5</v>
      </c>
      <c r="S37" s="22">
        <v>8312455</v>
      </c>
      <c r="T37" s="22" t="s">
        <v>28</v>
      </c>
      <c r="U37" s="970">
        <f t="shared" si="1"/>
        <v>25143</v>
      </c>
      <c r="V37" s="970">
        <f t="shared" si="2"/>
        <v>0</v>
      </c>
      <c r="W37" s="927"/>
      <c r="Z37" s="927"/>
      <c r="AA37" s="927"/>
    </row>
    <row r="38" spans="1:27" ht="12.75" x14ac:dyDescent="0.2">
      <c r="A38" s="25" t="s">
        <v>26</v>
      </c>
      <c r="B38" s="51" t="s">
        <v>1051</v>
      </c>
      <c r="C38" s="25"/>
      <c r="D38" s="26">
        <v>2448</v>
      </c>
      <c r="E38" s="969">
        <f t="shared" si="4"/>
        <v>23723.16</v>
      </c>
      <c r="G38" s="927">
        <v>15588.66</v>
      </c>
      <c r="H38" s="927">
        <v>8134.5</v>
      </c>
      <c r="S38" s="22">
        <v>8312456</v>
      </c>
      <c r="T38" s="22" t="s">
        <v>24</v>
      </c>
      <c r="U38" s="970">
        <f t="shared" si="1"/>
        <v>8603.6999999999989</v>
      </c>
      <c r="V38" s="970">
        <f t="shared" si="2"/>
        <v>-35</v>
      </c>
      <c r="W38" s="927"/>
      <c r="Z38" s="927"/>
      <c r="AA38" s="927"/>
    </row>
    <row r="39" spans="1:27" ht="12.75" x14ac:dyDescent="0.2">
      <c r="A39" s="25" t="s">
        <v>126</v>
      </c>
      <c r="B39" s="51" t="s">
        <v>1052</v>
      </c>
      <c r="C39" s="25"/>
      <c r="D39" s="26">
        <v>2467</v>
      </c>
      <c r="E39" s="969">
        <f t="shared" si="4"/>
        <v>11314.349999999999</v>
      </c>
      <c r="G39" s="927">
        <v>11314.349999999999</v>
      </c>
      <c r="H39" s="927">
        <v>0</v>
      </c>
      <c r="S39" s="22">
        <v>8312457</v>
      </c>
      <c r="T39" s="22" t="s">
        <v>34</v>
      </c>
      <c r="U39" s="970">
        <f t="shared" si="1"/>
        <v>15965.804999999998</v>
      </c>
      <c r="V39" s="970">
        <f t="shared" si="2"/>
        <v>0</v>
      </c>
      <c r="W39" s="927"/>
      <c r="Z39" s="927"/>
      <c r="AA39" s="927"/>
    </row>
    <row r="40" spans="1:27" ht="12.75" x14ac:dyDescent="0.2">
      <c r="A40" s="25" t="s">
        <v>28</v>
      </c>
      <c r="B40" s="51" t="s">
        <v>1053</v>
      </c>
      <c r="C40" s="25"/>
      <c r="D40" s="26">
        <v>2455</v>
      </c>
      <c r="E40" s="969">
        <f t="shared" si="4"/>
        <v>25143</v>
      </c>
      <c r="G40" s="927">
        <v>25143</v>
      </c>
      <c r="H40" s="927">
        <v>0</v>
      </c>
      <c r="S40" s="22">
        <v>8312458</v>
      </c>
      <c r="T40" s="22" t="s">
        <v>53</v>
      </c>
      <c r="U40" s="970">
        <f t="shared" si="1"/>
        <v>8112.0599999999995</v>
      </c>
      <c r="V40" s="970">
        <f t="shared" si="2"/>
        <v>-33</v>
      </c>
      <c r="W40" s="927"/>
      <c r="Z40" s="927"/>
      <c r="AA40" s="927"/>
    </row>
    <row r="41" spans="1:27" ht="33.75" x14ac:dyDescent="0.2">
      <c r="A41" s="25" t="s">
        <v>29</v>
      </c>
      <c r="B41" s="51" t="s">
        <v>1054</v>
      </c>
      <c r="C41" s="973" t="s">
        <v>1055</v>
      </c>
      <c r="D41" s="26">
        <v>5203</v>
      </c>
      <c r="E41" s="969">
        <f t="shared" si="4"/>
        <v>4877.7419999999984</v>
      </c>
      <c r="G41" s="927">
        <v>4877.7419999999984</v>
      </c>
      <c r="H41" s="927">
        <v>0</v>
      </c>
      <c r="S41" s="22">
        <v>8312459</v>
      </c>
      <c r="T41" s="22" t="s">
        <v>67</v>
      </c>
      <c r="U41" s="970">
        <f t="shared" si="1"/>
        <v>13200.074999999999</v>
      </c>
      <c r="V41" s="970">
        <f t="shared" si="2"/>
        <v>0</v>
      </c>
      <c r="W41" s="927"/>
      <c r="Z41" s="927"/>
      <c r="AA41" s="927"/>
    </row>
    <row r="42" spans="1:27" ht="12.75" x14ac:dyDescent="0.2">
      <c r="A42" s="25" t="s">
        <v>30</v>
      </c>
      <c r="B42" s="51" t="s">
        <v>1056</v>
      </c>
      <c r="C42" s="25"/>
      <c r="D42" s="26">
        <v>2451</v>
      </c>
      <c r="E42" s="969">
        <f t="shared" si="4"/>
        <v>22880.129999999997</v>
      </c>
      <c r="G42" s="927">
        <v>22880.129999999997</v>
      </c>
      <c r="H42" s="927">
        <v>0</v>
      </c>
      <c r="S42" s="22">
        <v>8312462</v>
      </c>
      <c r="T42" s="22" t="s">
        <v>102</v>
      </c>
      <c r="U42" s="970">
        <f t="shared" si="1"/>
        <v>12068.64</v>
      </c>
      <c r="V42" s="970">
        <f t="shared" si="2"/>
        <v>0</v>
      </c>
      <c r="W42" s="927"/>
      <c r="Z42" s="927"/>
      <c r="AA42" s="927"/>
    </row>
    <row r="43" spans="1:27" ht="12.75" x14ac:dyDescent="0.2">
      <c r="A43" s="25" t="s">
        <v>31</v>
      </c>
      <c r="B43" s="51" t="s">
        <v>1057</v>
      </c>
      <c r="C43" s="25"/>
      <c r="D43" s="26">
        <v>2409</v>
      </c>
      <c r="E43" s="969">
        <f t="shared" si="4"/>
        <v>29920.17</v>
      </c>
      <c r="G43" s="927">
        <v>29920.17</v>
      </c>
      <c r="H43" s="927">
        <v>0</v>
      </c>
      <c r="S43" s="22">
        <v>8312463</v>
      </c>
      <c r="T43" s="22" t="s">
        <v>50</v>
      </c>
      <c r="U43" s="970">
        <f t="shared" si="1"/>
        <v>12068.64</v>
      </c>
      <c r="V43" s="970">
        <f t="shared" si="2"/>
        <v>0</v>
      </c>
      <c r="W43" s="927"/>
      <c r="Z43" s="927"/>
      <c r="AA43" s="927"/>
    </row>
    <row r="44" spans="1:27" ht="12.75" x14ac:dyDescent="0.2">
      <c r="A44" s="25" t="s">
        <v>98</v>
      </c>
      <c r="B44" s="51" t="s">
        <v>1058</v>
      </c>
      <c r="C44" s="25"/>
      <c r="D44" s="26">
        <v>3158</v>
      </c>
      <c r="E44" s="969">
        <f t="shared" si="4"/>
        <v>1080.6759999999997</v>
      </c>
      <c r="G44" s="927">
        <v>1057.0259999999998</v>
      </c>
      <c r="H44" s="927">
        <v>23.649999999999864</v>
      </c>
      <c r="S44" s="22">
        <v>8312464</v>
      </c>
      <c r="T44" s="22" t="s">
        <v>16</v>
      </c>
      <c r="U44" s="970">
        <f t="shared" si="1"/>
        <v>10811.49</v>
      </c>
      <c r="V44" s="970">
        <f t="shared" si="2"/>
        <v>0</v>
      </c>
      <c r="W44" s="927"/>
      <c r="Z44" s="927"/>
      <c r="AA44" s="927"/>
    </row>
    <row r="45" spans="1:27" ht="12.75" x14ac:dyDescent="0.2">
      <c r="A45" s="25" t="s">
        <v>32</v>
      </c>
      <c r="B45" s="51" t="s">
        <v>1059</v>
      </c>
      <c r="C45" s="25"/>
      <c r="D45" s="26">
        <v>2619</v>
      </c>
      <c r="E45" s="969">
        <f t="shared" si="4"/>
        <v>20491.544999999998</v>
      </c>
      <c r="G45" s="927">
        <v>20491.544999999998</v>
      </c>
      <c r="H45" s="927">
        <v>0</v>
      </c>
      <c r="S45" s="22">
        <v>8312466</v>
      </c>
      <c r="T45" s="22" t="s">
        <v>59</v>
      </c>
      <c r="U45" s="970">
        <f t="shared" si="1"/>
        <v>11062.92</v>
      </c>
      <c r="V45" s="970">
        <f t="shared" si="2"/>
        <v>0</v>
      </c>
      <c r="W45" s="927"/>
      <c r="Z45" s="927"/>
      <c r="AA45" s="927"/>
    </row>
    <row r="46" spans="1:27" ht="12.75" x14ac:dyDescent="0.2">
      <c r="A46" s="25" t="s">
        <v>33</v>
      </c>
      <c r="B46" s="51" t="s">
        <v>1060</v>
      </c>
      <c r="C46" s="25"/>
      <c r="D46" s="26">
        <v>2518</v>
      </c>
      <c r="E46" s="969">
        <f t="shared" si="4"/>
        <v>8201.4699999999993</v>
      </c>
      <c r="G46" s="927">
        <v>8234.9699999999993</v>
      </c>
      <c r="H46" s="927">
        <v>-33.5</v>
      </c>
      <c r="S46" s="22">
        <v>8312467</v>
      </c>
      <c r="T46" s="22" t="s">
        <v>27</v>
      </c>
      <c r="U46" s="970">
        <f t="shared" si="1"/>
        <v>11314.349999999999</v>
      </c>
      <c r="V46" s="970">
        <f t="shared" si="2"/>
        <v>0</v>
      </c>
      <c r="W46" s="927"/>
      <c r="Z46" s="927"/>
      <c r="AA46" s="927"/>
    </row>
    <row r="47" spans="1:27" ht="12.75" x14ac:dyDescent="0.2">
      <c r="A47" s="25" t="s">
        <v>34</v>
      </c>
      <c r="B47" s="51" t="s">
        <v>1061</v>
      </c>
      <c r="C47" s="25"/>
      <c r="D47" s="26">
        <v>2457</v>
      </c>
      <c r="E47" s="969">
        <f t="shared" si="4"/>
        <v>15965.804999999998</v>
      </c>
      <c r="G47" s="927">
        <v>15965.804999999998</v>
      </c>
      <c r="H47" s="927">
        <v>0</v>
      </c>
      <c r="S47" s="22">
        <v>8312469</v>
      </c>
      <c r="T47" s="22" t="s">
        <v>58</v>
      </c>
      <c r="U47" s="970">
        <f t="shared" si="1"/>
        <v>11565.779999999999</v>
      </c>
      <c r="V47" s="970">
        <f t="shared" si="2"/>
        <v>0</v>
      </c>
      <c r="W47" s="927"/>
      <c r="Z47" s="927"/>
      <c r="AA47" s="927"/>
    </row>
    <row r="48" spans="1:27" ht="22.5" x14ac:dyDescent="0.2">
      <c r="A48" s="25" t="s">
        <v>99</v>
      </c>
      <c r="B48" s="51" t="s">
        <v>1062</v>
      </c>
      <c r="C48" s="973" t="s">
        <v>1063</v>
      </c>
      <c r="D48" s="26">
        <v>2010</v>
      </c>
      <c r="E48" s="969">
        <f t="shared" si="4"/>
        <v>2992.0169999999998</v>
      </c>
      <c r="G48" s="927">
        <v>2992.0169999999998</v>
      </c>
      <c r="H48" s="927">
        <v>0</v>
      </c>
      <c r="S48" s="22">
        <v>8312471</v>
      </c>
      <c r="T48" s="22" t="s">
        <v>44</v>
      </c>
      <c r="U48" s="970">
        <f t="shared" si="1"/>
        <v>12068.64</v>
      </c>
      <c r="V48" s="970">
        <f t="shared" si="2"/>
        <v>0</v>
      </c>
      <c r="W48" s="927"/>
      <c r="Z48" s="927"/>
      <c r="AA48" s="927"/>
    </row>
    <row r="49" spans="1:27" ht="12.75" x14ac:dyDescent="0.2">
      <c r="A49" s="25" t="s">
        <v>35</v>
      </c>
      <c r="B49" s="51" t="s">
        <v>1064</v>
      </c>
      <c r="C49" s="25"/>
      <c r="D49" s="26">
        <v>2002</v>
      </c>
      <c r="E49" s="969">
        <f t="shared" si="4"/>
        <v>44000.25</v>
      </c>
      <c r="G49" s="927">
        <v>44000.25</v>
      </c>
      <c r="H49" s="927">
        <v>0</v>
      </c>
      <c r="S49" s="22">
        <v>8312473</v>
      </c>
      <c r="T49" s="22" t="s">
        <v>101</v>
      </c>
      <c r="U49" s="970">
        <f t="shared" si="1"/>
        <v>12068.64</v>
      </c>
      <c r="V49" s="970">
        <f t="shared" si="2"/>
        <v>0</v>
      </c>
      <c r="W49" s="927"/>
      <c r="Z49" s="927"/>
      <c r="AA49" s="927"/>
    </row>
    <row r="50" spans="1:27" ht="12.75" x14ac:dyDescent="0.2">
      <c r="A50" s="25" t="s">
        <v>36</v>
      </c>
      <c r="B50" s="51" t="s">
        <v>1065</v>
      </c>
      <c r="C50" s="25"/>
      <c r="D50" s="26">
        <v>3544</v>
      </c>
      <c r="E50" s="969">
        <f t="shared" si="4"/>
        <v>58331.759999999995</v>
      </c>
      <c r="G50" s="927">
        <v>58331.759999999995</v>
      </c>
      <c r="H50" s="927">
        <v>0</v>
      </c>
      <c r="S50" s="22">
        <v>8312505</v>
      </c>
      <c r="T50" s="22" t="s">
        <v>51</v>
      </c>
      <c r="U50" s="970">
        <f t="shared" si="1"/>
        <v>22251.555</v>
      </c>
      <c r="V50" s="970">
        <f t="shared" si="2"/>
        <v>0</v>
      </c>
      <c r="W50" s="927"/>
      <c r="Z50" s="927"/>
      <c r="AA50" s="927"/>
    </row>
    <row r="51" spans="1:27" ht="12.75" x14ac:dyDescent="0.2">
      <c r="A51" s="25" t="s">
        <v>100</v>
      </c>
      <c r="B51" s="51" t="s">
        <v>1066</v>
      </c>
      <c r="C51" s="25"/>
      <c r="D51" s="26">
        <v>2006</v>
      </c>
      <c r="E51" s="969">
        <f t="shared" si="4"/>
        <v>25897.289999999997</v>
      </c>
      <c r="G51" s="927">
        <v>25897.289999999997</v>
      </c>
      <c r="H51" s="927">
        <v>0</v>
      </c>
      <c r="S51" s="22">
        <v>8312509</v>
      </c>
      <c r="T51" s="22" t="s">
        <v>14</v>
      </c>
      <c r="U51" s="970">
        <f t="shared" si="1"/>
        <v>11565.779999999999</v>
      </c>
      <c r="V51" s="970">
        <f t="shared" si="2"/>
        <v>0</v>
      </c>
      <c r="W51" s="927"/>
      <c r="Z51" s="927"/>
      <c r="AA51" s="927"/>
    </row>
    <row r="52" spans="1:27" ht="12.75" x14ac:dyDescent="0.2">
      <c r="A52" s="25" t="s">
        <v>37</v>
      </c>
      <c r="B52" s="51" t="s">
        <v>1067</v>
      </c>
      <c r="C52" s="25"/>
      <c r="D52" s="26">
        <v>2434</v>
      </c>
      <c r="E52" s="969">
        <f t="shared" si="4"/>
        <v>44251.68</v>
      </c>
      <c r="G52" s="927">
        <v>44251.68</v>
      </c>
      <c r="H52" s="927">
        <v>0</v>
      </c>
      <c r="S52" s="22">
        <v>8312512</v>
      </c>
      <c r="T52" s="22" t="s">
        <v>23</v>
      </c>
      <c r="U52" s="970">
        <f t="shared" si="1"/>
        <v>15337.23</v>
      </c>
      <c r="V52" s="970">
        <f t="shared" si="2"/>
        <v>0</v>
      </c>
      <c r="W52" s="927"/>
      <c r="Z52" s="927"/>
      <c r="AA52" s="927"/>
    </row>
    <row r="53" spans="1:27" ht="12.75" x14ac:dyDescent="0.2">
      <c r="A53" s="25" t="s">
        <v>38</v>
      </c>
      <c r="B53" s="51" t="s">
        <v>1068</v>
      </c>
      <c r="C53" s="25"/>
      <c r="D53" s="26">
        <v>2522</v>
      </c>
      <c r="E53" s="969">
        <f t="shared" si="4"/>
        <v>13954.365</v>
      </c>
      <c r="G53" s="927">
        <v>13954.365</v>
      </c>
      <c r="H53" s="927">
        <v>0</v>
      </c>
      <c r="S53" s="22">
        <v>8312518</v>
      </c>
      <c r="T53" s="22" t="s">
        <v>33</v>
      </c>
      <c r="U53" s="970">
        <f t="shared" si="1"/>
        <v>8234.9699999999993</v>
      </c>
      <c r="V53" s="970">
        <f t="shared" si="2"/>
        <v>-33.5</v>
      </c>
      <c r="W53" s="927"/>
      <c r="Z53" s="927"/>
      <c r="AA53" s="927"/>
    </row>
    <row r="54" spans="1:27" ht="12.75" x14ac:dyDescent="0.2">
      <c r="A54" s="25" t="s">
        <v>39</v>
      </c>
      <c r="B54" s="51" t="s">
        <v>1069</v>
      </c>
      <c r="C54" s="25"/>
      <c r="D54" s="26">
        <v>2436</v>
      </c>
      <c r="E54" s="969">
        <f t="shared" si="4"/>
        <v>13200.074999999999</v>
      </c>
      <c r="G54" s="927">
        <v>13200.074999999999</v>
      </c>
      <c r="H54" s="927">
        <v>0</v>
      </c>
      <c r="S54" s="22">
        <v>8312522</v>
      </c>
      <c r="T54" s="22" t="s">
        <v>38</v>
      </c>
      <c r="U54" s="970">
        <f t="shared" si="1"/>
        <v>13954.365</v>
      </c>
      <c r="V54" s="970">
        <f t="shared" si="2"/>
        <v>0</v>
      </c>
      <c r="W54" s="927"/>
      <c r="Z54" s="927"/>
      <c r="AA54" s="927"/>
    </row>
    <row r="55" spans="1:27" ht="12.75" x14ac:dyDescent="0.2">
      <c r="A55" s="25" t="s">
        <v>40</v>
      </c>
      <c r="B55" s="51" t="s">
        <v>1070</v>
      </c>
      <c r="C55" s="25"/>
      <c r="D55" s="26">
        <v>2452</v>
      </c>
      <c r="E55" s="969">
        <f t="shared" si="4"/>
        <v>11565.779999999999</v>
      </c>
      <c r="G55" s="927">
        <v>11565.779999999999</v>
      </c>
      <c r="H55" s="927">
        <v>0</v>
      </c>
      <c r="S55" s="22">
        <v>8312619</v>
      </c>
      <c r="T55" s="22" t="s">
        <v>32</v>
      </c>
      <c r="U55" s="970">
        <f t="shared" si="1"/>
        <v>20491.544999999998</v>
      </c>
      <c r="V55" s="970">
        <f t="shared" si="2"/>
        <v>0</v>
      </c>
      <c r="W55" s="927"/>
      <c r="Z55" s="927"/>
      <c r="AA55" s="927"/>
    </row>
    <row r="56" spans="1:27" ht="12.75" x14ac:dyDescent="0.2">
      <c r="A56" s="25" t="s">
        <v>41</v>
      </c>
      <c r="B56" s="51" t="s">
        <v>1071</v>
      </c>
      <c r="C56" s="25"/>
      <c r="D56" s="26">
        <v>2627</v>
      </c>
      <c r="E56" s="969">
        <f t="shared" si="4"/>
        <v>18102.96</v>
      </c>
      <c r="G56" s="927">
        <v>18102.96</v>
      </c>
      <c r="H56" s="927">
        <v>0</v>
      </c>
      <c r="S56" s="22">
        <v>8312627</v>
      </c>
      <c r="T56" s="22" t="s">
        <v>41</v>
      </c>
      <c r="U56" s="970">
        <f t="shared" si="1"/>
        <v>18102.96</v>
      </c>
      <c r="V56" s="970">
        <f t="shared" si="2"/>
        <v>0</v>
      </c>
      <c r="W56" s="927"/>
      <c r="Z56" s="927"/>
      <c r="AA56" s="927"/>
    </row>
    <row r="57" spans="1:27" ht="22.5" x14ac:dyDescent="0.2">
      <c r="A57" s="25" t="s">
        <v>42</v>
      </c>
      <c r="B57" s="51" t="s">
        <v>1072</v>
      </c>
      <c r="C57" s="973" t="s">
        <v>1044</v>
      </c>
      <c r="D57" s="26">
        <v>2009</v>
      </c>
      <c r="E57" s="969">
        <f t="shared" si="4"/>
        <v>2464.0139999999992</v>
      </c>
      <c r="G57" s="927">
        <v>2464.0139999999992</v>
      </c>
      <c r="H57" s="927">
        <v>0</v>
      </c>
      <c r="S57" s="22">
        <v>8312629</v>
      </c>
      <c r="T57" s="22" t="s">
        <v>13</v>
      </c>
      <c r="U57" s="970">
        <f t="shared" si="1"/>
        <v>64868.939999999995</v>
      </c>
      <c r="V57" s="970">
        <f t="shared" si="2"/>
        <v>24896.5</v>
      </c>
      <c r="W57" s="927"/>
      <c r="Z57" s="927"/>
      <c r="AA57" s="927"/>
    </row>
    <row r="58" spans="1:27" ht="12.75" x14ac:dyDescent="0.2">
      <c r="A58" s="25" t="s">
        <v>101</v>
      </c>
      <c r="B58" s="51" t="s">
        <v>1073</v>
      </c>
      <c r="C58" s="25"/>
      <c r="D58" s="26">
        <v>2473</v>
      </c>
      <c r="E58" s="969">
        <f t="shared" si="4"/>
        <v>12068.64</v>
      </c>
      <c r="G58" s="927">
        <v>12068.64</v>
      </c>
      <c r="H58" s="927">
        <v>0</v>
      </c>
      <c r="S58" s="22">
        <v>8313158</v>
      </c>
      <c r="T58" s="22" t="s">
        <v>98</v>
      </c>
      <c r="U58" s="970">
        <f t="shared" si="1"/>
        <v>1057.0259999999998</v>
      </c>
      <c r="V58" s="970">
        <f t="shared" si="2"/>
        <v>23.649999999999864</v>
      </c>
      <c r="W58" s="927"/>
      <c r="Z58" s="927"/>
      <c r="AA58" s="927"/>
    </row>
    <row r="59" spans="1:27" ht="12.75" x14ac:dyDescent="0.2">
      <c r="A59" s="25" t="s">
        <v>44</v>
      </c>
      <c r="B59" s="51" t="s">
        <v>1074</v>
      </c>
      <c r="C59" s="25"/>
      <c r="D59" s="26">
        <v>2471</v>
      </c>
      <c r="E59" s="969">
        <f t="shared" si="4"/>
        <v>12068.64</v>
      </c>
      <c r="G59" s="927">
        <v>12068.64</v>
      </c>
      <c r="H59" s="927">
        <v>0</v>
      </c>
      <c r="S59" s="22">
        <v>8313526</v>
      </c>
      <c r="T59" s="22" t="s">
        <v>103</v>
      </c>
      <c r="U59" s="970">
        <f t="shared" si="1"/>
        <v>875.11919999999964</v>
      </c>
      <c r="V59" s="970">
        <f t="shared" si="2"/>
        <v>19.579999999999927</v>
      </c>
      <c r="W59" s="927"/>
      <c r="Z59" s="927"/>
      <c r="AA59" s="927"/>
    </row>
    <row r="60" spans="1:27" ht="12.75" x14ac:dyDescent="0.2">
      <c r="A60" s="25" t="s">
        <v>43</v>
      </c>
      <c r="B60" s="51" t="s">
        <v>1075</v>
      </c>
      <c r="C60" s="25"/>
      <c r="D60" s="26">
        <v>2420</v>
      </c>
      <c r="E60" s="969">
        <f t="shared" si="4"/>
        <v>18982.965</v>
      </c>
      <c r="G60" s="927">
        <v>18982.965</v>
      </c>
      <c r="H60" s="927">
        <v>0</v>
      </c>
      <c r="S60" s="22">
        <v>8313528</v>
      </c>
      <c r="T60" s="22" t="s">
        <v>106</v>
      </c>
      <c r="U60" s="970">
        <f t="shared" si="1"/>
        <v>7593.1859999999979</v>
      </c>
      <c r="V60" s="970">
        <f t="shared" si="2"/>
        <v>0</v>
      </c>
      <c r="W60" s="927"/>
      <c r="Z60" s="927"/>
      <c r="AA60" s="927"/>
    </row>
    <row r="61" spans="1:27" ht="12.75" x14ac:dyDescent="0.2">
      <c r="A61" s="25" t="s">
        <v>45</v>
      </c>
      <c r="B61" s="51" t="s">
        <v>1076</v>
      </c>
      <c r="C61" s="25"/>
      <c r="D61" s="26">
        <v>2003</v>
      </c>
      <c r="E61" s="969">
        <f t="shared" si="4"/>
        <v>25394.43</v>
      </c>
      <c r="G61" s="927">
        <v>25394.43</v>
      </c>
      <c r="H61" s="927">
        <v>0</v>
      </c>
      <c r="S61" s="22">
        <v>8313530</v>
      </c>
      <c r="T61" s="22" t="s">
        <v>1077</v>
      </c>
      <c r="U61" s="970">
        <f t="shared" si="1"/>
        <v>3670.8779999999988</v>
      </c>
      <c r="V61" s="970">
        <f t="shared" si="2"/>
        <v>1232.5000000000005</v>
      </c>
      <c r="W61" s="927"/>
      <c r="Z61" s="927"/>
      <c r="AA61" s="927"/>
    </row>
    <row r="62" spans="1:27" ht="12.75" x14ac:dyDescent="0.2">
      <c r="A62" s="25" t="s">
        <v>46</v>
      </c>
      <c r="B62" s="51" t="s">
        <v>1078</v>
      </c>
      <c r="C62" s="25"/>
      <c r="D62" s="26">
        <v>2423</v>
      </c>
      <c r="E62" s="969">
        <f t="shared" si="4"/>
        <v>10811.49</v>
      </c>
      <c r="G62" s="927">
        <v>10811.49</v>
      </c>
      <c r="H62" s="927">
        <v>0</v>
      </c>
      <c r="S62" s="22">
        <v>8313532</v>
      </c>
      <c r="T62" s="22" t="s">
        <v>108</v>
      </c>
      <c r="U62" s="970">
        <f t="shared" si="1"/>
        <v>3570.3059999999987</v>
      </c>
      <c r="V62" s="970">
        <f t="shared" si="2"/>
        <v>0</v>
      </c>
      <c r="W62" s="927"/>
      <c r="Z62" s="927"/>
      <c r="AA62" s="927"/>
    </row>
    <row r="63" spans="1:27" ht="12.75" x14ac:dyDescent="0.2">
      <c r="A63" s="25" t="s">
        <v>47</v>
      </c>
      <c r="B63" s="51" t="s">
        <v>1079</v>
      </c>
      <c r="C63" s="25"/>
      <c r="D63" s="26">
        <v>2424</v>
      </c>
      <c r="E63" s="969">
        <f t="shared" si="4"/>
        <v>10811.49</v>
      </c>
      <c r="G63" s="927">
        <v>10811.49</v>
      </c>
      <c r="H63" s="927">
        <v>0</v>
      </c>
      <c r="S63" s="22">
        <v>8313534</v>
      </c>
      <c r="T63" s="22" t="s">
        <v>107</v>
      </c>
      <c r="U63" s="970">
        <f t="shared" si="1"/>
        <v>2489.1569999999992</v>
      </c>
      <c r="V63" s="970">
        <f t="shared" si="2"/>
        <v>0</v>
      </c>
      <c r="W63" s="927"/>
      <c r="Z63" s="927"/>
      <c r="AA63" s="927"/>
    </row>
    <row r="64" spans="1:27" ht="12.75" x14ac:dyDescent="0.2">
      <c r="A64" s="25" t="s">
        <v>48</v>
      </c>
      <c r="B64" s="51" t="s">
        <v>1080</v>
      </c>
      <c r="C64" s="25"/>
      <c r="D64" s="26">
        <v>2439</v>
      </c>
      <c r="E64" s="969">
        <f t="shared" si="4"/>
        <v>8079.0599999999995</v>
      </c>
      <c r="G64" s="927">
        <v>8112.0599999999995</v>
      </c>
      <c r="H64" s="927">
        <v>-33</v>
      </c>
      <c r="S64" s="22">
        <v>8313535</v>
      </c>
      <c r="T64" s="22" t="s">
        <v>104</v>
      </c>
      <c r="U64" s="970">
        <f t="shared" si="1"/>
        <v>2187.4409999999989</v>
      </c>
      <c r="V64" s="970">
        <f t="shared" si="2"/>
        <v>0</v>
      </c>
      <c r="W64" s="927"/>
      <c r="Z64" s="927"/>
      <c r="AA64" s="927"/>
    </row>
    <row r="65" spans="1:27" ht="12.75" x14ac:dyDescent="0.2">
      <c r="A65" s="25" t="s">
        <v>49</v>
      </c>
      <c r="B65" s="51" t="s">
        <v>1081</v>
      </c>
      <c r="C65" s="25"/>
      <c r="D65" s="26">
        <v>2440</v>
      </c>
      <c r="E65" s="969">
        <f t="shared" si="4"/>
        <v>31931.609999999997</v>
      </c>
      <c r="G65" s="927">
        <v>31931.609999999997</v>
      </c>
      <c r="H65" s="927">
        <v>0</v>
      </c>
      <c r="S65" s="22">
        <v>8313542</v>
      </c>
      <c r="T65" s="22" t="s">
        <v>105</v>
      </c>
      <c r="U65" s="970">
        <f t="shared" si="1"/>
        <v>4224.0239999999976</v>
      </c>
      <c r="V65" s="970">
        <f t="shared" si="2"/>
        <v>0</v>
      </c>
      <c r="W65" s="927"/>
      <c r="Z65" s="927"/>
      <c r="AA65" s="927"/>
    </row>
    <row r="66" spans="1:27" ht="12.75" x14ac:dyDescent="0.2">
      <c r="A66" s="25" t="s">
        <v>102</v>
      </c>
      <c r="B66" s="51" t="s">
        <v>1082</v>
      </c>
      <c r="C66" s="25"/>
      <c r="D66" s="26">
        <v>2462</v>
      </c>
      <c r="E66" s="969">
        <f t="shared" si="4"/>
        <v>12068.64</v>
      </c>
      <c r="G66" s="927">
        <v>12068.64</v>
      </c>
      <c r="H66" s="927">
        <v>0</v>
      </c>
      <c r="S66" s="22">
        <v>8313543</v>
      </c>
      <c r="T66" s="22" t="s">
        <v>1083</v>
      </c>
      <c r="U66" s="970">
        <f t="shared" si="1"/>
        <v>2313.155999999999</v>
      </c>
      <c r="V66" s="970">
        <f t="shared" si="2"/>
        <v>0</v>
      </c>
      <c r="W66" s="927"/>
      <c r="Z66" s="927"/>
      <c r="AA66" s="927"/>
    </row>
    <row r="67" spans="1:27" ht="12.75" x14ac:dyDescent="0.2">
      <c r="A67" s="25" t="s">
        <v>50</v>
      </c>
      <c r="B67" s="51" t="s">
        <v>1084</v>
      </c>
      <c r="C67" s="25"/>
      <c r="D67" s="26">
        <v>2463</v>
      </c>
      <c r="E67" s="969">
        <f t="shared" si="4"/>
        <v>12068.64</v>
      </c>
      <c r="G67" s="927">
        <v>12068.64</v>
      </c>
      <c r="H67" s="927">
        <v>0</v>
      </c>
      <c r="S67" s="22">
        <v>8313544</v>
      </c>
      <c r="T67" s="22" t="s">
        <v>36</v>
      </c>
      <c r="U67" s="970">
        <f t="shared" si="1"/>
        <v>58331.759999999995</v>
      </c>
      <c r="V67" s="970">
        <f t="shared" si="2"/>
        <v>0</v>
      </c>
      <c r="W67" s="927"/>
      <c r="Z67" s="927"/>
      <c r="AA67" s="927"/>
    </row>
    <row r="68" spans="1:27" ht="12.75" x14ac:dyDescent="0.2">
      <c r="A68" s="25" t="s">
        <v>51</v>
      </c>
      <c r="B68" s="51" t="s">
        <v>1085</v>
      </c>
      <c r="C68" s="25"/>
      <c r="D68" s="26">
        <v>2505</v>
      </c>
      <c r="E68" s="969">
        <f t="shared" si="4"/>
        <v>22251.555</v>
      </c>
      <c r="G68" s="927">
        <v>22251.555</v>
      </c>
      <c r="H68" s="927">
        <v>0</v>
      </c>
      <c r="S68" s="22">
        <v>8313546</v>
      </c>
      <c r="T68" s="22" t="s">
        <v>65</v>
      </c>
      <c r="U68" s="970">
        <f t="shared" si="1"/>
        <v>62857.5</v>
      </c>
      <c r="V68" s="970">
        <f t="shared" si="2"/>
        <v>0</v>
      </c>
      <c r="W68" s="927"/>
      <c r="Z68" s="927"/>
      <c r="AA68" s="927"/>
    </row>
    <row r="69" spans="1:27" ht="12.75" x14ac:dyDescent="0.2">
      <c r="A69" s="9" t="s">
        <v>1304</v>
      </c>
      <c r="B69" s="51" t="s">
        <v>1086</v>
      </c>
      <c r="C69" s="25"/>
      <c r="D69" s="26">
        <v>2000</v>
      </c>
      <c r="E69" s="969">
        <f t="shared" si="4"/>
        <v>14834.369999999999</v>
      </c>
      <c r="G69" s="927">
        <v>14834.369999999999</v>
      </c>
      <c r="H69" s="927">
        <v>0</v>
      </c>
      <c r="S69" s="22">
        <v>8315201</v>
      </c>
      <c r="T69" s="22" t="s">
        <v>20</v>
      </c>
      <c r="U69" s="970">
        <f t="shared" si="1"/>
        <v>17097.239999999998</v>
      </c>
      <c r="V69" s="970">
        <f t="shared" si="2"/>
        <v>-182</v>
      </c>
      <c r="W69" s="927"/>
      <c r="Z69" s="927"/>
      <c r="AA69" s="927"/>
    </row>
    <row r="70" spans="1:27" ht="33.75" x14ac:dyDescent="0.2">
      <c r="A70" s="25" t="s">
        <v>1087</v>
      </c>
      <c r="B70" s="51" t="s">
        <v>1088</v>
      </c>
      <c r="C70" s="973" t="s">
        <v>1089</v>
      </c>
      <c r="D70" s="26">
        <v>2458</v>
      </c>
      <c r="E70" s="969">
        <f t="shared" si="4"/>
        <v>8079.0599999999995</v>
      </c>
      <c r="G70" s="927">
        <v>8112.0599999999995</v>
      </c>
      <c r="H70" s="927">
        <v>-33</v>
      </c>
      <c r="S70" s="22">
        <v>8315203</v>
      </c>
      <c r="T70" s="22" t="s">
        <v>29</v>
      </c>
      <c r="U70" s="970">
        <f t="shared" si="1"/>
        <v>4877.7419999999984</v>
      </c>
      <c r="V70" s="970">
        <f t="shared" si="2"/>
        <v>0</v>
      </c>
      <c r="W70" s="927"/>
      <c r="Z70" s="927"/>
      <c r="AA70" s="927"/>
    </row>
    <row r="71" spans="1:27" ht="12.75" x14ac:dyDescent="0.2">
      <c r="A71" s="25" t="s">
        <v>54</v>
      </c>
      <c r="B71" s="51" t="s">
        <v>1090</v>
      </c>
      <c r="C71" s="25"/>
      <c r="D71" s="26">
        <v>2001</v>
      </c>
      <c r="E71" s="969">
        <f t="shared" si="4"/>
        <v>14708.654999999999</v>
      </c>
      <c r="G71" s="927">
        <v>14708.654999999999</v>
      </c>
      <c r="H71" s="927">
        <v>0</v>
      </c>
      <c r="S71" s="22">
        <v>8315209</v>
      </c>
      <c r="T71" s="22" t="s">
        <v>57</v>
      </c>
      <c r="U71" s="970">
        <f t="shared" si="1"/>
        <v>2539.4429999999993</v>
      </c>
      <c r="V71" s="970">
        <f t="shared" si="2"/>
        <v>0</v>
      </c>
      <c r="W71" s="927"/>
      <c r="Z71" s="927"/>
      <c r="AA71" s="927"/>
    </row>
    <row r="72" spans="1:27" ht="12.75" x14ac:dyDescent="0.2">
      <c r="A72" s="25" t="s">
        <v>55</v>
      </c>
      <c r="B72" s="51" t="s">
        <v>1091</v>
      </c>
      <c r="C72" s="25"/>
      <c r="D72" s="26">
        <v>2429</v>
      </c>
      <c r="E72" s="969">
        <f t="shared" si="4"/>
        <v>6854.9599999999991</v>
      </c>
      <c r="G72" s="927">
        <v>6882.9599999999991</v>
      </c>
      <c r="H72" s="927">
        <v>-28</v>
      </c>
      <c r="S72" s="22">
        <v>8314177</v>
      </c>
      <c r="T72" s="22" t="s">
        <v>114</v>
      </c>
      <c r="U72" s="970">
        <f t="shared" ref="U72:U93" si="5">SUMIF(B:B,S72,G:G)</f>
        <v>18806.963999999993</v>
      </c>
      <c r="V72" s="970">
        <f t="shared" ref="V72:V93" si="6">SUMIF(B:B,S72,H:H)</f>
        <v>0</v>
      </c>
      <c r="W72" s="927"/>
      <c r="Z72" s="927"/>
      <c r="AA72" s="927"/>
    </row>
    <row r="73" spans="1:27" ht="12.75" x14ac:dyDescent="0.2">
      <c r="A73" s="25" t="s">
        <v>56</v>
      </c>
      <c r="B73" s="51" t="s">
        <v>1092</v>
      </c>
      <c r="C73" s="25"/>
      <c r="D73" s="26">
        <v>2444</v>
      </c>
      <c r="E73" s="969">
        <f t="shared" si="4"/>
        <v>9051.48</v>
      </c>
      <c r="G73" s="927">
        <v>9051.48</v>
      </c>
      <c r="H73" s="927">
        <v>0</v>
      </c>
      <c r="S73" s="22">
        <v>8314178</v>
      </c>
      <c r="T73" s="22" t="s">
        <v>111</v>
      </c>
      <c r="U73" s="970">
        <f t="shared" si="5"/>
        <v>21220.691999999995</v>
      </c>
      <c r="V73" s="970">
        <f t="shared" si="6"/>
        <v>0</v>
      </c>
      <c r="W73" s="927"/>
      <c r="Z73" s="927"/>
      <c r="AA73" s="927"/>
    </row>
    <row r="74" spans="1:27" ht="33.75" x14ac:dyDescent="0.2">
      <c r="A74" s="25" t="s">
        <v>57</v>
      </c>
      <c r="B74" s="51" t="s">
        <v>1093</v>
      </c>
      <c r="C74" s="973" t="s">
        <v>1055</v>
      </c>
      <c r="D74" s="26">
        <v>5209</v>
      </c>
      <c r="E74" s="969">
        <f t="shared" si="4"/>
        <v>2539.4429999999993</v>
      </c>
      <c r="G74" s="927">
        <v>2539.4429999999993</v>
      </c>
      <c r="H74" s="927">
        <v>0</v>
      </c>
      <c r="S74" s="22">
        <v>8314182</v>
      </c>
      <c r="T74" s="22" t="s">
        <v>70</v>
      </c>
      <c r="U74" s="970">
        <f t="shared" si="5"/>
        <v>101577.72</v>
      </c>
      <c r="V74" s="970">
        <f t="shared" si="6"/>
        <v>0</v>
      </c>
      <c r="W74" s="927"/>
      <c r="Z74" s="927"/>
      <c r="AA74" s="927"/>
    </row>
    <row r="75" spans="1:27" ht="12.75" x14ac:dyDescent="0.2">
      <c r="A75" s="25" t="s">
        <v>58</v>
      </c>
      <c r="B75" s="51" t="s">
        <v>1094</v>
      </c>
      <c r="C75" s="25"/>
      <c r="D75" s="26">
        <v>2469</v>
      </c>
      <c r="E75" s="969">
        <f t="shared" si="4"/>
        <v>11565.779999999999</v>
      </c>
      <c r="G75" s="927">
        <v>11565.779999999999</v>
      </c>
      <c r="H75" s="927">
        <v>0</v>
      </c>
      <c r="S75" s="22">
        <v>8314608</v>
      </c>
      <c r="T75" s="22" t="s">
        <v>883</v>
      </c>
      <c r="U75" s="970">
        <f t="shared" si="5"/>
        <v>21531.909999999989</v>
      </c>
      <c r="V75" s="970">
        <f t="shared" si="6"/>
        <v>-4616.8099999999995</v>
      </c>
      <c r="W75" s="927"/>
      <c r="Z75" s="927"/>
      <c r="AA75" s="927"/>
    </row>
    <row r="76" spans="1:27" ht="12.75" x14ac:dyDescent="0.2">
      <c r="A76" s="22" t="s">
        <v>437</v>
      </c>
      <c r="B76" s="51" t="s">
        <v>1095</v>
      </c>
      <c r="D76" s="26">
        <v>2430</v>
      </c>
      <c r="E76" s="969">
        <f t="shared" si="4"/>
        <v>19611.539999999997</v>
      </c>
      <c r="G76" s="927">
        <v>19611.539999999997</v>
      </c>
      <c r="H76" s="927">
        <v>0</v>
      </c>
      <c r="S76" s="22">
        <v>8315406</v>
      </c>
      <c r="T76" s="22" t="s">
        <v>112</v>
      </c>
      <c r="U76" s="970">
        <f t="shared" si="5"/>
        <v>25645.859999999986</v>
      </c>
      <c r="V76" s="970">
        <f t="shared" si="6"/>
        <v>0</v>
      </c>
      <c r="W76" s="927"/>
      <c r="Z76" s="927"/>
      <c r="AA76" s="927"/>
    </row>
    <row r="77" spans="1:27" ht="12.75" x14ac:dyDescent="0.2">
      <c r="A77" s="25" t="s">
        <v>59</v>
      </c>
      <c r="B77" s="51" t="s">
        <v>1096</v>
      </c>
      <c r="C77" s="25"/>
      <c r="D77" s="26">
        <v>2466</v>
      </c>
      <c r="E77" s="969">
        <f t="shared" si="4"/>
        <v>11062.92</v>
      </c>
      <c r="G77" s="927">
        <v>11062.92</v>
      </c>
      <c r="H77" s="927">
        <v>0</v>
      </c>
      <c r="S77" s="22">
        <v>8315407</v>
      </c>
      <c r="T77" s="22" t="s">
        <v>113</v>
      </c>
      <c r="U77" s="970">
        <f t="shared" si="5"/>
        <v>27908.729999999996</v>
      </c>
      <c r="V77" s="970">
        <f t="shared" si="6"/>
        <v>0</v>
      </c>
      <c r="W77" s="927"/>
      <c r="Z77" s="927"/>
      <c r="AA77" s="927"/>
    </row>
    <row r="78" spans="1:27" ht="12.75" x14ac:dyDescent="0.2">
      <c r="A78" s="25" t="s">
        <v>60</v>
      </c>
      <c r="B78" s="51" t="s">
        <v>1097</v>
      </c>
      <c r="C78" s="25"/>
      <c r="D78" s="26">
        <v>3543</v>
      </c>
      <c r="E78" s="969">
        <f t="shared" si="4"/>
        <v>2313.155999999999</v>
      </c>
      <c r="G78" s="927">
        <v>2313.155999999999</v>
      </c>
      <c r="H78" s="927">
        <v>0</v>
      </c>
      <c r="S78" s="22">
        <v>8312007</v>
      </c>
      <c r="T78" s="22" t="s">
        <v>96</v>
      </c>
      <c r="U78" s="970">
        <f t="shared" si="5"/>
        <v>2564.5859999999993</v>
      </c>
      <c r="V78" s="970">
        <f t="shared" si="6"/>
        <v>0</v>
      </c>
      <c r="W78" s="927"/>
      <c r="Z78" s="927"/>
      <c r="AA78" s="927"/>
    </row>
    <row r="79" spans="1:27" ht="22.5" x14ac:dyDescent="0.2">
      <c r="A79" s="25" t="s">
        <v>62</v>
      </c>
      <c r="B79" s="51" t="s">
        <v>1098</v>
      </c>
      <c r="C79" s="973" t="s">
        <v>1044</v>
      </c>
      <c r="D79" s="26">
        <v>3531</v>
      </c>
      <c r="E79" s="969">
        <f t="shared" si="4"/>
        <v>2916.5879999999997</v>
      </c>
      <c r="G79" s="927">
        <v>2916.5879999999997</v>
      </c>
      <c r="H79" s="927">
        <v>0</v>
      </c>
      <c r="S79" s="22">
        <v>8312008</v>
      </c>
      <c r="T79" s="22" t="s">
        <v>1099</v>
      </c>
      <c r="U79" s="970">
        <f t="shared" si="5"/>
        <v>2011.4399999999996</v>
      </c>
      <c r="V79" s="970">
        <f t="shared" si="6"/>
        <v>0</v>
      </c>
      <c r="W79" s="927"/>
      <c r="Z79" s="927"/>
      <c r="AA79" s="927"/>
    </row>
    <row r="80" spans="1:27" ht="12.75" x14ac:dyDescent="0.2">
      <c r="A80" s="25" t="s">
        <v>103</v>
      </c>
      <c r="B80" s="51" t="s">
        <v>1100</v>
      </c>
      <c r="C80" s="25"/>
      <c r="D80" s="26">
        <v>3526</v>
      </c>
      <c r="E80" s="969">
        <f t="shared" si="4"/>
        <v>894.69919999999956</v>
      </c>
      <c r="G80" s="927">
        <v>875.11919999999964</v>
      </c>
      <c r="H80" s="927">
        <v>19.579999999999927</v>
      </c>
      <c r="S80" s="22">
        <v>8312009</v>
      </c>
      <c r="T80" s="22" t="s">
        <v>42</v>
      </c>
      <c r="U80" s="970">
        <f t="shared" si="5"/>
        <v>2464.0139999999992</v>
      </c>
      <c r="V80" s="970">
        <f t="shared" si="6"/>
        <v>0</v>
      </c>
      <c r="W80" s="927"/>
      <c r="Z80" s="927"/>
      <c r="AA80" s="927"/>
    </row>
    <row r="81" spans="1:27" ht="12.75" x14ac:dyDescent="0.2">
      <c r="A81" s="25" t="s">
        <v>104</v>
      </c>
      <c r="B81" s="51" t="s">
        <v>1101</v>
      </c>
      <c r="C81" s="25"/>
      <c r="D81" s="26">
        <v>3535</v>
      </c>
      <c r="E81" s="969">
        <f t="shared" si="4"/>
        <v>2187.4409999999989</v>
      </c>
      <c r="G81" s="927">
        <v>2187.4409999999989</v>
      </c>
      <c r="H81" s="927">
        <v>0</v>
      </c>
      <c r="S81" s="22">
        <v>8312010</v>
      </c>
      <c r="T81" s="22" t="s">
        <v>99</v>
      </c>
      <c r="U81" s="970">
        <f t="shared" si="5"/>
        <v>2992.0169999999998</v>
      </c>
      <c r="V81" s="970">
        <f t="shared" si="6"/>
        <v>0</v>
      </c>
      <c r="W81" s="927"/>
      <c r="Z81" s="927"/>
      <c r="AA81" s="927"/>
    </row>
    <row r="82" spans="1:27" ht="21" x14ac:dyDescent="0.25">
      <c r="A82" s="945" t="s">
        <v>64</v>
      </c>
      <c r="B82" s="51" t="s">
        <v>1102</v>
      </c>
      <c r="C82" s="973" t="s">
        <v>1044</v>
      </c>
      <c r="D82" s="26">
        <v>2008</v>
      </c>
      <c r="E82" s="969">
        <f t="shared" si="4"/>
        <v>2011.4399999999996</v>
      </c>
      <c r="G82" s="927">
        <v>2011.4399999999996</v>
      </c>
      <c r="H82" s="927">
        <v>0</v>
      </c>
      <c r="S82" s="22">
        <v>8313531</v>
      </c>
      <c r="T82" s="22" t="s">
        <v>1103</v>
      </c>
      <c r="U82" s="970">
        <f t="shared" si="5"/>
        <v>2916.5879999999997</v>
      </c>
      <c r="V82" s="970">
        <f t="shared" si="6"/>
        <v>0</v>
      </c>
      <c r="W82" s="927"/>
      <c r="Z82" s="927"/>
      <c r="AA82" s="927"/>
    </row>
    <row r="83" spans="1:27" ht="12.75" x14ac:dyDescent="0.2">
      <c r="A83" s="25" t="s">
        <v>105</v>
      </c>
      <c r="B83" s="51" t="s">
        <v>1104</v>
      </c>
      <c r="C83" s="25"/>
      <c r="D83" s="26">
        <v>3542</v>
      </c>
      <c r="E83" s="969">
        <f t="shared" si="4"/>
        <v>4224.0239999999976</v>
      </c>
      <c r="G83" s="927">
        <v>4224.0239999999976</v>
      </c>
      <c r="H83" s="927">
        <v>0</v>
      </c>
      <c r="S83" s="22">
        <v>8314001</v>
      </c>
      <c r="T83" s="22" t="s">
        <v>890</v>
      </c>
      <c r="U83" s="970">
        <f t="shared" si="5"/>
        <v>44000.25</v>
      </c>
      <c r="V83" s="970">
        <f t="shared" si="6"/>
        <v>0</v>
      </c>
      <c r="W83" s="927"/>
      <c r="Z83" s="927"/>
      <c r="AA83" s="927"/>
    </row>
    <row r="84" spans="1:27" ht="12.75" x14ac:dyDescent="0.2">
      <c r="A84" s="25" t="s">
        <v>106</v>
      </c>
      <c r="B84" s="51" t="s">
        <v>1105</v>
      </c>
      <c r="C84" s="25"/>
      <c r="D84" s="26">
        <v>3528</v>
      </c>
      <c r="E84" s="969">
        <f t="shared" si="4"/>
        <v>7593.1859999999979</v>
      </c>
      <c r="G84" s="927">
        <v>7593.1859999999979</v>
      </c>
      <c r="H84" s="927">
        <v>0</v>
      </c>
      <c r="S84" s="22">
        <v>8314002</v>
      </c>
      <c r="T84" s="22" t="s">
        <v>438</v>
      </c>
      <c r="U84" s="970">
        <f t="shared" si="5"/>
        <v>37211.639999999985</v>
      </c>
      <c r="V84" s="970">
        <f t="shared" si="6"/>
        <v>-31904.15</v>
      </c>
      <c r="W84" s="927"/>
      <c r="Z84" s="927"/>
      <c r="AA84" s="927"/>
    </row>
    <row r="85" spans="1:27" ht="12.75" x14ac:dyDescent="0.2">
      <c r="A85" s="25" t="s">
        <v>107</v>
      </c>
      <c r="B85" s="51" t="s">
        <v>1106</v>
      </c>
      <c r="C85" s="25"/>
      <c r="D85" s="26">
        <v>3534</v>
      </c>
      <c r="E85" s="969">
        <f t="shared" ref="E85:E91" si="7">G85+H85</f>
        <v>2489.1569999999992</v>
      </c>
      <c r="G85" s="927">
        <v>2489.1569999999992</v>
      </c>
      <c r="H85" s="927">
        <v>0</v>
      </c>
      <c r="S85" s="22">
        <v>8314181</v>
      </c>
      <c r="T85" s="22" t="s">
        <v>888</v>
      </c>
      <c r="U85" s="970">
        <f t="shared" si="5"/>
        <v>18304.103999999992</v>
      </c>
      <c r="V85" s="970">
        <f t="shared" si="6"/>
        <v>0</v>
      </c>
      <c r="W85" s="927"/>
      <c r="Z85" s="927"/>
      <c r="AA85" s="927"/>
    </row>
    <row r="86" spans="1:27" ht="12.75" x14ac:dyDescent="0.2">
      <c r="A86" s="25" t="s">
        <v>108</v>
      </c>
      <c r="B86" s="51" t="s">
        <v>1107</v>
      </c>
      <c r="C86" s="25"/>
      <c r="D86" s="26">
        <v>3532</v>
      </c>
      <c r="E86" s="969">
        <f t="shared" si="7"/>
        <v>3570.3059999999987</v>
      </c>
      <c r="G86" s="927">
        <v>3570.3059999999987</v>
      </c>
      <c r="H86" s="927">
        <v>0</v>
      </c>
      <c r="S86" s="22">
        <v>8314607</v>
      </c>
      <c r="T86" s="22" t="s">
        <v>1108</v>
      </c>
      <c r="U86" s="970">
        <f t="shared" si="5"/>
        <v>25143</v>
      </c>
      <c r="V86" s="970">
        <f t="shared" si="6"/>
        <v>0</v>
      </c>
      <c r="W86" s="927"/>
      <c r="Z86" s="927"/>
      <c r="AA86" s="927"/>
    </row>
    <row r="87" spans="1:27" ht="33.75" x14ac:dyDescent="0.2">
      <c r="A87" s="25" t="s">
        <v>65</v>
      </c>
      <c r="B87" s="51" t="s">
        <v>1109</v>
      </c>
      <c r="C87" s="973" t="s">
        <v>1110</v>
      </c>
      <c r="D87" s="26">
        <v>3546</v>
      </c>
      <c r="E87" s="969">
        <f t="shared" si="7"/>
        <v>62857.5</v>
      </c>
      <c r="G87" s="927">
        <v>62857.5</v>
      </c>
      <c r="H87" s="927">
        <v>0</v>
      </c>
      <c r="S87" s="22">
        <v>8315402</v>
      </c>
      <c r="T87" s="22" t="s">
        <v>75</v>
      </c>
      <c r="U87" s="970">
        <f t="shared" si="5"/>
        <v>40228.799999999988</v>
      </c>
      <c r="V87" s="970">
        <f t="shared" si="6"/>
        <v>0</v>
      </c>
      <c r="W87" s="927"/>
      <c r="Z87" s="927"/>
      <c r="AA87" s="927"/>
    </row>
    <row r="88" spans="1:27" ht="12.75" x14ac:dyDescent="0.2">
      <c r="A88" s="25" t="s">
        <v>109</v>
      </c>
      <c r="B88" s="51" t="s">
        <v>1111</v>
      </c>
      <c r="C88" s="25"/>
      <c r="D88" s="26">
        <v>3530</v>
      </c>
      <c r="E88" s="969">
        <f t="shared" si="7"/>
        <v>4903.3779999999988</v>
      </c>
      <c r="G88" s="927">
        <v>3670.8779999999988</v>
      </c>
      <c r="H88" s="927">
        <v>1232.5000000000005</v>
      </c>
      <c r="S88" s="22">
        <v>8315412</v>
      </c>
      <c r="T88" s="22" t="s">
        <v>74</v>
      </c>
      <c r="U88" s="970">
        <f t="shared" si="5"/>
        <v>21421.835999999996</v>
      </c>
      <c r="V88" s="970">
        <f t="shared" si="6"/>
        <v>0</v>
      </c>
      <c r="W88" s="927"/>
      <c r="Z88" s="927"/>
      <c r="AA88" s="927"/>
    </row>
    <row r="89" spans="1:27" ht="12.75" x14ac:dyDescent="0.2">
      <c r="A89" s="25" t="s">
        <v>67</v>
      </c>
      <c r="B89" s="51" t="s">
        <v>1112</v>
      </c>
      <c r="C89" s="25"/>
      <c r="D89" s="26">
        <v>2459</v>
      </c>
      <c r="E89" s="969">
        <f t="shared" si="7"/>
        <v>13200.074999999999</v>
      </c>
      <c r="G89" s="927">
        <v>13200.074999999999</v>
      </c>
      <c r="H89" s="927">
        <v>0</v>
      </c>
      <c r="S89" s="22">
        <v>8315414</v>
      </c>
      <c r="T89" s="22" t="s">
        <v>73</v>
      </c>
      <c r="U89" s="970">
        <f t="shared" si="5"/>
        <v>24841.284</v>
      </c>
      <c r="V89" s="970">
        <f t="shared" si="6"/>
        <v>0</v>
      </c>
      <c r="W89" s="927"/>
      <c r="Z89" s="927"/>
      <c r="AA89" s="927"/>
    </row>
    <row r="90" spans="1:27" ht="12.75" x14ac:dyDescent="0.2">
      <c r="A90" s="25" t="s">
        <v>1113</v>
      </c>
      <c r="B90" s="975">
        <v>8311104</v>
      </c>
      <c r="C90" s="25"/>
      <c r="D90" s="26">
        <v>1104</v>
      </c>
      <c r="E90" s="969">
        <f t="shared" si="7"/>
        <v>0</v>
      </c>
      <c r="G90" s="927">
        <v>0</v>
      </c>
      <c r="H90" s="927">
        <v>0</v>
      </c>
      <c r="S90" s="22">
        <v>8314000</v>
      </c>
      <c r="T90" s="22" t="s">
        <v>440</v>
      </c>
      <c r="U90" s="970">
        <f t="shared" si="5"/>
        <v>11465.207999999999</v>
      </c>
      <c r="V90" s="970">
        <f t="shared" si="6"/>
        <v>2612.9000000000015</v>
      </c>
      <c r="W90" s="927"/>
      <c r="Z90" s="927"/>
      <c r="AA90" s="927"/>
    </row>
    <row r="91" spans="1:27" ht="12.75" x14ac:dyDescent="0.2">
      <c r="A91" s="729" t="s">
        <v>846</v>
      </c>
      <c r="B91" s="51" t="s">
        <v>1114</v>
      </c>
      <c r="C91" s="729"/>
      <c r="D91" s="27">
        <v>4000</v>
      </c>
      <c r="E91" s="976">
        <f t="shared" si="7"/>
        <v>14078.108</v>
      </c>
      <c r="G91" s="927">
        <v>11465.207999999999</v>
      </c>
      <c r="H91" s="927">
        <v>2612.9000000000015</v>
      </c>
      <c r="S91" s="22">
        <v>8316905</v>
      </c>
      <c r="T91" s="22" t="s">
        <v>439</v>
      </c>
      <c r="U91" s="970">
        <f t="shared" si="5"/>
        <v>39977.369999999995</v>
      </c>
      <c r="V91" s="970">
        <f t="shared" si="6"/>
        <v>0</v>
      </c>
      <c r="W91" s="927"/>
      <c r="Z91" s="927"/>
      <c r="AA91" s="927"/>
    </row>
    <row r="92" spans="1:27" ht="12.75" x14ac:dyDescent="0.2">
      <c r="A92" s="25"/>
      <c r="B92" s="51"/>
      <c r="C92" s="25"/>
      <c r="D92" s="26"/>
      <c r="S92" s="22">
        <v>8312447</v>
      </c>
      <c r="T92" s="22" t="s">
        <v>1115</v>
      </c>
      <c r="U92" s="970">
        <f t="shared" si="5"/>
        <v>16594.379999999997</v>
      </c>
      <c r="V92" s="970">
        <f t="shared" si="6"/>
        <v>0</v>
      </c>
      <c r="W92" s="927"/>
      <c r="Z92" s="927"/>
      <c r="AA92" s="927"/>
    </row>
    <row r="93" spans="1:27" ht="12.75" x14ac:dyDescent="0.2">
      <c r="A93" s="24" t="s">
        <v>110</v>
      </c>
      <c r="B93" s="51"/>
      <c r="C93" s="24"/>
      <c r="D93" s="24" t="s">
        <v>110</v>
      </c>
      <c r="E93" s="969">
        <f>SUM(E19:E92)</f>
        <v>1053547.8651999999</v>
      </c>
      <c r="G93" s="946">
        <f>SUM(G19:G92)</f>
        <v>1037037.8352</v>
      </c>
      <c r="H93" s="946">
        <f>SUM(H19:H92)</f>
        <v>16510.030000000002</v>
      </c>
      <c r="J93" s="972">
        <f>SUM(J19:J92)</f>
        <v>0</v>
      </c>
      <c r="K93" s="972">
        <f>SUM(K19:K92)</f>
        <v>0</v>
      </c>
      <c r="L93" s="972">
        <f t="shared" ref="L93:P93" si="8">SUM(L19:L92)</f>
        <v>0</v>
      </c>
      <c r="M93" s="972">
        <f t="shared" si="8"/>
        <v>0</v>
      </c>
      <c r="N93" s="972">
        <f t="shared" si="8"/>
        <v>0</v>
      </c>
      <c r="O93" s="972">
        <f t="shared" si="8"/>
        <v>0</v>
      </c>
      <c r="P93" s="972">
        <f t="shared" si="8"/>
        <v>0</v>
      </c>
      <c r="S93" s="22">
        <v>8313525</v>
      </c>
      <c r="T93" s="22" t="s">
        <v>1116</v>
      </c>
      <c r="U93" s="970">
        <f t="shared" si="5"/>
        <v>0</v>
      </c>
      <c r="V93" s="970">
        <f t="shared" si="6"/>
        <v>0</v>
      </c>
      <c r="W93" s="927"/>
      <c r="Z93" s="927"/>
      <c r="AA93" s="927"/>
    </row>
    <row r="94" spans="1:27" ht="12.75" x14ac:dyDescent="0.2">
      <c r="A94" s="25"/>
      <c r="B94" s="51"/>
      <c r="C94" s="25"/>
      <c r="D94" s="26"/>
      <c r="U94" s="970">
        <f>SUM(U8:U93)</f>
        <v>1496233.9461999992</v>
      </c>
      <c r="V94" s="970">
        <f>SUM(V8:V93)</f>
        <v>2272.6700000000055</v>
      </c>
      <c r="W94" s="927"/>
      <c r="Z94" s="927"/>
      <c r="AA94" s="927"/>
    </row>
    <row r="95" spans="1:27" ht="67.5" x14ac:dyDescent="0.2">
      <c r="A95" s="25" t="s">
        <v>75</v>
      </c>
      <c r="B95" s="51" t="s">
        <v>1117</v>
      </c>
      <c r="C95" s="973" t="s">
        <v>1118</v>
      </c>
      <c r="D95" s="26">
        <v>5402</v>
      </c>
      <c r="E95" s="969">
        <f t="shared" ref="E95:E110" si="9">G95+H95</f>
        <v>40228.799999999988</v>
      </c>
      <c r="G95" s="927">
        <v>40228.799999999988</v>
      </c>
      <c r="H95" s="927">
        <v>0</v>
      </c>
      <c r="U95" s="970">
        <f>U94-G121</f>
        <v>-34521.339000000618</v>
      </c>
      <c r="V95" s="970">
        <f>V94-H121</f>
        <v>22283.600000000002</v>
      </c>
      <c r="W95" s="927"/>
      <c r="Z95" s="927"/>
      <c r="AA95" s="927"/>
    </row>
    <row r="96" spans="1:27" ht="12.75" x14ac:dyDescent="0.2">
      <c r="A96" s="25" t="s">
        <v>68</v>
      </c>
      <c r="B96" s="51" t="s">
        <v>1119</v>
      </c>
      <c r="C96" s="25"/>
      <c r="D96" s="26">
        <v>4608</v>
      </c>
      <c r="E96" s="969">
        <f t="shared" si="9"/>
        <v>16915.099999999991</v>
      </c>
      <c r="G96" s="927">
        <v>21531.909999999989</v>
      </c>
      <c r="H96" s="927">
        <v>-4616.8099999999995</v>
      </c>
    </row>
    <row r="97" spans="1:22" ht="33.75" x14ac:dyDescent="0.2">
      <c r="A97" s="25" t="s">
        <v>111</v>
      </c>
      <c r="B97" s="51" t="s">
        <v>1120</v>
      </c>
      <c r="C97" s="973" t="s">
        <v>1121</v>
      </c>
      <c r="D97" s="26">
        <v>4178</v>
      </c>
      <c r="E97" s="969">
        <f t="shared" si="9"/>
        <v>21220.691999999995</v>
      </c>
      <c r="G97" s="927">
        <v>21220.691999999995</v>
      </c>
      <c r="H97" s="927">
        <v>0</v>
      </c>
    </row>
    <row r="98" spans="1:22" ht="22.5" x14ac:dyDescent="0.2">
      <c r="A98" s="25" t="s">
        <v>885</v>
      </c>
      <c r="B98" s="1104">
        <v>8311105</v>
      </c>
      <c r="C98" s="977" t="s">
        <v>1122</v>
      </c>
      <c r="D98" s="26">
        <v>1105</v>
      </c>
      <c r="E98" s="969">
        <f t="shared" si="9"/>
        <v>3670.8779999999988</v>
      </c>
      <c r="G98" s="927">
        <v>3670.8779999999988</v>
      </c>
      <c r="H98" s="927">
        <v>0</v>
      </c>
      <c r="U98" s="22"/>
      <c r="V98" s="22"/>
    </row>
    <row r="99" spans="1:22" ht="12.75" x14ac:dyDescent="0.2">
      <c r="A99" s="25" t="s">
        <v>1123</v>
      </c>
      <c r="B99" s="51">
        <v>8311103</v>
      </c>
      <c r="C99" s="977"/>
      <c r="D99" s="26">
        <v>1103</v>
      </c>
      <c r="E99" s="969">
        <f t="shared" si="9"/>
        <v>1477.537</v>
      </c>
      <c r="G99" s="927">
        <v>1483.4369999999999</v>
      </c>
      <c r="H99" s="927">
        <v>-5.8999999999998636</v>
      </c>
      <c r="U99" s="22"/>
      <c r="V99" s="22"/>
    </row>
    <row r="100" spans="1:22" ht="22.5" x14ac:dyDescent="0.2">
      <c r="A100" s="25" t="s">
        <v>569</v>
      </c>
      <c r="B100" s="51" t="s">
        <v>1124</v>
      </c>
      <c r="C100" s="977" t="s">
        <v>1125</v>
      </c>
      <c r="D100" s="26">
        <v>6905</v>
      </c>
      <c r="E100" s="969">
        <f t="shared" si="9"/>
        <v>39977.369999999995</v>
      </c>
      <c r="G100" s="927">
        <v>39977.369999999995</v>
      </c>
      <c r="H100" s="927">
        <v>0</v>
      </c>
      <c r="U100" s="22"/>
      <c r="V100" s="22"/>
    </row>
    <row r="101" spans="1:22" ht="22.5" x14ac:dyDescent="0.2">
      <c r="A101" s="25" t="s">
        <v>69</v>
      </c>
      <c r="B101" s="51" t="s">
        <v>1126</v>
      </c>
      <c r="C101" s="973" t="s">
        <v>1127</v>
      </c>
      <c r="D101" s="26">
        <v>4181</v>
      </c>
      <c r="E101" s="969">
        <f t="shared" si="9"/>
        <v>18304.103999999992</v>
      </c>
      <c r="G101" s="927">
        <v>18304.103999999992</v>
      </c>
      <c r="H101" s="927">
        <v>0</v>
      </c>
      <c r="U101" s="22"/>
      <c r="V101" s="22"/>
    </row>
    <row r="102" spans="1:22" ht="12.75" x14ac:dyDescent="0.2">
      <c r="A102" s="25" t="s">
        <v>70</v>
      </c>
      <c r="B102" s="51" t="s">
        <v>1128</v>
      </c>
      <c r="C102" s="25"/>
      <c r="D102" s="26">
        <v>4182</v>
      </c>
      <c r="E102" s="969">
        <f t="shared" si="9"/>
        <v>101577.72</v>
      </c>
      <c r="G102" s="927">
        <v>101577.72</v>
      </c>
      <c r="H102" s="927">
        <v>0</v>
      </c>
      <c r="U102" s="22"/>
      <c r="V102" s="22"/>
    </row>
    <row r="103" spans="1:22" ht="67.5" x14ac:dyDescent="0.2">
      <c r="A103" s="25" t="s">
        <v>71</v>
      </c>
      <c r="B103" s="51" t="s">
        <v>1129</v>
      </c>
      <c r="C103" s="973" t="s">
        <v>1130</v>
      </c>
      <c r="D103" s="38">
        <v>4001</v>
      </c>
      <c r="E103" s="969">
        <f t="shared" si="9"/>
        <v>44000.25</v>
      </c>
      <c r="G103" s="927">
        <v>44000.25</v>
      </c>
      <c r="H103" s="927">
        <v>0</v>
      </c>
      <c r="U103" s="22"/>
      <c r="V103" s="22"/>
    </row>
    <row r="104" spans="1:22" ht="33.75" x14ac:dyDescent="0.2">
      <c r="A104" s="25" t="s">
        <v>112</v>
      </c>
      <c r="B104" s="51" t="s">
        <v>1131</v>
      </c>
      <c r="C104" s="973" t="s">
        <v>1132</v>
      </c>
      <c r="D104" s="26">
        <v>5406</v>
      </c>
      <c r="E104" s="969">
        <f t="shared" si="9"/>
        <v>25645.859999999986</v>
      </c>
      <c r="G104" s="927">
        <v>25645.859999999986</v>
      </c>
      <c r="H104" s="927">
        <v>0</v>
      </c>
      <c r="U104" s="22"/>
      <c r="V104" s="22"/>
    </row>
    <row r="105" spans="1:22" ht="33.75" x14ac:dyDescent="0.2">
      <c r="A105" s="25" t="s">
        <v>113</v>
      </c>
      <c r="B105" s="51" t="s">
        <v>1133</v>
      </c>
      <c r="C105" s="973" t="s">
        <v>1132</v>
      </c>
      <c r="D105" s="26">
        <v>5407</v>
      </c>
      <c r="E105" s="969">
        <f t="shared" si="9"/>
        <v>27908.729999999996</v>
      </c>
      <c r="G105" s="927">
        <v>27908.729999999996</v>
      </c>
      <c r="H105" s="927">
        <v>0</v>
      </c>
      <c r="U105" s="22"/>
      <c r="V105" s="22"/>
    </row>
    <row r="106" spans="1:22" ht="22.5" x14ac:dyDescent="0.2">
      <c r="A106" s="25" t="s">
        <v>72</v>
      </c>
      <c r="B106" s="51" t="s">
        <v>1134</v>
      </c>
      <c r="C106" s="973" t="s">
        <v>1135</v>
      </c>
      <c r="D106" s="26">
        <v>4607</v>
      </c>
      <c r="E106" s="969">
        <f t="shared" si="9"/>
        <v>25143</v>
      </c>
      <c r="G106" s="927">
        <v>25143</v>
      </c>
      <c r="H106" s="927">
        <v>0</v>
      </c>
      <c r="U106" s="22"/>
      <c r="V106" s="22"/>
    </row>
    <row r="107" spans="1:22" ht="22.5" x14ac:dyDescent="0.2">
      <c r="A107" s="25" t="s">
        <v>1136</v>
      </c>
      <c r="B107" s="51" t="s">
        <v>1137</v>
      </c>
      <c r="C107" s="973" t="s">
        <v>1138</v>
      </c>
      <c r="D107" s="38">
        <v>4002</v>
      </c>
      <c r="E107" s="969">
        <f t="shared" si="9"/>
        <v>5307.4899999999834</v>
      </c>
      <c r="G107" s="927">
        <v>37211.639999999985</v>
      </c>
      <c r="H107" s="927">
        <v>-31904.15</v>
      </c>
      <c r="U107" s="22"/>
      <c r="V107" s="22"/>
    </row>
    <row r="108" spans="1:22" ht="67.5" x14ac:dyDescent="0.2">
      <c r="A108" s="25" t="s">
        <v>74</v>
      </c>
      <c r="B108" s="51" t="s">
        <v>1139</v>
      </c>
      <c r="C108" s="973" t="s">
        <v>1140</v>
      </c>
      <c r="D108" s="26">
        <v>5412</v>
      </c>
      <c r="E108" s="969">
        <f t="shared" si="9"/>
        <v>21421.835999999996</v>
      </c>
      <c r="G108" s="927">
        <v>21421.835999999996</v>
      </c>
      <c r="H108" s="927">
        <v>0</v>
      </c>
      <c r="U108" s="22"/>
      <c r="V108" s="22"/>
    </row>
    <row r="109" spans="1:22" ht="51.6" x14ac:dyDescent="0.25">
      <c r="A109" s="25" t="s">
        <v>1335</v>
      </c>
      <c r="B109" s="975">
        <v>8314003</v>
      </c>
      <c r="C109" s="977" t="s">
        <v>1336</v>
      </c>
      <c r="D109" s="26">
        <v>4003</v>
      </c>
      <c r="E109" s="969">
        <f t="shared" si="9"/>
        <v>25897.289999999994</v>
      </c>
      <c r="G109" s="927">
        <v>25897.289999999994</v>
      </c>
      <c r="U109" s="22"/>
      <c r="V109" s="22"/>
    </row>
    <row r="110" spans="1:22" ht="56.25" x14ac:dyDescent="0.2">
      <c r="A110" s="25" t="s">
        <v>73</v>
      </c>
      <c r="B110" s="51" t="s">
        <v>1141</v>
      </c>
      <c r="C110" s="973" t="s">
        <v>1142</v>
      </c>
      <c r="D110" s="26">
        <v>5414</v>
      </c>
      <c r="E110" s="969">
        <f t="shared" si="9"/>
        <v>24841.284</v>
      </c>
      <c r="G110" s="927">
        <v>24841.284</v>
      </c>
      <c r="H110" s="927">
        <v>0</v>
      </c>
      <c r="U110" s="22"/>
      <c r="V110" s="22"/>
    </row>
    <row r="111" spans="1:22" ht="12.75" x14ac:dyDescent="0.2">
      <c r="A111" s="25"/>
      <c r="B111" s="51"/>
      <c r="C111" s="25"/>
      <c r="D111" s="26"/>
      <c r="U111" s="22"/>
      <c r="V111" s="22"/>
    </row>
    <row r="112" spans="1:22" ht="12.75" x14ac:dyDescent="0.2">
      <c r="A112" s="24" t="s">
        <v>115</v>
      </c>
      <c r="B112" s="51"/>
      <c r="C112" s="24"/>
      <c r="D112" s="24" t="s">
        <v>115</v>
      </c>
      <c r="E112" s="969">
        <f>SUM(E95:E111)</f>
        <v>443537.94099999993</v>
      </c>
      <c r="G112" s="946">
        <f>SUM(G95:G111)</f>
        <v>480064.80099999992</v>
      </c>
      <c r="H112" s="946">
        <f>SUM(H95:H111)</f>
        <v>-36526.86</v>
      </c>
      <c r="J112" s="972">
        <f t="shared" ref="J112:P112" si="10">SUM(J95:J111)</f>
        <v>0</v>
      </c>
      <c r="K112" s="972"/>
      <c r="L112" s="972">
        <f t="shared" si="10"/>
        <v>0</v>
      </c>
      <c r="M112" s="972">
        <f t="shared" si="10"/>
        <v>0</v>
      </c>
      <c r="N112" s="972">
        <f t="shared" si="10"/>
        <v>0</v>
      </c>
      <c r="O112" s="972">
        <f t="shared" si="10"/>
        <v>0</v>
      </c>
      <c r="P112" s="972">
        <f t="shared" si="10"/>
        <v>0</v>
      </c>
      <c r="U112" s="22"/>
      <c r="V112" s="22"/>
    </row>
    <row r="113" spans="1:22" ht="12.75" x14ac:dyDescent="0.2">
      <c r="A113" s="24"/>
      <c r="B113" s="51"/>
      <c r="C113" s="24"/>
      <c r="D113" s="24"/>
      <c r="G113" s="946"/>
      <c r="H113" s="946"/>
      <c r="U113" s="22"/>
      <c r="V113" s="22"/>
    </row>
    <row r="114" spans="1:22" ht="12.75" x14ac:dyDescent="0.2">
      <c r="A114" s="9" t="s">
        <v>114</v>
      </c>
      <c r="B114" s="51" t="s">
        <v>1143</v>
      </c>
      <c r="C114" s="9"/>
      <c r="D114" s="26">
        <v>4177</v>
      </c>
      <c r="E114" s="969">
        <f t="shared" ref="E114" si="11">G114+H114</f>
        <v>18806.963999999993</v>
      </c>
      <c r="G114" s="927">
        <v>18806.963999999993</v>
      </c>
      <c r="H114" s="927">
        <v>0</v>
      </c>
      <c r="U114" s="22"/>
      <c r="V114" s="22"/>
    </row>
    <row r="115" spans="1:22" ht="12.75" x14ac:dyDescent="0.2">
      <c r="A115" s="1"/>
      <c r="B115" s="51"/>
      <c r="C115" s="1"/>
      <c r="D115" s="24"/>
      <c r="G115" s="946"/>
      <c r="H115" s="946"/>
      <c r="U115" s="22"/>
      <c r="V115" s="22"/>
    </row>
    <row r="116" spans="1:22" ht="12.75" x14ac:dyDescent="0.2">
      <c r="A116" s="1" t="s">
        <v>848</v>
      </c>
      <c r="B116" s="51"/>
      <c r="C116" s="1"/>
      <c r="D116" s="1" t="s">
        <v>849</v>
      </c>
      <c r="E116" s="969">
        <f>E114</f>
        <v>18806.963999999993</v>
      </c>
      <c r="G116" s="946">
        <f>G114</f>
        <v>18806.963999999993</v>
      </c>
      <c r="H116" s="946">
        <f>H114</f>
        <v>0</v>
      </c>
      <c r="J116" s="972">
        <f t="shared" ref="J116:P116" si="12">J114</f>
        <v>0</v>
      </c>
      <c r="K116" s="972"/>
      <c r="L116" s="972">
        <f t="shared" si="12"/>
        <v>0</v>
      </c>
      <c r="M116" s="972">
        <f t="shared" si="12"/>
        <v>0</v>
      </c>
      <c r="N116" s="972">
        <f t="shared" si="12"/>
        <v>0</v>
      </c>
      <c r="O116" s="972">
        <f t="shared" si="12"/>
        <v>0</v>
      </c>
      <c r="P116" s="972">
        <f t="shared" si="12"/>
        <v>0</v>
      </c>
      <c r="U116" s="22"/>
      <c r="V116" s="22"/>
    </row>
    <row r="117" spans="1:22" ht="12.75" x14ac:dyDescent="0.2">
      <c r="A117" s="25"/>
      <c r="B117" s="51"/>
      <c r="C117" s="25"/>
      <c r="D117" s="26"/>
      <c r="G117" s="946"/>
      <c r="H117" s="946"/>
      <c r="U117" s="22"/>
      <c r="V117" s="22"/>
    </row>
    <row r="118" spans="1:22" ht="12.75" x14ac:dyDescent="0.2">
      <c r="A118" s="24" t="s">
        <v>116</v>
      </c>
      <c r="B118" s="24"/>
      <c r="C118" s="24"/>
      <c r="D118" s="24" t="s">
        <v>117</v>
      </c>
      <c r="E118" s="969">
        <f>E112+E93+E17+E116</f>
        <v>1575007.2701999997</v>
      </c>
      <c r="G118" s="946">
        <f>G112+G93+G17+G116</f>
        <v>1595222.6001999998</v>
      </c>
      <c r="H118" s="946">
        <f>H112+H93+H17+H116</f>
        <v>-20215.329999999998</v>
      </c>
      <c r="J118" s="972">
        <f t="shared" ref="J118:P118" si="13">J112+J93+J17+J116</f>
        <v>0</v>
      </c>
      <c r="K118" s="972"/>
      <c r="L118" s="972">
        <f t="shared" si="13"/>
        <v>0</v>
      </c>
      <c r="M118" s="972">
        <f t="shared" si="13"/>
        <v>0</v>
      </c>
      <c r="N118" s="972">
        <f t="shared" si="13"/>
        <v>0</v>
      </c>
      <c r="O118" s="972">
        <f t="shared" si="13"/>
        <v>0</v>
      </c>
      <c r="P118" s="972">
        <f t="shared" si="13"/>
        <v>0</v>
      </c>
      <c r="U118" s="22"/>
      <c r="V118" s="22"/>
    </row>
    <row r="119" spans="1:22" ht="12.75" x14ac:dyDescent="0.2">
      <c r="A119" s="23"/>
      <c r="B119" s="23"/>
      <c r="C119" s="23"/>
      <c r="D119" s="920"/>
      <c r="E119" s="23"/>
      <c r="F119" s="23"/>
      <c r="U119" s="22"/>
      <c r="V119" s="22"/>
    </row>
    <row r="120" spans="1:22" ht="12.75" x14ac:dyDescent="0.2">
      <c r="A120" s="23"/>
      <c r="B120" s="23"/>
      <c r="C120" s="23"/>
      <c r="D120" s="920"/>
      <c r="E120" s="23"/>
      <c r="F120" s="23"/>
      <c r="U120" s="22"/>
      <c r="V120" s="22"/>
    </row>
    <row r="121" spans="1:22" ht="12.75" x14ac:dyDescent="0.2">
      <c r="A121" s="23" t="s">
        <v>1144</v>
      </c>
      <c r="B121" s="23"/>
      <c r="C121" s="23"/>
      <c r="D121" s="920"/>
      <c r="E121" s="927">
        <f>E118-E17-E98-E99-E90</f>
        <v>1510744.3551999996</v>
      </c>
      <c r="F121" s="23"/>
      <c r="G121" s="927">
        <f>G118-G17-G98-G99-G90</f>
        <v>1530755.2851999998</v>
      </c>
      <c r="H121" s="927">
        <f>H118-H17-H98-H99-H90</f>
        <v>-20010.929999999997</v>
      </c>
      <c r="J121" s="927">
        <f t="shared" ref="J121:P121" si="14">J118-J17-J98-J99-J90</f>
        <v>0</v>
      </c>
      <c r="K121" s="927">
        <f t="shared" si="14"/>
        <v>0</v>
      </c>
      <c r="L121" s="927">
        <f t="shared" si="14"/>
        <v>0</v>
      </c>
      <c r="M121" s="927">
        <f t="shared" si="14"/>
        <v>0</v>
      </c>
      <c r="N121" s="927">
        <f t="shared" si="14"/>
        <v>0</v>
      </c>
      <c r="O121" s="927">
        <f t="shared" si="14"/>
        <v>0</v>
      </c>
      <c r="P121" s="927">
        <f t="shared" si="14"/>
        <v>0</v>
      </c>
      <c r="U121" s="22"/>
      <c r="V121" s="22"/>
    </row>
    <row r="122" spans="1:22" ht="12.75" x14ac:dyDescent="0.2">
      <c r="A122" s="23"/>
      <c r="B122" s="978">
        <f>45/12*7</f>
        <v>26.25</v>
      </c>
      <c r="C122" s="23"/>
      <c r="D122" s="920"/>
      <c r="E122" s="23"/>
      <c r="F122" s="23"/>
      <c r="U122" s="22"/>
      <c r="V122" s="22"/>
    </row>
    <row r="125" spans="1:22" ht="198" x14ac:dyDescent="0.25">
      <c r="A125" s="979" t="s">
        <v>1145</v>
      </c>
      <c r="U125" s="22"/>
      <c r="V125" s="22"/>
    </row>
    <row r="128" spans="1:22" ht="12.75" x14ac:dyDescent="0.2">
      <c r="A128" s="59" t="s">
        <v>238</v>
      </c>
      <c r="B128" s="59">
        <v>206189</v>
      </c>
    </row>
    <row r="129" spans="1:2" ht="12.75" x14ac:dyDescent="0.2">
      <c r="A129" s="59" t="s">
        <v>1301</v>
      </c>
      <c r="B129" s="59">
        <v>2014</v>
      </c>
    </row>
    <row r="130" spans="1:2" ht="12.75" x14ac:dyDescent="0.2">
      <c r="A130" s="59" t="s">
        <v>10</v>
      </c>
      <c r="B130" s="59">
        <v>2012</v>
      </c>
    </row>
    <row r="131" spans="1:2" ht="12.75" x14ac:dyDescent="0.2">
      <c r="A131" s="59" t="s">
        <v>73</v>
      </c>
      <c r="B131" s="59">
        <v>5414</v>
      </c>
    </row>
    <row r="132" spans="1:2" ht="12.75" x14ac:dyDescent="0.2">
      <c r="A132" s="59" t="s">
        <v>846</v>
      </c>
      <c r="B132" s="59">
        <v>4000</v>
      </c>
    </row>
    <row r="133" spans="1:2" ht="12.75" x14ac:dyDescent="0.2">
      <c r="A133" s="59" t="s">
        <v>11</v>
      </c>
      <c r="B133" s="59">
        <v>2443</v>
      </c>
    </row>
    <row r="134" spans="1:2" ht="12.75" x14ac:dyDescent="0.2">
      <c r="A134" s="59" t="s">
        <v>94</v>
      </c>
      <c r="B134" s="59">
        <v>2442</v>
      </c>
    </row>
    <row r="135" spans="1:2" ht="12.75" x14ac:dyDescent="0.2">
      <c r="A135" s="59" t="s">
        <v>241</v>
      </c>
      <c r="B135" s="59" t="s">
        <v>242</v>
      </c>
    </row>
    <row r="136" spans="1:2" ht="12.75" x14ac:dyDescent="0.2">
      <c r="A136" s="59" t="s">
        <v>13</v>
      </c>
      <c r="B136" s="59">
        <v>2629</v>
      </c>
    </row>
    <row r="137" spans="1:2" ht="12.75" x14ac:dyDescent="0.2">
      <c r="A137" s="59" t="s">
        <v>14</v>
      </c>
      <c r="B137" s="59">
        <v>2509</v>
      </c>
    </row>
    <row r="138" spans="1:2" s="22" customFormat="1" ht="12.75" x14ac:dyDescent="0.2">
      <c r="A138" s="59" t="s">
        <v>2</v>
      </c>
      <c r="B138" s="59">
        <v>1014</v>
      </c>
    </row>
    <row r="139" spans="1:2" s="22" customFormat="1" ht="12.75" x14ac:dyDescent="0.2">
      <c r="A139" s="59" t="s">
        <v>15</v>
      </c>
      <c r="B139" s="59">
        <v>2005</v>
      </c>
    </row>
    <row r="140" spans="1:2" s="22" customFormat="1" ht="12.75" x14ac:dyDescent="0.2">
      <c r="A140" s="59" t="s">
        <v>16</v>
      </c>
      <c r="B140" s="59">
        <v>2464</v>
      </c>
    </row>
    <row r="141" spans="1:2" s="22" customFormat="1" ht="12.75" x14ac:dyDescent="0.2">
      <c r="A141" s="59" t="s">
        <v>706</v>
      </c>
      <c r="B141" s="59" t="s">
        <v>708</v>
      </c>
    </row>
    <row r="142" spans="1:2" s="22" customFormat="1" ht="12.75" x14ac:dyDescent="0.2">
      <c r="A142" s="59" t="s">
        <v>17</v>
      </c>
      <c r="B142" s="59">
        <v>2004</v>
      </c>
    </row>
    <row r="143" spans="1:2" s="22" customFormat="1" ht="12.75" x14ac:dyDescent="0.2">
      <c r="A143" s="59" t="s">
        <v>18</v>
      </c>
      <c r="B143" s="59">
        <v>2405</v>
      </c>
    </row>
    <row r="144" spans="1:2" s="22" customFormat="1" ht="12.75" x14ac:dyDescent="0.2">
      <c r="A144" s="59" t="s">
        <v>243</v>
      </c>
      <c r="B144" s="59" t="s">
        <v>245</v>
      </c>
    </row>
    <row r="145" spans="1:2" s="22" customFormat="1" ht="12.75" x14ac:dyDescent="0.2">
      <c r="A145" s="59" t="s">
        <v>250</v>
      </c>
      <c r="B145" s="59" t="s">
        <v>709</v>
      </c>
    </row>
    <row r="146" spans="1:2" s="22" customFormat="1" ht="12.75" x14ac:dyDescent="0.2">
      <c r="A146" s="59" t="s">
        <v>246</v>
      </c>
      <c r="B146" s="59" t="s">
        <v>247</v>
      </c>
    </row>
    <row r="147" spans="1:2" s="22" customFormat="1" ht="12.75" x14ac:dyDescent="0.2">
      <c r="A147" s="59" t="s">
        <v>248</v>
      </c>
      <c r="B147" s="59" t="s">
        <v>249</v>
      </c>
    </row>
    <row r="148" spans="1:2" s="22" customFormat="1" ht="12.75" x14ac:dyDescent="0.2">
      <c r="A148" s="59" t="s">
        <v>19</v>
      </c>
      <c r="B148" s="59">
        <v>2011</v>
      </c>
    </row>
    <row r="149" spans="1:2" s="22" customFormat="1" ht="12.75" x14ac:dyDescent="0.2">
      <c r="A149" s="59" t="s">
        <v>251</v>
      </c>
      <c r="B149" s="59" t="s">
        <v>252</v>
      </c>
    </row>
    <row r="150" spans="1:2" s="22" customFormat="1" ht="12.75" x14ac:dyDescent="0.2">
      <c r="A150" s="59" t="s">
        <v>20</v>
      </c>
      <c r="B150" s="59">
        <v>5201</v>
      </c>
    </row>
    <row r="151" spans="1:2" s="22" customFormat="1" ht="12.75" x14ac:dyDescent="0.2">
      <c r="A151" s="59" t="s">
        <v>253</v>
      </c>
      <c r="B151" s="59">
        <v>206124</v>
      </c>
    </row>
    <row r="152" spans="1:2" s="22" customFormat="1" ht="12.75" x14ac:dyDescent="0.2">
      <c r="A152" s="59" t="s">
        <v>21</v>
      </c>
      <c r="B152" s="59">
        <v>2433</v>
      </c>
    </row>
    <row r="153" spans="1:2" s="22" customFormat="1" ht="12.75" x14ac:dyDescent="0.2">
      <c r="A153" s="59" t="s">
        <v>22</v>
      </c>
      <c r="B153" s="59">
        <v>2432</v>
      </c>
    </row>
    <row r="154" spans="1:2" s="22" customFormat="1" ht="12.75" x14ac:dyDescent="0.2">
      <c r="A154" s="59" t="s">
        <v>256</v>
      </c>
      <c r="B154" s="59" t="s">
        <v>258</v>
      </c>
    </row>
    <row r="155" spans="1:2" s="22" customFormat="1" ht="12.75" x14ac:dyDescent="0.2">
      <c r="A155" s="59" t="s">
        <v>188</v>
      </c>
      <c r="B155" s="59">
        <v>2447</v>
      </c>
    </row>
    <row r="156" spans="1:2" s="22" customFormat="1" ht="12.75" x14ac:dyDescent="0.2">
      <c r="A156" s="59" t="s">
        <v>23</v>
      </c>
      <c r="B156" s="59">
        <v>2512</v>
      </c>
    </row>
    <row r="157" spans="1:2" s="22" customFormat="1" x14ac:dyDescent="0.25">
      <c r="A157" s="59" t="s">
        <v>259</v>
      </c>
      <c r="B157" s="59">
        <v>206126</v>
      </c>
    </row>
    <row r="158" spans="1:2" s="22" customFormat="1" x14ac:dyDescent="0.25">
      <c r="A158" s="59" t="s">
        <v>261</v>
      </c>
      <c r="B158" s="59">
        <v>206111</v>
      </c>
    </row>
    <row r="159" spans="1:2" s="22" customFormat="1" x14ac:dyDescent="0.25">
      <c r="A159" s="59" t="s">
        <v>263</v>
      </c>
      <c r="B159" s="59">
        <v>206091</v>
      </c>
    </row>
    <row r="160" spans="1:2" s="22" customFormat="1" x14ac:dyDescent="0.25">
      <c r="A160" s="59" t="s">
        <v>24</v>
      </c>
      <c r="B160" s="59">
        <v>2456</v>
      </c>
    </row>
    <row r="161" spans="1:2" s="22" customFormat="1" x14ac:dyDescent="0.25">
      <c r="A161" s="59" t="s">
        <v>3</v>
      </c>
      <c r="B161" s="59">
        <v>1017</v>
      </c>
    </row>
    <row r="162" spans="1:2" s="22" customFormat="1" x14ac:dyDescent="0.25">
      <c r="A162" s="59" t="s">
        <v>25</v>
      </c>
      <c r="B162" s="59">
        <v>2449</v>
      </c>
    </row>
    <row r="163" spans="1:2" s="22" customFormat="1" x14ac:dyDescent="0.25">
      <c r="A163" s="59" t="s">
        <v>26</v>
      </c>
      <c r="B163" s="59">
        <v>2448</v>
      </c>
    </row>
    <row r="164" spans="1:2" s="22" customFormat="1" x14ac:dyDescent="0.25">
      <c r="A164" s="59" t="s">
        <v>4</v>
      </c>
      <c r="B164" s="59">
        <v>1006</v>
      </c>
    </row>
    <row r="165" spans="1:2" s="22" customFormat="1" x14ac:dyDescent="0.25">
      <c r="A165" s="59" t="s">
        <v>27</v>
      </c>
      <c r="B165" s="59">
        <v>2467</v>
      </c>
    </row>
    <row r="166" spans="1:2" s="22" customFormat="1" x14ac:dyDescent="0.25">
      <c r="A166" s="59" t="s">
        <v>1373</v>
      </c>
      <c r="B166" s="59">
        <v>484300</v>
      </c>
    </row>
    <row r="167" spans="1:2" s="22" customFormat="1" x14ac:dyDescent="0.25">
      <c r="A167" s="59" t="s">
        <v>75</v>
      </c>
      <c r="B167" s="59">
        <v>5402</v>
      </c>
    </row>
    <row r="168" spans="1:2" s="22" customFormat="1" x14ac:dyDescent="0.25">
      <c r="A168" s="59" t="s">
        <v>28</v>
      </c>
      <c r="B168" s="59">
        <v>2455</v>
      </c>
    </row>
    <row r="169" spans="1:2" s="22" customFormat="1" x14ac:dyDescent="0.25">
      <c r="A169" s="59" t="s">
        <v>29</v>
      </c>
      <c r="B169" s="59">
        <v>5203</v>
      </c>
    </row>
    <row r="170" spans="1:2" s="22" customFormat="1" x14ac:dyDescent="0.25">
      <c r="A170" s="59" t="s">
        <v>30</v>
      </c>
      <c r="B170" s="59">
        <v>2451</v>
      </c>
    </row>
    <row r="171" spans="1:2" s="22" customFormat="1" x14ac:dyDescent="0.25">
      <c r="A171" s="59" t="s">
        <v>265</v>
      </c>
      <c r="B171" s="59" t="s">
        <v>266</v>
      </c>
    </row>
    <row r="172" spans="1:2" s="22" customFormat="1" x14ac:dyDescent="0.25">
      <c r="A172" s="59" t="s">
        <v>267</v>
      </c>
      <c r="B172" s="59">
        <v>206128</v>
      </c>
    </row>
    <row r="173" spans="1:2" s="22" customFormat="1" x14ac:dyDescent="0.25">
      <c r="A173" s="59" t="s">
        <v>438</v>
      </c>
      <c r="B173" s="59">
        <v>4002</v>
      </c>
    </row>
    <row r="174" spans="1:2" s="22" customFormat="1" x14ac:dyDescent="0.25">
      <c r="A174" s="59" t="s">
        <v>441</v>
      </c>
      <c r="B174" s="59">
        <v>2430</v>
      </c>
    </row>
    <row r="175" spans="1:2" s="22" customFormat="1" x14ac:dyDescent="0.25">
      <c r="A175" s="59" t="s">
        <v>269</v>
      </c>
      <c r="B175" s="59" t="s">
        <v>710</v>
      </c>
    </row>
    <row r="176" spans="1:2" s="22" customFormat="1" x14ac:dyDescent="0.25">
      <c r="A176" s="59" t="s">
        <v>711</v>
      </c>
      <c r="B176" s="59" t="s">
        <v>712</v>
      </c>
    </row>
    <row r="177" spans="1:2" s="22" customFormat="1" x14ac:dyDescent="0.25">
      <c r="A177" s="59" t="s">
        <v>68</v>
      </c>
      <c r="B177" s="59">
        <v>4608</v>
      </c>
    </row>
    <row r="178" spans="1:2" s="22" customFormat="1" x14ac:dyDescent="0.25">
      <c r="A178" s="59" t="s">
        <v>31</v>
      </c>
      <c r="B178" s="59">
        <v>2409</v>
      </c>
    </row>
    <row r="179" spans="1:2" s="22" customFormat="1" x14ac:dyDescent="0.25">
      <c r="A179" s="59" t="s">
        <v>270</v>
      </c>
      <c r="B179" s="59" t="s">
        <v>271</v>
      </c>
    </row>
    <row r="180" spans="1:2" s="22" customFormat="1" x14ac:dyDescent="0.25">
      <c r="A180" s="59" t="s">
        <v>1283</v>
      </c>
      <c r="B180" s="59" t="s">
        <v>714</v>
      </c>
    </row>
    <row r="181" spans="1:2" s="22" customFormat="1" x14ac:dyDescent="0.25">
      <c r="A181" s="59" t="s">
        <v>525</v>
      </c>
      <c r="B181" s="59">
        <v>205921</v>
      </c>
    </row>
    <row r="182" spans="1:2" s="22" customFormat="1" x14ac:dyDescent="0.25">
      <c r="A182" s="59" t="s">
        <v>1256</v>
      </c>
      <c r="B182" s="59" t="s">
        <v>719</v>
      </c>
    </row>
    <row r="183" spans="1:2" s="22" customFormat="1" x14ac:dyDescent="0.25">
      <c r="A183" s="59" t="s">
        <v>1375</v>
      </c>
      <c r="B183" s="59">
        <v>398922</v>
      </c>
    </row>
    <row r="184" spans="1:2" s="22" customFormat="1" x14ac:dyDescent="0.25">
      <c r="A184" s="59" t="s">
        <v>1374</v>
      </c>
      <c r="B184" s="59">
        <v>479804</v>
      </c>
    </row>
    <row r="185" spans="1:2" s="22" customFormat="1" x14ac:dyDescent="0.25">
      <c r="A185" s="59" t="s">
        <v>524</v>
      </c>
      <c r="B185" s="59">
        <v>205999</v>
      </c>
    </row>
    <row r="186" spans="1:2" s="22" customFormat="1" x14ac:dyDescent="0.25">
      <c r="A186" s="59" t="s">
        <v>523</v>
      </c>
      <c r="B186" s="59" t="s">
        <v>272</v>
      </c>
    </row>
    <row r="187" spans="1:2" s="22" customFormat="1" x14ac:dyDescent="0.25">
      <c r="A187" s="59" t="s">
        <v>1257</v>
      </c>
      <c r="B187" s="59">
        <v>206065</v>
      </c>
    </row>
    <row r="188" spans="1:2" s="22" customFormat="1" x14ac:dyDescent="0.25">
      <c r="A188" s="59" t="s">
        <v>1376</v>
      </c>
      <c r="B188" s="59">
        <v>314105</v>
      </c>
    </row>
    <row r="189" spans="1:2" s="22" customFormat="1" x14ac:dyDescent="0.25">
      <c r="A189" s="59" t="s">
        <v>1400</v>
      </c>
      <c r="B189" s="59" t="s">
        <v>277</v>
      </c>
    </row>
    <row r="190" spans="1:2" s="22" customFormat="1" x14ac:dyDescent="0.25">
      <c r="A190" s="59" t="s">
        <v>1377</v>
      </c>
      <c r="B190" s="59">
        <v>206076</v>
      </c>
    </row>
    <row r="191" spans="1:2" s="22" customFormat="1" x14ac:dyDescent="0.25">
      <c r="A191" s="59" t="s">
        <v>561</v>
      </c>
      <c r="B191" s="59" t="s">
        <v>727</v>
      </c>
    </row>
    <row r="192" spans="1:2" s="22" customFormat="1" x14ac:dyDescent="0.25">
      <c r="A192" s="59" t="s">
        <v>1399</v>
      </c>
      <c r="B192" s="59" t="s">
        <v>730</v>
      </c>
    </row>
    <row r="193" spans="1:2" s="22" customFormat="1" x14ac:dyDescent="0.25">
      <c r="A193" s="59" t="s">
        <v>562</v>
      </c>
      <c r="B193" s="59" t="s">
        <v>275</v>
      </c>
    </row>
    <row r="194" spans="1:2" s="22" customFormat="1" x14ac:dyDescent="0.25">
      <c r="A194" s="59" t="s">
        <v>1258</v>
      </c>
      <c r="B194" s="59" t="s">
        <v>724</v>
      </c>
    </row>
    <row r="195" spans="1:2" s="22" customFormat="1" x14ac:dyDescent="0.25">
      <c r="A195" s="59" t="s">
        <v>1259</v>
      </c>
      <c r="B195" s="59">
        <v>205919</v>
      </c>
    </row>
    <row r="196" spans="1:2" s="22" customFormat="1" x14ac:dyDescent="0.25">
      <c r="A196" s="59" t="s">
        <v>526</v>
      </c>
      <c r="B196" s="59" t="s">
        <v>276</v>
      </c>
    </row>
    <row r="197" spans="1:2" s="22" customFormat="1" x14ac:dyDescent="0.25">
      <c r="A197" s="59" t="s">
        <v>1378</v>
      </c>
      <c r="B197" s="59">
        <v>477405</v>
      </c>
    </row>
    <row r="198" spans="1:2" s="22" customFormat="1" x14ac:dyDescent="0.25">
      <c r="A198" s="59" t="s">
        <v>1260</v>
      </c>
      <c r="B198" s="59" t="s">
        <v>734</v>
      </c>
    </row>
    <row r="199" spans="1:2" s="22" customFormat="1" x14ac:dyDescent="0.25">
      <c r="A199" s="59" t="s">
        <v>1379</v>
      </c>
      <c r="B199" s="59">
        <v>401536</v>
      </c>
    </row>
    <row r="200" spans="1:2" s="22" customFormat="1" x14ac:dyDescent="0.25">
      <c r="A200" s="59" t="s">
        <v>1261</v>
      </c>
      <c r="B200" s="59" t="s">
        <v>736</v>
      </c>
    </row>
    <row r="201" spans="1:2" s="22" customFormat="1" x14ac:dyDescent="0.25">
      <c r="A201" s="59" t="s">
        <v>1263</v>
      </c>
      <c r="B201" s="59" t="s">
        <v>739</v>
      </c>
    </row>
    <row r="202" spans="1:2" s="22" customFormat="1" x14ac:dyDescent="0.25">
      <c r="A202" s="59" t="s">
        <v>1262</v>
      </c>
      <c r="B202" s="59">
        <v>205849</v>
      </c>
    </row>
    <row r="203" spans="1:2" s="22" customFormat="1" x14ac:dyDescent="0.25">
      <c r="A203" s="59" t="s">
        <v>566</v>
      </c>
      <c r="B203" s="59" t="s">
        <v>273</v>
      </c>
    </row>
    <row r="204" spans="1:2" s="22" customFormat="1" x14ac:dyDescent="0.25">
      <c r="A204" s="59" t="s">
        <v>1264</v>
      </c>
      <c r="B204" s="59" t="s">
        <v>741</v>
      </c>
    </row>
    <row r="205" spans="1:2" s="22" customFormat="1" x14ac:dyDescent="0.25">
      <c r="A205" s="59" t="s">
        <v>1268</v>
      </c>
      <c r="B205" s="59">
        <v>205922</v>
      </c>
    </row>
    <row r="206" spans="1:2" s="22" customFormat="1" x14ac:dyDescent="0.25">
      <c r="A206" s="59" t="s">
        <v>1267</v>
      </c>
      <c r="B206" s="59">
        <v>205881</v>
      </c>
    </row>
    <row r="207" spans="1:2" s="22" customFormat="1" x14ac:dyDescent="0.25">
      <c r="A207" s="59" t="s">
        <v>1265</v>
      </c>
      <c r="B207" s="59" t="s">
        <v>744</v>
      </c>
    </row>
    <row r="208" spans="1:2" s="22" customFormat="1" x14ac:dyDescent="0.25">
      <c r="A208" s="59" t="s">
        <v>527</v>
      </c>
      <c r="B208" s="59" t="s">
        <v>278</v>
      </c>
    </row>
    <row r="209" spans="1:2" s="22" customFormat="1" x14ac:dyDescent="0.25">
      <c r="A209" s="59" t="s">
        <v>1266</v>
      </c>
      <c r="B209" s="59" t="s">
        <v>749</v>
      </c>
    </row>
    <row r="210" spans="1:2" s="22" customFormat="1" x14ac:dyDescent="0.25">
      <c r="A210" s="59" t="s">
        <v>1380</v>
      </c>
      <c r="B210" s="59">
        <v>462623</v>
      </c>
    </row>
    <row r="211" spans="1:2" s="22" customFormat="1" x14ac:dyDescent="0.25">
      <c r="A211" s="59" t="s">
        <v>750</v>
      </c>
      <c r="B211" s="59" t="s">
        <v>751</v>
      </c>
    </row>
    <row r="212" spans="1:2" s="22" customFormat="1" x14ac:dyDescent="0.25">
      <c r="A212" s="59" t="s">
        <v>1269</v>
      </c>
      <c r="B212" s="59" t="s">
        <v>754</v>
      </c>
    </row>
    <row r="213" spans="1:2" s="22" customFormat="1" x14ac:dyDescent="0.25">
      <c r="A213" s="59" t="s">
        <v>528</v>
      </c>
      <c r="B213" s="59">
        <v>2</v>
      </c>
    </row>
    <row r="214" spans="1:2" s="22" customFormat="1" x14ac:dyDescent="0.25">
      <c r="A214" s="59" t="s">
        <v>1270</v>
      </c>
      <c r="B214" s="59" t="s">
        <v>621</v>
      </c>
    </row>
    <row r="215" spans="1:2" s="22" customFormat="1" x14ac:dyDescent="0.25">
      <c r="A215" s="59" t="s">
        <v>1271</v>
      </c>
      <c r="B215" s="59" t="s">
        <v>639</v>
      </c>
    </row>
    <row r="216" spans="1:2" s="22" customFormat="1" x14ac:dyDescent="0.25">
      <c r="A216" s="59" t="s">
        <v>1271</v>
      </c>
      <c r="B216" s="59">
        <v>205878</v>
      </c>
    </row>
    <row r="217" spans="1:2" s="22" customFormat="1" x14ac:dyDescent="0.25">
      <c r="A217" s="59" t="s">
        <v>529</v>
      </c>
      <c r="B217" s="59">
        <v>205956</v>
      </c>
    </row>
    <row r="218" spans="1:2" s="22" customFormat="1" x14ac:dyDescent="0.25">
      <c r="A218" s="59" t="s">
        <v>1273</v>
      </c>
      <c r="B218" s="59" t="s">
        <v>759</v>
      </c>
    </row>
    <row r="219" spans="1:2" s="22" customFormat="1" x14ac:dyDescent="0.25">
      <c r="A219" s="59" t="s">
        <v>1382</v>
      </c>
      <c r="B219" s="59">
        <v>472319</v>
      </c>
    </row>
    <row r="220" spans="1:2" s="22" customFormat="1" x14ac:dyDescent="0.25">
      <c r="A220" s="59" t="s">
        <v>1272</v>
      </c>
      <c r="B220" s="59">
        <v>260849</v>
      </c>
    </row>
    <row r="221" spans="1:2" s="22" customFormat="1" x14ac:dyDescent="0.25">
      <c r="A221" s="59" t="s">
        <v>1383</v>
      </c>
      <c r="B221" s="59">
        <v>482805</v>
      </c>
    </row>
    <row r="222" spans="1:2" s="22" customFormat="1" x14ac:dyDescent="0.25">
      <c r="A222" s="59" t="s">
        <v>1381</v>
      </c>
      <c r="B222" s="59">
        <v>447579</v>
      </c>
    </row>
    <row r="223" spans="1:2" s="22" customFormat="1" x14ac:dyDescent="0.25">
      <c r="A223" s="59" t="s">
        <v>1274</v>
      </c>
      <c r="B223" s="59" t="s">
        <v>280</v>
      </c>
    </row>
    <row r="224" spans="1:2" s="22" customFormat="1" x14ac:dyDescent="0.25">
      <c r="A224" s="59" t="s">
        <v>1275</v>
      </c>
      <c r="B224" s="59" t="s">
        <v>762</v>
      </c>
    </row>
    <row r="225" spans="1:2" s="22" customFormat="1" x14ac:dyDescent="0.25">
      <c r="A225" s="59" t="s">
        <v>1277</v>
      </c>
      <c r="B225" s="59" t="s">
        <v>766</v>
      </c>
    </row>
    <row r="226" spans="1:2" s="22" customFormat="1" x14ac:dyDescent="0.25">
      <c r="A226" s="59" t="s">
        <v>1276</v>
      </c>
      <c r="B226" s="59" t="s">
        <v>764</v>
      </c>
    </row>
    <row r="227" spans="1:2" s="22" customFormat="1" x14ac:dyDescent="0.25">
      <c r="A227" s="59" t="s">
        <v>1279</v>
      </c>
      <c r="B227" s="59" t="s">
        <v>771</v>
      </c>
    </row>
    <row r="228" spans="1:2" s="22" customFormat="1" x14ac:dyDescent="0.25">
      <c r="A228" s="437" t="s">
        <v>1278</v>
      </c>
      <c r="B228" s="529" t="s">
        <v>768</v>
      </c>
    </row>
    <row r="229" spans="1:2" s="22" customFormat="1" x14ac:dyDescent="0.25">
      <c r="A229" s="437" t="s">
        <v>564</v>
      </c>
      <c r="B229" s="529" t="s">
        <v>281</v>
      </c>
    </row>
    <row r="230" spans="1:2" s="22" customFormat="1" x14ac:dyDescent="0.25">
      <c r="A230" s="59" t="s">
        <v>1284</v>
      </c>
      <c r="B230" s="59" t="s">
        <v>774</v>
      </c>
    </row>
    <row r="231" spans="1:2" s="22" customFormat="1" x14ac:dyDescent="0.25">
      <c r="A231" s="59" t="s">
        <v>1384</v>
      </c>
      <c r="B231" s="59">
        <v>484039</v>
      </c>
    </row>
    <row r="232" spans="1:2" s="22" customFormat="1" x14ac:dyDescent="0.25">
      <c r="A232" s="59" t="s">
        <v>1285</v>
      </c>
      <c r="B232" s="59" t="s">
        <v>776</v>
      </c>
    </row>
    <row r="233" spans="1:2" s="22" customFormat="1" x14ac:dyDescent="0.25">
      <c r="A233" s="59" t="s">
        <v>1385</v>
      </c>
      <c r="B233" s="59">
        <v>343478</v>
      </c>
    </row>
    <row r="234" spans="1:2" s="22" customFormat="1" x14ac:dyDescent="0.25">
      <c r="A234" s="59" t="s">
        <v>532</v>
      </c>
      <c r="B234" s="59" t="s">
        <v>283</v>
      </c>
    </row>
    <row r="235" spans="1:2" s="22" customFormat="1" x14ac:dyDescent="0.25">
      <c r="A235" s="59" t="s">
        <v>1280</v>
      </c>
      <c r="B235" s="59">
        <v>206031</v>
      </c>
    </row>
    <row r="236" spans="1:2" s="22" customFormat="1" x14ac:dyDescent="0.25">
      <c r="A236" s="59" t="s">
        <v>531</v>
      </c>
      <c r="B236" s="59" t="s">
        <v>284</v>
      </c>
    </row>
    <row r="237" spans="1:2" s="22" customFormat="1" x14ac:dyDescent="0.25">
      <c r="A237" s="59" t="s">
        <v>530</v>
      </c>
      <c r="B237" s="59" t="s">
        <v>282</v>
      </c>
    </row>
    <row r="238" spans="1:2" s="22" customFormat="1" x14ac:dyDescent="0.25">
      <c r="A238" s="59" t="s">
        <v>1281</v>
      </c>
      <c r="B238" s="59" t="s">
        <v>781</v>
      </c>
    </row>
    <row r="239" spans="1:2" s="22" customFormat="1" x14ac:dyDescent="0.25">
      <c r="A239" s="59" t="s">
        <v>1255</v>
      </c>
      <c r="B239" s="59" t="s">
        <v>285</v>
      </c>
    </row>
    <row r="240" spans="1:2" s="22" customFormat="1" x14ac:dyDescent="0.25">
      <c r="A240" s="59" t="s">
        <v>1289</v>
      </c>
      <c r="B240" s="59">
        <v>260848</v>
      </c>
    </row>
    <row r="241" spans="1:2" s="22" customFormat="1" x14ac:dyDescent="0.25">
      <c r="A241" s="59" t="s">
        <v>565</v>
      </c>
      <c r="B241" s="59">
        <v>206043</v>
      </c>
    </row>
    <row r="242" spans="1:2" s="22" customFormat="1" x14ac:dyDescent="0.25">
      <c r="A242" s="59" t="s">
        <v>533</v>
      </c>
      <c r="B242" s="59" t="s">
        <v>286</v>
      </c>
    </row>
    <row r="243" spans="1:2" s="22" customFormat="1" x14ac:dyDescent="0.25">
      <c r="A243" s="59" t="s">
        <v>533</v>
      </c>
      <c r="B243" s="59">
        <v>505502</v>
      </c>
    </row>
    <row r="244" spans="1:2" s="22" customFormat="1" x14ac:dyDescent="0.25">
      <c r="A244" s="59" t="s">
        <v>563</v>
      </c>
      <c r="B244" s="59">
        <v>205978</v>
      </c>
    </row>
    <row r="245" spans="1:2" s="22" customFormat="1" x14ac:dyDescent="0.25">
      <c r="A245" s="59" t="s">
        <v>1296</v>
      </c>
      <c r="B245" s="59">
        <v>435150</v>
      </c>
    </row>
    <row r="246" spans="1:2" s="22" customFormat="1" x14ac:dyDescent="0.25">
      <c r="A246" s="59" t="s">
        <v>1288</v>
      </c>
      <c r="B246" s="59">
        <v>206067</v>
      </c>
    </row>
    <row r="247" spans="1:2" s="22" customFormat="1" x14ac:dyDescent="0.25">
      <c r="A247" s="59" t="s">
        <v>534</v>
      </c>
      <c r="B247" s="59" t="s">
        <v>287</v>
      </c>
    </row>
    <row r="248" spans="1:2" s="22" customFormat="1" x14ac:dyDescent="0.25">
      <c r="A248" s="59" t="s">
        <v>1282</v>
      </c>
      <c r="B248" s="59" t="s">
        <v>279</v>
      </c>
    </row>
    <row r="249" spans="1:2" s="22" customFormat="1" x14ac:dyDescent="0.25">
      <c r="A249" s="59" t="s">
        <v>535</v>
      </c>
      <c r="B249" s="59" t="s">
        <v>288</v>
      </c>
    </row>
    <row r="250" spans="1:2" s="22" customFormat="1" x14ac:dyDescent="0.25">
      <c r="A250" s="59" t="s">
        <v>1286</v>
      </c>
      <c r="B250" s="59" t="s">
        <v>793</v>
      </c>
    </row>
    <row r="251" spans="1:2" s="22" customFormat="1" x14ac:dyDescent="0.25">
      <c r="A251" s="59" t="s">
        <v>1386</v>
      </c>
      <c r="B251" s="59">
        <v>414019</v>
      </c>
    </row>
    <row r="252" spans="1:2" s="22" customFormat="1" x14ac:dyDescent="0.25">
      <c r="A252" s="59" t="s">
        <v>567</v>
      </c>
      <c r="B252" s="59" t="s">
        <v>274</v>
      </c>
    </row>
    <row r="253" spans="1:2" s="22" customFormat="1" x14ac:dyDescent="0.25">
      <c r="A253" s="59" t="s">
        <v>1387</v>
      </c>
      <c r="B253" s="59">
        <v>458078</v>
      </c>
    </row>
    <row r="254" spans="1:2" s="22" customFormat="1" x14ac:dyDescent="0.25">
      <c r="A254" s="59" t="s">
        <v>1287</v>
      </c>
      <c r="B254" s="59" t="s">
        <v>795</v>
      </c>
    </row>
    <row r="255" spans="1:2" s="22" customFormat="1" x14ac:dyDescent="0.25">
      <c r="A255" s="59" t="s">
        <v>289</v>
      </c>
      <c r="B255" s="59" t="s">
        <v>290</v>
      </c>
    </row>
    <row r="256" spans="1:2" s="22" customFormat="1" x14ac:dyDescent="0.25">
      <c r="A256" s="59" t="s">
        <v>1306</v>
      </c>
      <c r="B256" s="59">
        <v>4003</v>
      </c>
    </row>
    <row r="257" spans="1:2" s="22" customFormat="1" x14ac:dyDescent="0.25">
      <c r="A257" s="59" t="s">
        <v>797</v>
      </c>
      <c r="B257" s="59" t="s">
        <v>798</v>
      </c>
    </row>
    <row r="258" spans="1:2" s="22" customFormat="1" x14ac:dyDescent="0.25">
      <c r="A258" s="59" t="s">
        <v>291</v>
      </c>
      <c r="B258" s="59" t="s">
        <v>293</v>
      </c>
    </row>
    <row r="259" spans="1:2" s="22" customFormat="1" x14ac:dyDescent="0.25">
      <c r="A259" s="59" t="s">
        <v>111</v>
      </c>
      <c r="B259" s="59">
        <v>4178</v>
      </c>
    </row>
    <row r="260" spans="1:2" s="22" customFormat="1" x14ac:dyDescent="0.25">
      <c r="A260" s="59" t="s">
        <v>98</v>
      </c>
      <c r="B260" s="59">
        <v>3158</v>
      </c>
    </row>
    <row r="261" spans="1:2" s="22" customFormat="1" x14ac:dyDescent="0.25">
      <c r="A261" s="59" t="s">
        <v>32</v>
      </c>
      <c r="B261" s="59">
        <v>2619</v>
      </c>
    </row>
    <row r="262" spans="1:2" s="22" customFormat="1" x14ac:dyDescent="0.25">
      <c r="A262" s="59" t="s">
        <v>1388</v>
      </c>
      <c r="B262" s="59">
        <v>479542</v>
      </c>
    </row>
    <row r="263" spans="1:2" s="22" customFormat="1" x14ac:dyDescent="0.25">
      <c r="A263" s="59" t="s">
        <v>1389</v>
      </c>
      <c r="B263" s="59" t="s">
        <v>1390</v>
      </c>
    </row>
    <row r="264" spans="1:2" s="22" customFormat="1" x14ac:dyDescent="0.25">
      <c r="A264" s="59" t="s">
        <v>799</v>
      </c>
      <c r="B264" s="59" t="s">
        <v>800</v>
      </c>
    </row>
    <row r="265" spans="1:2" s="22" customFormat="1" x14ac:dyDescent="0.25">
      <c r="A265" s="59" t="s">
        <v>1391</v>
      </c>
      <c r="B265" s="59">
        <v>487369</v>
      </c>
    </row>
    <row r="266" spans="1:2" s="22" customFormat="1" x14ac:dyDescent="0.25">
      <c r="A266" s="59" t="s">
        <v>1392</v>
      </c>
      <c r="B266" s="59">
        <v>477763</v>
      </c>
    </row>
    <row r="267" spans="1:2" s="22" customFormat="1" x14ac:dyDescent="0.25">
      <c r="A267" s="59" t="s">
        <v>294</v>
      </c>
      <c r="B267" s="59" t="s">
        <v>295</v>
      </c>
    </row>
    <row r="268" spans="1:2" s="22" customFormat="1" x14ac:dyDescent="0.25">
      <c r="A268" s="59" t="s">
        <v>296</v>
      </c>
      <c r="B268" s="59">
        <v>258417</v>
      </c>
    </row>
    <row r="269" spans="1:2" s="22" customFormat="1" x14ac:dyDescent="0.25">
      <c r="A269" s="59" t="s">
        <v>298</v>
      </c>
      <c r="B269" s="59" t="s">
        <v>300</v>
      </c>
    </row>
    <row r="270" spans="1:2" s="22" customFormat="1" x14ac:dyDescent="0.25">
      <c r="A270" s="59" t="s">
        <v>301</v>
      </c>
      <c r="B270" s="59" t="s">
        <v>303</v>
      </c>
    </row>
    <row r="271" spans="1:2" s="22" customFormat="1" x14ac:dyDescent="0.25">
      <c r="A271" s="59" t="s">
        <v>33</v>
      </c>
      <c r="B271" s="59">
        <v>2518</v>
      </c>
    </row>
    <row r="272" spans="1:2" s="22" customFormat="1" x14ac:dyDescent="0.25">
      <c r="A272" s="59" t="s">
        <v>801</v>
      </c>
      <c r="B272" s="59" t="s">
        <v>802</v>
      </c>
    </row>
    <row r="273" spans="1:2" s="22" customFormat="1" x14ac:dyDescent="0.25">
      <c r="A273" s="59" t="s">
        <v>304</v>
      </c>
      <c r="B273" s="59">
        <v>206106</v>
      </c>
    </row>
    <row r="274" spans="1:2" s="22" customFormat="1" x14ac:dyDescent="0.25">
      <c r="A274" s="59" t="s">
        <v>306</v>
      </c>
      <c r="B274" s="59" t="s">
        <v>307</v>
      </c>
    </row>
    <row r="275" spans="1:2" s="22" customFormat="1" x14ac:dyDescent="0.25">
      <c r="A275" s="59" t="s">
        <v>803</v>
      </c>
      <c r="B275" s="59" t="s">
        <v>804</v>
      </c>
    </row>
    <row r="276" spans="1:2" s="22" customFormat="1" x14ac:dyDescent="0.25">
      <c r="A276" s="59" t="s">
        <v>34</v>
      </c>
      <c r="B276" s="59">
        <v>2457</v>
      </c>
    </row>
    <row r="277" spans="1:2" s="22" customFormat="1" x14ac:dyDescent="0.25">
      <c r="A277" s="59" t="s">
        <v>99</v>
      </c>
      <c r="B277" s="59">
        <v>2010</v>
      </c>
    </row>
    <row r="278" spans="1:2" s="22" customFormat="1" x14ac:dyDescent="0.25">
      <c r="A278" s="59" t="s">
        <v>35</v>
      </c>
      <c r="B278" s="59">
        <v>2002</v>
      </c>
    </row>
    <row r="279" spans="1:2" s="22" customFormat="1" x14ac:dyDescent="0.25">
      <c r="A279" s="59" t="s">
        <v>36</v>
      </c>
      <c r="B279" s="59">
        <v>3544</v>
      </c>
    </row>
    <row r="280" spans="1:2" s="22" customFormat="1" x14ac:dyDescent="0.25">
      <c r="A280" s="59" t="s">
        <v>5</v>
      </c>
      <c r="B280" s="59">
        <v>1008</v>
      </c>
    </row>
    <row r="281" spans="1:2" s="22" customFormat="1" x14ac:dyDescent="0.25">
      <c r="A281" s="59" t="s">
        <v>308</v>
      </c>
      <c r="B281" s="59" t="s">
        <v>309</v>
      </c>
    </row>
    <row r="282" spans="1:2" s="22" customFormat="1" x14ac:dyDescent="0.25">
      <c r="A282" s="59" t="s">
        <v>100</v>
      </c>
      <c r="B282" s="59">
        <v>2006</v>
      </c>
    </row>
    <row r="283" spans="1:2" s="22" customFormat="1" x14ac:dyDescent="0.25">
      <c r="A283" s="59" t="s">
        <v>310</v>
      </c>
      <c r="B283" s="59" t="s">
        <v>311</v>
      </c>
    </row>
    <row r="284" spans="1:2" s="22" customFormat="1" x14ac:dyDescent="0.25">
      <c r="A284" s="59" t="s">
        <v>312</v>
      </c>
      <c r="B284" s="59">
        <v>206133</v>
      </c>
    </row>
    <row r="285" spans="1:2" s="22" customFormat="1" x14ac:dyDescent="0.25">
      <c r="A285" s="59" t="s">
        <v>806</v>
      </c>
      <c r="B285" s="59" t="s">
        <v>807</v>
      </c>
    </row>
    <row r="286" spans="1:2" s="22" customFormat="1" x14ac:dyDescent="0.25">
      <c r="A286" s="59" t="s">
        <v>314</v>
      </c>
      <c r="B286" s="59" t="s">
        <v>316</v>
      </c>
    </row>
    <row r="287" spans="1:2" s="22" customFormat="1" x14ac:dyDescent="0.25">
      <c r="A287" s="59" t="s">
        <v>317</v>
      </c>
      <c r="B287" s="59">
        <v>206134</v>
      </c>
    </row>
    <row r="288" spans="1:2" s="22" customFormat="1" x14ac:dyDescent="0.25">
      <c r="A288" s="59" t="s">
        <v>321</v>
      </c>
      <c r="B288" s="59" t="s">
        <v>322</v>
      </c>
    </row>
    <row r="289" spans="1:2" s="22" customFormat="1" x14ac:dyDescent="0.25">
      <c r="A289" s="59" t="s">
        <v>319</v>
      </c>
      <c r="B289" s="59" t="s">
        <v>320</v>
      </c>
    </row>
    <row r="290" spans="1:2" s="22" customFormat="1" x14ac:dyDescent="0.25">
      <c r="A290" s="59" t="s">
        <v>323</v>
      </c>
      <c r="B290" s="59" t="s">
        <v>324</v>
      </c>
    </row>
    <row r="291" spans="1:2" s="22" customFormat="1" x14ac:dyDescent="0.25">
      <c r="A291" s="59" t="s">
        <v>325</v>
      </c>
      <c r="B291" s="59">
        <v>206109</v>
      </c>
    </row>
    <row r="292" spans="1:2" s="22" customFormat="1" x14ac:dyDescent="0.25">
      <c r="A292" s="59" t="s">
        <v>37</v>
      </c>
      <c r="B292" s="59">
        <v>2434</v>
      </c>
    </row>
    <row r="293" spans="1:2" s="22" customFormat="1" x14ac:dyDescent="0.25">
      <c r="A293" s="59" t="s">
        <v>42</v>
      </c>
      <c r="B293" s="59">
        <v>2009</v>
      </c>
    </row>
    <row r="294" spans="1:2" s="22" customFormat="1" x14ac:dyDescent="0.25">
      <c r="A294" s="59" t="s">
        <v>569</v>
      </c>
      <c r="B294" s="59">
        <v>6905</v>
      </c>
    </row>
    <row r="295" spans="1:2" s="22" customFormat="1" x14ac:dyDescent="0.25">
      <c r="A295" s="59" t="s">
        <v>38</v>
      </c>
      <c r="B295" s="59">
        <v>2522</v>
      </c>
    </row>
    <row r="296" spans="1:2" s="22" customFormat="1" x14ac:dyDescent="0.25">
      <c r="A296" s="59" t="s">
        <v>327</v>
      </c>
      <c r="B296" s="59">
        <v>206110</v>
      </c>
    </row>
    <row r="297" spans="1:2" s="22" customFormat="1" x14ac:dyDescent="0.25">
      <c r="A297" s="59" t="s">
        <v>329</v>
      </c>
      <c r="B297" s="59">
        <v>206135</v>
      </c>
    </row>
    <row r="298" spans="1:2" s="22" customFormat="1" x14ac:dyDescent="0.25">
      <c r="A298" s="59" t="s">
        <v>69</v>
      </c>
      <c r="B298" s="59">
        <v>4181</v>
      </c>
    </row>
    <row r="299" spans="1:2" s="22" customFormat="1" x14ac:dyDescent="0.25">
      <c r="A299" s="59" t="s">
        <v>331</v>
      </c>
      <c r="B299" s="59">
        <v>509195</v>
      </c>
    </row>
    <row r="300" spans="1:2" s="22" customFormat="1" x14ac:dyDescent="0.25">
      <c r="A300" s="59" t="s">
        <v>1393</v>
      </c>
      <c r="B300" s="59">
        <v>480857</v>
      </c>
    </row>
    <row r="301" spans="1:2" s="22" customFormat="1" x14ac:dyDescent="0.25">
      <c r="A301" s="59" t="s">
        <v>333</v>
      </c>
      <c r="B301" s="59" t="s">
        <v>334</v>
      </c>
    </row>
    <row r="302" spans="1:2" s="22" customFormat="1" x14ac:dyDescent="0.25">
      <c r="A302" s="59" t="s">
        <v>335</v>
      </c>
      <c r="B302" s="59" t="s">
        <v>336</v>
      </c>
    </row>
    <row r="303" spans="1:2" s="22" customFormat="1" x14ac:dyDescent="0.25">
      <c r="A303" s="59" t="s">
        <v>1394</v>
      </c>
      <c r="B303" s="59">
        <v>492973</v>
      </c>
    </row>
    <row r="304" spans="1:2" s="22" customFormat="1" x14ac:dyDescent="0.25">
      <c r="A304" s="59" t="s">
        <v>337</v>
      </c>
      <c r="B304" s="59" t="s">
        <v>339</v>
      </c>
    </row>
    <row r="305" spans="1:2" s="22" customFormat="1" x14ac:dyDescent="0.25">
      <c r="A305" s="59" t="s">
        <v>340</v>
      </c>
      <c r="B305" s="59">
        <v>509199</v>
      </c>
    </row>
    <row r="306" spans="1:2" s="22" customFormat="1" x14ac:dyDescent="0.25">
      <c r="A306" s="59" t="s">
        <v>342</v>
      </c>
      <c r="B306" s="59">
        <v>509197</v>
      </c>
    </row>
    <row r="307" spans="1:2" s="22" customFormat="1" x14ac:dyDescent="0.25">
      <c r="A307" s="59" t="s">
        <v>808</v>
      </c>
      <c r="B307" s="59">
        <v>479383</v>
      </c>
    </row>
    <row r="308" spans="1:2" s="22" customFormat="1" x14ac:dyDescent="0.25">
      <c r="A308" s="59" t="s">
        <v>347</v>
      </c>
      <c r="B308" s="59" t="s">
        <v>348</v>
      </c>
    </row>
    <row r="309" spans="1:2" s="22" customFormat="1" x14ac:dyDescent="0.25">
      <c r="A309" s="59" t="s">
        <v>70</v>
      </c>
      <c r="B309" s="59">
        <v>4182</v>
      </c>
    </row>
    <row r="310" spans="1:2" s="22" customFormat="1" x14ac:dyDescent="0.25">
      <c r="A310" s="59" t="s">
        <v>344</v>
      </c>
      <c r="B310" s="59" t="s">
        <v>346</v>
      </c>
    </row>
    <row r="311" spans="1:2" s="22" customFormat="1" x14ac:dyDescent="0.25">
      <c r="A311" s="59" t="s">
        <v>6</v>
      </c>
      <c r="B311" s="59">
        <v>1005</v>
      </c>
    </row>
    <row r="312" spans="1:2" s="22" customFormat="1" x14ac:dyDescent="0.25">
      <c r="A312" s="59" t="s">
        <v>809</v>
      </c>
      <c r="B312" s="59" t="s">
        <v>810</v>
      </c>
    </row>
    <row r="313" spans="1:2" s="22" customFormat="1" x14ac:dyDescent="0.25">
      <c r="A313" s="59" t="s">
        <v>39</v>
      </c>
      <c r="B313" s="59">
        <v>2436</v>
      </c>
    </row>
    <row r="314" spans="1:2" s="22" customFormat="1" x14ac:dyDescent="0.25">
      <c r="A314" s="59" t="s">
        <v>349</v>
      </c>
      <c r="B314" s="59">
        <v>206117</v>
      </c>
    </row>
    <row r="315" spans="1:2" s="22" customFormat="1" x14ac:dyDescent="0.25">
      <c r="A315" s="59" t="s">
        <v>40</v>
      </c>
      <c r="B315" s="59">
        <v>2452</v>
      </c>
    </row>
    <row r="316" spans="1:2" s="22" customFormat="1" x14ac:dyDescent="0.25">
      <c r="A316" s="59" t="s">
        <v>71</v>
      </c>
      <c r="B316" s="59">
        <v>4001</v>
      </c>
    </row>
    <row r="317" spans="1:2" s="22" customFormat="1" x14ac:dyDescent="0.25">
      <c r="A317" s="59" t="s">
        <v>351</v>
      </c>
      <c r="B317" s="59">
        <v>206141</v>
      </c>
    </row>
    <row r="318" spans="1:2" s="22" customFormat="1" x14ac:dyDescent="0.25">
      <c r="A318" s="59" t="s">
        <v>41</v>
      </c>
      <c r="B318" s="59">
        <v>2627</v>
      </c>
    </row>
    <row r="319" spans="1:2" s="22" customFormat="1" x14ac:dyDescent="0.25">
      <c r="A319" s="59" t="s">
        <v>112</v>
      </c>
      <c r="B319" s="59">
        <v>5406</v>
      </c>
    </row>
    <row r="320" spans="1:2" s="22" customFormat="1" x14ac:dyDescent="0.25">
      <c r="A320" s="59" t="s">
        <v>113</v>
      </c>
      <c r="B320" s="59">
        <v>5407</v>
      </c>
    </row>
    <row r="321" spans="1:2" s="22" customFormat="1" x14ac:dyDescent="0.25">
      <c r="A321" s="59" t="s">
        <v>353</v>
      </c>
      <c r="B321" s="59" t="s">
        <v>355</v>
      </c>
    </row>
    <row r="322" spans="1:2" s="22" customFormat="1" x14ac:dyDescent="0.25">
      <c r="A322" s="59" t="s">
        <v>356</v>
      </c>
      <c r="B322" s="59">
        <v>258404</v>
      </c>
    </row>
    <row r="323" spans="1:2" s="22" customFormat="1" x14ac:dyDescent="0.25">
      <c r="A323" s="59" t="s">
        <v>101</v>
      </c>
      <c r="B323" s="59">
        <v>2473</v>
      </c>
    </row>
    <row r="324" spans="1:2" s="22" customFormat="1" x14ac:dyDescent="0.25">
      <c r="A324" s="59" t="s">
        <v>44</v>
      </c>
      <c r="B324" s="59">
        <v>2471</v>
      </c>
    </row>
    <row r="325" spans="1:2" s="22" customFormat="1" x14ac:dyDescent="0.25">
      <c r="A325" s="59" t="s">
        <v>358</v>
      </c>
      <c r="B325" s="59">
        <v>258405</v>
      </c>
    </row>
    <row r="326" spans="1:2" s="22" customFormat="1" x14ac:dyDescent="0.25">
      <c r="A326" s="59" t="s">
        <v>360</v>
      </c>
      <c r="B326" s="59">
        <v>258406</v>
      </c>
    </row>
    <row r="327" spans="1:2" s="22" customFormat="1" x14ac:dyDescent="0.25">
      <c r="A327" s="59" t="s">
        <v>1395</v>
      </c>
      <c r="B327" s="59">
        <v>206145</v>
      </c>
    </row>
    <row r="328" spans="1:2" s="22" customFormat="1" x14ac:dyDescent="0.25">
      <c r="A328" s="59" t="s">
        <v>43</v>
      </c>
      <c r="B328" s="59">
        <v>2420</v>
      </c>
    </row>
    <row r="329" spans="1:2" s="22" customFormat="1" x14ac:dyDescent="0.25">
      <c r="A329" s="59" t="s">
        <v>362</v>
      </c>
      <c r="B329" s="59">
        <v>206160</v>
      </c>
    </row>
    <row r="330" spans="1:2" s="22" customFormat="1" x14ac:dyDescent="0.25">
      <c r="A330" s="59" t="s">
        <v>45</v>
      </c>
      <c r="B330" s="59">
        <v>2003</v>
      </c>
    </row>
    <row r="331" spans="1:2" s="22" customFormat="1" x14ac:dyDescent="0.25">
      <c r="A331" s="59" t="s">
        <v>46</v>
      </c>
      <c r="B331" s="59">
        <v>2423</v>
      </c>
    </row>
    <row r="332" spans="1:2" s="22" customFormat="1" x14ac:dyDescent="0.25">
      <c r="A332" s="59" t="s">
        <v>47</v>
      </c>
      <c r="B332" s="59">
        <v>2424</v>
      </c>
    </row>
    <row r="333" spans="1:2" s="22" customFormat="1" x14ac:dyDescent="0.25">
      <c r="A333" s="59" t="s">
        <v>364</v>
      </c>
      <c r="B333" s="59" t="s">
        <v>366</v>
      </c>
    </row>
    <row r="334" spans="1:2" s="22" customFormat="1" x14ac:dyDescent="0.25">
      <c r="A334" s="59" t="s">
        <v>367</v>
      </c>
      <c r="B334" s="59" t="s">
        <v>368</v>
      </c>
    </row>
    <row r="335" spans="1:2" s="22" customFormat="1" x14ac:dyDescent="0.25">
      <c r="A335" s="59" t="s">
        <v>369</v>
      </c>
      <c r="B335" s="59" t="s">
        <v>371</v>
      </c>
    </row>
    <row r="336" spans="1:2" s="22" customFormat="1" x14ac:dyDescent="0.25">
      <c r="A336" s="59" t="s">
        <v>811</v>
      </c>
      <c r="B336" s="59" t="s">
        <v>812</v>
      </c>
    </row>
    <row r="337" spans="1:2" s="22" customFormat="1" x14ac:dyDescent="0.25">
      <c r="A337" s="59" t="s">
        <v>372</v>
      </c>
      <c r="B337" s="59">
        <v>206146</v>
      </c>
    </row>
    <row r="338" spans="1:2" s="22" customFormat="1" x14ac:dyDescent="0.25">
      <c r="A338" s="59" t="s">
        <v>48</v>
      </c>
      <c r="B338" s="59">
        <v>2439</v>
      </c>
    </row>
    <row r="339" spans="1:2" s="22" customFormat="1" x14ac:dyDescent="0.25">
      <c r="A339" s="59" t="s">
        <v>49</v>
      </c>
      <c r="B339" s="59">
        <v>2440</v>
      </c>
    </row>
    <row r="340" spans="1:2" s="22" customFormat="1" x14ac:dyDescent="0.25">
      <c r="A340" s="59" t="s">
        <v>374</v>
      </c>
      <c r="B340" s="59" t="s">
        <v>375</v>
      </c>
    </row>
    <row r="341" spans="1:2" s="22" customFormat="1" x14ac:dyDescent="0.25">
      <c r="A341" s="59" t="s">
        <v>813</v>
      </c>
      <c r="B341" s="59" t="s">
        <v>814</v>
      </c>
    </row>
    <row r="342" spans="1:2" s="22" customFormat="1" x14ac:dyDescent="0.25">
      <c r="A342" s="59" t="s">
        <v>815</v>
      </c>
      <c r="B342" s="59" t="s">
        <v>816</v>
      </c>
    </row>
    <row r="343" spans="1:2" s="22" customFormat="1" x14ac:dyDescent="0.25">
      <c r="A343" s="67" t="s">
        <v>377</v>
      </c>
      <c r="B343" s="67" t="s">
        <v>378</v>
      </c>
    </row>
    <row r="344" spans="1:2" s="22" customFormat="1" x14ac:dyDescent="0.25">
      <c r="A344" s="105" t="s">
        <v>377</v>
      </c>
      <c r="B344" s="110" t="s">
        <v>817</v>
      </c>
    </row>
    <row r="345" spans="1:2" s="22" customFormat="1" x14ac:dyDescent="0.25">
      <c r="A345" s="105" t="s">
        <v>102</v>
      </c>
      <c r="B345" s="110">
        <v>2462</v>
      </c>
    </row>
    <row r="346" spans="1:2" s="22" customFormat="1" x14ac:dyDescent="0.25">
      <c r="A346" s="105" t="s">
        <v>50</v>
      </c>
      <c r="B346" s="110">
        <v>2463</v>
      </c>
    </row>
    <row r="347" spans="1:2" s="22" customFormat="1" x14ac:dyDescent="0.25">
      <c r="A347" s="105" t="s">
        <v>51</v>
      </c>
      <c r="B347" s="67">
        <v>2505</v>
      </c>
    </row>
    <row r="348" spans="1:2" s="22" customFormat="1" x14ac:dyDescent="0.25">
      <c r="A348" s="105" t="s">
        <v>1304</v>
      </c>
      <c r="B348" s="110">
        <v>2000</v>
      </c>
    </row>
    <row r="349" spans="1:2" s="22" customFormat="1" x14ac:dyDescent="0.25">
      <c r="A349" s="105" t="s">
        <v>53</v>
      </c>
      <c r="B349" s="67">
        <v>2458</v>
      </c>
    </row>
    <row r="350" spans="1:2" s="22" customFormat="1" x14ac:dyDescent="0.25">
      <c r="A350" s="105" t="s">
        <v>379</v>
      </c>
      <c r="B350" s="67" t="s">
        <v>381</v>
      </c>
    </row>
    <row r="351" spans="1:2" s="22" customFormat="1" x14ac:dyDescent="0.25">
      <c r="A351" s="105" t="s">
        <v>54</v>
      </c>
      <c r="B351" s="67">
        <v>2001</v>
      </c>
    </row>
    <row r="352" spans="1:2" s="22" customFormat="1" x14ac:dyDescent="0.25">
      <c r="A352" s="105" t="s">
        <v>382</v>
      </c>
      <c r="B352" s="67" t="s">
        <v>383</v>
      </c>
    </row>
    <row r="353" spans="1:2" s="22" customFormat="1" x14ac:dyDescent="0.25">
      <c r="A353" s="105" t="s">
        <v>55</v>
      </c>
      <c r="B353" s="67">
        <v>2429</v>
      </c>
    </row>
    <row r="354" spans="1:2" s="22" customFormat="1" x14ac:dyDescent="0.25">
      <c r="A354" s="105" t="s">
        <v>384</v>
      </c>
      <c r="B354" s="67">
        <v>113044</v>
      </c>
    </row>
    <row r="355" spans="1:2" s="22" customFormat="1" x14ac:dyDescent="0.25">
      <c r="A355" s="105" t="s">
        <v>386</v>
      </c>
      <c r="B355" s="67" t="s">
        <v>388</v>
      </c>
    </row>
    <row r="356" spans="1:2" s="22" customFormat="1" x14ac:dyDescent="0.25">
      <c r="A356" s="105" t="s">
        <v>72</v>
      </c>
      <c r="B356" s="67">
        <v>4607</v>
      </c>
    </row>
    <row r="357" spans="1:2" s="22" customFormat="1" x14ac:dyDescent="0.25">
      <c r="A357" s="105" t="s">
        <v>818</v>
      </c>
      <c r="B357" s="67" t="s">
        <v>819</v>
      </c>
    </row>
    <row r="358" spans="1:2" s="22" customFormat="1" x14ac:dyDescent="0.25">
      <c r="A358" s="105" t="s">
        <v>820</v>
      </c>
      <c r="B358" s="67" t="s">
        <v>821</v>
      </c>
    </row>
    <row r="359" spans="1:2" s="22" customFormat="1" x14ac:dyDescent="0.25">
      <c r="A359" s="105" t="s">
        <v>56</v>
      </c>
      <c r="B359" s="67">
        <v>2444</v>
      </c>
    </row>
    <row r="360" spans="1:2" s="22" customFormat="1" x14ac:dyDescent="0.25">
      <c r="A360" s="105" t="s">
        <v>57</v>
      </c>
      <c r="B360" s="67">
        <v>5209</v>
      </c>
    </row>
    <row r="361" spans="1:2" s="22" customFormat="1" x14ac:dyDescent="0.25">
      <c r="A361" s="105" t="s">
        <v>389</v>
      </c>
      <c r="B361" s="67" t="s">
        <v>391</v>
      </c>
    </row>
    <row r="362" spans="1:2" s="22" customFormat="1" x14ac:dyDescent="0.25">
      <c r="A362" s="105" t="s">
        <v>392</v>
      </c>
      <c r="B362" s="67" t="s">
        <v>394</v>
      </c>
    </row>
    <row r="363" spans="1:2" s="22" customFormat="1" x14ac:dyDescent="0.25">
      <c r="A363" s="105" t="s">
        <v>58</v>
      </c>
      <c r="B363" s="67">
        <v>2469</v>
      </c>
    </row>
    <row r="364" spans="1:2" s="22" customFormat="1" x14ac:dyDescent="0.25">
      <c r="A364" s="105" t="s">
        <v>395</v>
      </c>
      <c r="B364" s="110" t="s">
        <v>397</v>
      </c>
    </row>
    <row r="365" spans="1:2" s="22" customFormat="1" x14ac:dyDescent="0.25">
      <c r="A365" s="105" t="s">
        <v>398</v>
      </c>
      <c r="B365" s="67" t="s">
        <v>399</v>
      </c>
    </row>
    <row r="366" spans="1:2" s="22" customFormat="1" x14ac:dyDescent="0.25">
      <c r="A366" s="59" t="s">
        <v>59</v>
      </c>
      <c r="B366" s="59">
        <v>2466</v>
      </c>
    </row>
    <row r="367" spans="1:2" s="22" customFormat="1" x14ac:dyDescent="0.25">
      <c r="A367" s="59" t="s">
        <v>60</v>
      </c>
      <c r="B367" s="59">
        <v>3543</v>
      </c>
    </row>
    <row r="368" spans="1:2" s="22" customFormat="1" x14ac:dyDescent="0.25">
      <c r="A368" s="59" t="s">
        <v>400</v>
      </c>
      <c r="B368" s="59">
        <v>206152</v>
      </c>
    </row>
    <row r="369" spans="1:2" s="22" customFormat="1" x14ac:dyDescent="0.25">
      <c r="A369" s="59" t="s">
        <v>402</v>
      </c>
      <c r="B369" s="59">
        <v>206153</v>
      </c>
    </row>
    <row r="370" spans="1:2" s="22" customFormat="1" x14ac:dyDescent="0.25">
      <c r="A370" s="59" t="s">
        <v>62</v>
      </c>
      <c r="B370" s="59">
        <v>3531</v>
      </c>
    </row>
    <row r="371" spans="1:2" s="22" customFormat="1" x14ac:dyDescent="0.25">
      <c r="A371" s="59" t="s">
        <v>63</v>
      </c>
      <c r="B371" s="59">
        <v>3526</v>
      </c>
    </row>
    <row r="372" spans="1:2" s="22" customFormat="1" x14ac:dyDescent="0.25">
      <c r="A372" s="59" t="s">
        <v>104</v>
      </c>
      <c r="B372" s="59">
        <v>3535</v>
      </c>
    </row>
    <row r="373" spans="1:2" s="22" customFormat="1" x14ac:dyDescent="0.25">
      <c r="A373" s="59" t="s">
        <v>64</v>
      </c>
      <c r="B373" s="59">
        <v>2008</v>
      </c>
    </row>
    <row r="374" spans="1:2" s="22" customFormat="1" x14ac:dyDescent="0.25">
      <c r="A374" s="59" t="s">
        <v>105</v>
      </c>
      <c r="B374" s="59">
        <v>3542</v>
      </c>
    </row>
    <row r="375" spans="1:2" s="22" customFormat="1" x14ac:dyDescent="0.25">
      <c r="A375" s="59" t="s">
        <v>404</v>
      </c>
      <c r="B375" s="59">
        <v>206154</v>
      </c>
    </row>
    <row r="376" spans="1:2" s="22" customFormat="1" x14ac:dyDescent="0.25">
      <c r="A376" s="59" t="s">
        <v>106</v>
      </c>
      <c r="B376" s="59">
        <v>3528</v>
      </c>
    </row>
    <row r="377" spans="1:2" s="22" customFormat="1" x14ac:dyDescent="0.25">
      <c r="A377" s="59" t="s">
        <v>406</v>
      </c>
      <c r="B377" s="59" t="s">
        <v>407</v>
      </c>
    </row>
    <row r="378" spans="1:2" s="22" customFormat="1" x14ac:dyDescent="0.25">
      <c r="A378" s="59" t="s">
        <v>107</v>
      </c>
      <c r="B378" s="59">
        <v>3534</v>
      </c>
    </row>
    <row r="379" spans="1:2" x14ac:dyDescent="0.25">
      <c r="A379" s="59" t="s">
        <v>108</v>
      </c>
      <c r="B379" s="59">
        <v>3532</v>
      </c>
    </row>
    <row r="380" spans="1:2" x14ac:dyDescent="0.25">
      <c r="A380" s="59" t="s">
        <v>7</v>
      </c>
      <c r="B380" s="59">
        <v>1010</v>
      </c>
    </row>
    <row r="381" spans="1:2" x14ac:dyDescent="0.25">
      <c r="A381" s="59" t="s">
        <v>1396</v>
      </c>
      <c r="B381" s="59">
        <v>484523</v>
      </c>
    </row>
    <row r="382" spans="1:2" x14ac:dyDescent="0.25">
      <c r="A382" s="59" t="s">
        <v>408</v>
      </c>
      <c r="B382" s="59" t="s">
        <v>410</v>
      </c>
    </row>
    <row r="383" spans="1:2" x14ac:dyDescent="0.25">
      <c r="A383" s="59" t="s">
        <v>114</v>
      </c>
      <c r="B383" s="59">
        <v>4177</v>
      </c>
    </row>
    <row r="384" spans="1:2" x14ac:dyDescent="0.25">
      <c r="A384" s="59" t="s">
        <v>822</v>
      </c>
      <c r="B384" s="59" t="s">
        <v>824</v>
      </c>
    </row>
    <row r="385" spans="1:2" x14ac:dyDescent="0.25">
      <c r="A385" s="59" t="s">
        <v>411</v>
      </c>
      <c r="B385" s="59" t="s">
        <v>413</v>
      </c>
    </row>
    <row r="386" spans="1:2" x14ac:dyDescent="0.25">
      <c r="A386" s="59" t="s">
        <v>414</v>
      </c>
      <c r="B386" s="59">
        <v>206103</v>
      </c>
    </row>
    <row r="387" spans="1:2" x14ac:dyDescent="0.25">
      <c r="A387" s="59" t="s">
        <v>415</v>
      </c>
      <c r="B387" s="59" t="s">
        <v>417</v>
      </c>
    </row>
    <row r="388" spans="1:2" x14ac:dyDescent="0.25">
      <c r="A388" s="59" t="s">
        <v>418</v>
      </c>
      <c r="B388" s="59" t="s">
        <v>420</v>
      </c>
    </row>
    <row r="389" spans="1:2" x14ac:dyDescent="0.25">
      <c r="A389" s="59" t="s">
        <v>421</v>
      </c>
      <c r="B389" s="59">
        <v>258420</v>
      </c>
    </row>
    <row r="390" spans="1:2" x14ac:dyDescent="0.25">
      <c r="A390" s="59" t="s">
        <v>423</v>
      </c>
      <c r="B390" s="59">
        <v>258424</v>
      </c>
    </row>
    <row r="391" spans="1:2" x14ac:dyDescent="0.25">
      <c r="A391" s="59" t="s">
        <v>1397</v>
      </c>
      <c r="B391" s="59">
        <v>482634</v>
      </c>
    </row>
    <row r="392" spans="1:2" x14ac:dyDescent="0.25">
      <c r="A392" s="59" t="s">
        <v>425</v>
      </c>
      <c r="B392" s="59" t="s">
        <v>426</v>
      </c>
    </row>
    <row r="393" spans="1:2" x14ac:dyDescent="0.25">
      <c r="A393" s="59" t="s">
        <v>65</v>
      </c>
      <c r="B393" s="59">
        <v>3546</v>
      </c>
    </row>
    <row r="394" spans="1:2" x14ac:dyDescent="0.25">
      <c r="A394" s="59" t="s">
        <v>8</v>
      </c>
      <c r="B394" s="59">
        <v>1009</v>
      </c>
    </row>
    <row r="395" spans="1:2" x14ac:dyDescent="0.25">
      <c r="A395" s="59" t="s">
        <v>1398</v>
      </c>
      <c r="B395" s="59">
        <v>476554</v>
      </c>
    </row>
    <row r="396" spans="1:2" x14ac:dyDescent="0.25">
      <c r="A396" s="59" t="s">
        <v>66</v>
      </c>
      <c r="B396" s="59">
        <v>3530</v>
      </c>
    </row>
    <row r="397" spans="1:2" x14ac:dyDescent="0.25">
      <c r="A397" s="59" t="s">
        <v>74</v>
      </c>
      <c r="B397" s="59">
        <v>5412</v>
      </c>
    </row>
    <row r="398" spans="1:2" x14ac:dyDescent="0.25">
      <c r="A398" s="59" t="s">
        <v>432</v>
      </c>
      <c r="B398" s="59" t="s">
        <v>433</v>
      </c>
    </row>
    <row r="399" spans="1:2" x14ac:dyDescent="0.25">
      <c r="A399" s="59" t="s">
        <v>427</v>
      </c>
      <c r="B399" s="59" t="s">
        <v>429</v>
      </c>
    </row>
    <row r="400" spans="1:2" x14ac:dyDescent="0.25">
      <c r="A400" s="59" t="s">
        <v>9</v>
      </c>
      <c r="B400" s="59">
        <v>1015</v>
      </c>
    </row>
    <row r="401" spans="1:2" x14ac:dyDescent="0.25">
      <c r="A401" s="59" t="s">
        <v>430</v>
      </c>
      <c r="B401" s="59" t="s">
        <v>431</v>
      </c>
    </row>
    <row r="402" spans="1:2" x14ac:dyDescent="0.25">
      <c r="A402" s="59" t="s">
        <v>434</v>
      </c>
      <c r="B402" s="59">
        <v>509204</v>
      </c>
    </row>
    <row r="403" spans="1:2" x14ac:dyDescent="0.25">
      <c r="A403" s="59" t="s">
        <v>434</v>
      </c>
      <c r="B403" s="59" t="s">
        <v>825</v>
      </c>
    </row>
    <row r="404" spans="1:2" x14ac:dyDescent="0.25">
      <c r="A404" s="59" t="s">
        <v>67</v>
      </c>
      <c r="B404" s="59">
        <v>2459</v>
      </c>
    </row>
    <row r="405" spans="1:2" x14ac:dyDescent="0.25">
      <c r="A405" s="59" t="s">
        <v>96</v>
      </c>
      <c r="B405" s="59">
        <v>2007</v>
      </c>
    </row>
    <row r="406" spans="1:2" x14ac:dyDescent="0.25">
      <c r="A406" s="11"/>
      <c r="B406" s="2"/>
    </row>
    <row r="407" spans="1:2" x14ac:dyDescent="0.25">
      <c r="A407" s="11"/>
      <c r="B407" s="2"/>
    </row>
  </sheetData>
  <sheetProtection password="EF5C" sheet="1" objects="1" scenarios="1"/>
  <mergeCells count="1">
    <mergeCell ref="L5:P5"/>
  </mergeCells>
  <pageMargins left="0.70866141732283472" right="0.70866141732283472" top="0.74803149606299213" bottom="0.74803149606299213" header="0.31496062992125984" footer="0.31496062992125984"/>
  <pageSetup paperSize="9" scale="48" fitToHeight="0" orientation="landscape"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00B050"/>
  </sheetPr>
  <dimension ref="A1:AP389"/>
  <sheetViews>
    <sheetView workbookViewId="0">
      <pane xSplit="2" ySplit="1" topLeftCell="C113" activePane="bottomRight" state="frozen"/>
      <selection activeCell="C118" sqref="C118"/>
      <selection pane="topRight" activeCell="C118" sqref="C118"/>
      <selection pane="bottomLeft" activeCell="C118" sqref="C118"/>
      <selection pane="bottomRight" activeCell="D133" sqref="D133"/>
    </sheetView>
  </sheetViews>
  <sheetFormatPr defaultColWidth="9.109375" defaultRowHeight="13.2" x14ac:dyDescent="0.25"/>
  <cols>
    <col min="1" max="1" width="50.44140625" style="30" customWidth="1"/>
    <col min="2" max="2" width="17.109375" style="22" customWidth="1"/>
    <col min="3" max="3" width="15.109375" style="927" customWidth="1"/>
    <col min="4" max="11" width="15.109375" style="11" customWidth="1"/>
    <col min="12" max="12" width="15.109375" style="21" customWidth="1"/>
    <col min="13" max="18" width="15.109375" style="11" customWidth="1"/>
    <col min="19" max="20" width="15.109375" style="30" customWidth="1"/>
    <col min="21" max="29" width="15.109375" style="11" customWidth="1"/>
    <col min="30" max="30" width="10" style="30" customWidth="1"/>
    <col min="31" max="34" width="9.109375" style="30" customWidth="1"/>
    <col min="35" max="35" width="14.5546875" style="30" customWidth="1"/>
    <col min="36" max="42" width="9.109375" style="30" customWidth="1"/>
    <col min="43" max="16384" width="9.109375" style="30"/>
  </cols>
  <sheetData>
    <row r="1" spans="1:42" s="35" customFormat="1" ht="57" customHeight="1" x14ac:dyDescent="0.2">
      <c r="A1" s="34" t="s">
        <v>118</v>
      </c>
      <c r="B1" s="37" t="s">
        <v>81</v>
      </c>
      <c r="C1" s="1098" t="s">
        <v>1148</v>
      </c>
      <c r="D1" s="8" t="s">
        <v>1319</v>
      </c>
      <c r="E1" s="8" t="s">
        <v>1149</v>
      </c>
      <c r="F1" s="8" t="s">
        <v>1320</v>
      </c>
      <c r="G1" s="8" t="s">
        <v>1146</v>
      </c>
      <c r="H1" s="8" t="s">
        <v>1321</v>
      </c>
      <c r="I1" s="1099" t="s">
        <v>1322</v>
      </c>
      <c r="J1" s="8" t="s">
        <v>1147</v>
      </c>
      <c r="K1" s="8"/>
      <c r="L1" s="980" t="s">
        <v>1323</v>
      </c>
      <c r="M1" s="36" t="s">
        <v>1324</v>
      </c>
      <c r="N1" s="8" t="s">
        <v>1325</v>
      </c>
      <c r="O1" s="8" t="s">
        <v>1326</v>
      </c>
      <c r="P1" s="8" t="s">
        <v>1146</v>
      </c>
      <c r="Q1" s="36" t="s">
        <v>1327</v>
      </c>
      <c r="R1" s="1100" t="s">
        <v>1328</v>
      </c>
      <c r="T1" s="981" t="s">
        <v>1150</v>
      </c>
      <c r="U1" s="36"/>
      <c r="V1" s="36" t="s">
        <v>1151</v>
      </c>
      <c r="W1" s="36" t="s">
        <v>128</v>
      </c>
      <c r="X1" s="36" t="s">
        <v>1152</v>
      </c>
      <c r="Y1" s="36" t="s">
        <v>1153</v>
      </c>
      <c r="Z1" s="36" t="s">
        <v>1154</v>
      </c>
      <c r="AA1" s="36" t="s">
        <v>1155</v>
      </c>
      <c r="AB1" s="36" t="s">
        <v>1156</v>
      </c>
      <c r="AC1" s="36" t="s">
        <v>1157</v>
      </c>
      <c r="AD1" s="35" t="s">
        <v>1158</v>
      </c>
    </row>
    <row r="2" spans="1:42" ht="12.75" x14ac:dyDescent="0.2">
      <c r="A2" s="9" t="s">
        <v>1301</v>
      </c>
      <c r="B2" s="26">
        <v>2014</v>
      </c>
      <c r="C2" s="1101">
        <v>0</v>
      </c>
      <c r="D2" s="11">
        <v>191614.02211781274</v>
      </c>
      <c r="E2" s="11">
        <v>-8627</v>
      </c>
      <c r="F2" s="11">
        <v>0</v>
      </c>
      <c r="H2" s="11">
        <f>SUM(D2:G2)</f>
        <v>182987.02211781274</v>
      </c>
      <c r="I2" s="11">
        <v>0</v>
      </c>
      <c r="J2" s="11">
        <f>SUM(I2*0.985)</f>
        <v>0</v>
      </c>
      <c r="L2" s="21">
        <v>32.75</v>
      </c>
      <c r="M2" s="11">
        <v>225387.21569193195</v>
      </c>
      <c r="N2" s="11">
        <v>-8800.0499999999956</v>
      </c>
      <c r="O2" s="11">
        <v>-100000</v>
      </c>
      <c r="Q2" s="11">
        <f>SUM(M2:P2)</f>
        <v>116587.16569193196</v>
      </c>
      <c r="R2" s="11">
        <f>SUM(Q2/L2)</f>
        <v>3559.9134562421973</v>
      </c>
      <c r="S2" s="739"/>
      <c r="T2" s="11">
        <f>W2+AC2</f>
        <v>0</v>
      </c>
      <c r="V2" s="11">
        <f t="shared" ref="V2:V65" si="0">J2*L2</f>
        <v>0</v>
      </c>
      <c r="W2" s="11">
        <f t="shared" ref="W2:W65" si="1">IF(V2&lt;Q2,0,V2-Q2)</f>
        <v>0</v>
      </c>
      <c r="X2" s="11">
        <f t="shared" ref="X2:X65" si="2">-IF(V2&lt;Q2,Q2-V2,0)</f>
        <v>-116587.16569193196</v>
      </c>
      <c r="Y2" s="11">
        <f t="shared" ref="Y2:Y65" si="3">-IF(V2&lt;Q2,(Q2-V2)/100*99.5,0)</f>
        <v>-116004.2298634723</v>
      </c>
      <c r="Z2" s="11">
        <f t="shared" ref="Z2:Z65" si="4">-IF(V2&lt;Q2,(Q2-V2)/100*99,0)</f>
        <v>-115421.29403501263</v>
      </c>
      <c r="AA2" s="11">
        <f t="shared" ref="AA2:AA65" si="5">-IF(V2&lt;Q2,(Q2-V2)/100*98.5,0)</f>
        <v>-114838.35820655298</v>
      </c>
      <c r="AB2" s="11">
        <f t="shared" ref="AB2:AB65" si="6">-IF(V2&lt;Q2,(Q2-V2)/100*98,0)</f>
        <v>-114255.42237809331</v>
      </c>
      <c r="AC2" s="11">
        <v>0</v>
      </c>
      <c r="AD2" s="11"/>
      <c r="AG2" s="30">
        <v>8312014</v>
      </c>
      <c r="AI2" s="21"/>
      <c r="AP2" s="21"/>
    </row>
    <row r="3" spans="1:42" ht="12.75" x14ac:dyDescent="0.2">
      <c r="A3" s="9" t="s">
        <v>10</v>
      </c>
      <c r="B3" s="26">
        <v>2012</v>
      </c>
      <c r="C3" s="944">
        <v>358</v>
      </c>
      <c r="D3" s="11">
        <v>1603315.2558930069</v>
      </c>
      <c r="E3" s="11">
        <v>-22526.5</v>
      </c>
      <c r="F3" s="11">
        <v>-100000</v>
      </c>
      <c r="H3" s="11">
        <f>SUM(D3:G3)</f>
        <v>1480788.7558930069</v>
      </c>
      <c r="I3" s="11">
        <f>SUM(H3/C3)</f>
        <v>4136.2814410419187</v>
      </c>
      <c r="J3" s="11">
        <f>SUM(I3*0.985)</f>
        <v>4074.2372194262898</v>
      </c>
      <c r="L3" s="21">
        <v>366</v>
      </c>
      <c r="M3" s="11">
        <v>1517588.8527415183</v>
      </c>
      <c r="N3" s="11">
        <v>16601.281999999999</v>
      </c>
      <c r="O3" s="11">
        <v>-100000</v>
      </c>
      <c r="Q3" s="11">
        <f>SUM(M3:P3)</f>
        <v>1434190.1347415182</v>
      </c>
      <c r="R3" s="11">
        <f>SUM(Q3/L3)</f>
        <v>3918.5522807145308</v>
      </c>
      <c r="S3" s="739"/>
      <c r="T3" s="11">
        <f>W3+AC3</f>
        <v>56980.687568503898</v>
      </c>
      <c r="V3" s="11">
        <f t="shared" si="0"/>
        <v>1491170.8223100221</v>
      </c>
      <c r="W3" s="11">
        <f t="shared" si="1"/>
        <v>56980.687568503898</v>
      </c>
      <c r="X3" s="11">
        <f t="shared" si="2"/>
        <v>0</v>
      </c>
      <c r="Y3" s="11">
        <f t="shared" si="3"/>
        <v>0</v>
      </c>
      <c r="Z3" s="11">
        <f t="shared" si="4"/>
        <v>0</v>
      </c>
      <c r="AA3" s="11">
        <f t="shared" si="5"/>
        <v>0</v>
      </c>
      <c r="AB3" s="11">
        <f t="shared" si="6"/>
        <v>0</v>
      </c>
      <c r="AC3" s="11">
        <v>0</v>
      </c>
      <c r="AD3" s="11"/>
      <c r="AG3" s="30" t="s">
        <v>1031</v>
      </c>
      <c r="AI3" s="21"/>
      <c r="AP3" s="21"/>
    </row>
    <row r="4" spans="1:42" ht="12.75" x14ac:dyDescent="0.2">
      <c r="A4" s="9" t="s">
        <v>11</v>
      </c>
      <c r="B4" s="26">
        <v>2443</v>
      </c>
      <c r="C4" s="944">
        <v>255</v>
      </c>
      <c r="D4" s="11">
        <v>899135.04631108267</v>
      </c>
      <c r="E4" s="11">
        <v>-3753.3899999999994</v>
      </c>
      <c r="F4" s="11">
        <v>-100000</v>
      </c>
      <c r="H4" s="11">
        <f t="shared" ref="H4:H67" si="7">SUM(D4:G4)</f>
        <v>795381.65631108265</v>
      </c>
      <c r="I4" s="11">
        <f t="shared" ref="I4:I67" si="8">SUM(H4/C4)</f>
        <v>3119.1437502395397</v>
      </c>
      <c r="J4" s="11">
        <f t="shared" ref="J4:J67" si="9">SUM(I4*0.985)</f>
        <v>3072.3565939859468</v>
      </c>
      <c r="L4" s="21">
        <v>264</v>
      </c>
      <c r="M4" s="11">
        <v>963451.59705009439</v>
      </c>
      <c r="N4" s="11">
        <v>-12697.215</v>
      </c>
      <c r="O4" s="11">
        <v>-100000</v>
      </c>
      <c r="Q4" s="11">
        <f t="shared" ref="Q4:Q67" si="10">SUM(M4:P4)</f>
        <v>850754.38205009443</v>
      </c>
      <c r="R4" s="11">
        <f t="shared" ref="R4:R67" si="11">SUM(Q4/L4)</f>
        <v>3222.5544774624791</v>
      </c>
      <c r="S4" s="739"/>
      <c r="T4" s="11">
        <f t="shared" ref="T4:T67" si="12">W4+AC4</f>
        <v>0</v>
      </c>
      <c r="V4" s="11">
        <f t="shared" si="0"/>
        <v>811102.1408122899</v>
      </c>
      <c r="W4" s="11">
        <f t="shared" si="1"/>
        <v>0</v>
      </c>
      <c r="X4" s="11">
        <f t="shared" si="2"/>
        <v>-39652.241237804526</v>
      </c>
      <c r="Y4" s="11">
        <f t="shared" si="3"/>
        <v>-39453.980031615502</v>
      </c>
      <c r="Z4" s="11">
        <f t="shared" si="4"/>
        <v>-39255.718825426484</v>
      </c>
      <c r="AA4" s="11">
        <f t="shared" si="5"/>
        <v>-39057.457619237459</v>
      </c>
      <c r="AB4" s="11">
        <f t="shared" si="6"/>
        <v>-38859.196413048434</v>
      </c>
      <c r="AC4" s="11">
        <v>0</v>
      </c>
      <c r="AD4" s="11"/>
      <c r="AG4" s="30" t="s">
        <v>1032</v>
      </c>
      <c r="AI4" s="21"/>
      <c r="AP4" s="21"/>
    </row>
    <row r="5" spans="1:42" ht="12.75" x14ac:dyDescent="0.2">
      <c r="A5" s="9" t="s">
        <v>94</v>
      </c>
      <c r="B5" s="26">
        <v>2442</v>
      </c>
      <c r="C5" s="944">
        <v>309</v>
      </c>
      <c r="D5" s="11">
        <v>1093634.7731745534</v>
      </c>
      <c r="E5" s="11">
        <v>-3753.3899999999994</v>
      </c>
      <c r="F5" s="11">
        <v>-100000</v>
      </c>
      <c r="H5" s="11">
        <f t="shared" si="7"/>
        <v>989881.38317455351</v>
      </c>
      <c r="I5" s="11">
        <f t="shared" si="8"/>
        <v>3203.4996219241216</v>
      </c>
      <c r="J5" s="11">
        <f t="shared" si="9"/>
        <v>3155.4471275952596</v>
      </c>
      <c r="L5" s="21">
        <v>320</v>
      </c>
      <c r="M5" s="11">
        <v>1175908.2011863329</v>
      </c>
      <c r="N5" s="11">
        <v>-12697.215</v>
      </c>
      <c r="O5" s="11">
        <v>-100000</v>
      </c>
      <c r="Q5" s="11">
        <f t="shared" si="10"/>
        <v>1063210.9861863328</v>
      </c>
      <c r="R5" s="11">
        <f t="shared" si="11"/>
        <v>3322.5343318322898</v>
      </c>
      <c r="S5" s="739"/>
      <c r="T5" s="11">
        <f t="shared" si="12"/>
        <v>0</v>
      </c>
      <c r="V5" s="11">
        <f t="shared" si="0"/>
        <v>1009743.0808304831</v>
      </c>
      <c r="W5" s="11">
        <f t="shared" si="1"/>
        <v>0</v>
      </c>
      <c r="X5" s="11">
        <f t="shared" si="2"/>
        <v>-53467.905355849653</v>
      </c>
      <c r="Y5" s="11">
        <f t="shared" si="3"/>
        <v>-53200.565829070409</v>
      </c>
      <c r="Z5" s="11">
        <f t="shared" si="4"/>
        <v>-52933.226302291157</v>
      </c>
      <c r="AA5" s="11">
        <f t="shared" si="5"/>
        <v>-52665.886775511914</v>
      </c>
      <c r="AB5" s="11">
        <f t="shared" si="6"/>
        <v>-52398.547248732662</v>
      </c>
      <c r="AC5" s="11">
        <v>0</v>
      </c>
      <c r="AD5" s="11"/>
      <c r="AG5" s="30" t="s">
        <v>1033</v>
      </c>
      <c r="AI5" s="21"/>
      <c r="AP5" s="21"/>
    </row>
    <row r="6" spans="1:42" ht="12.75" x14ac:dyDescent="0.2">
      <c r="A6" s="9" t="s">
        <v>13</v>
      </c>
      <c r="B6" s="26">
        <v>2629</v>
      </c>
      <c r="C6" s="944">
        <v>431</v>
      </c>
      <c r="D6" s="11">
        <v>1844811.5671124442</v>
      </c>
      <c r="E6" s="11">
        <v>-31287.54</v>
      </c>
      <c r="F6" s="11">
        <v>-100000</v>
      </c>
      <c r="H6" s="11">
        <f t="shared" si="7"/>
        <v>1713524.0271124442</v>
      </c>
      <c r="I6" s="11">
        <f t="shared" si="8"/>
        <v>3975.6937984047427</v>
      </c>
      <c r="J6" s="11">
        <f t="shared" si="9"/>
        <v>3916.0583914286713</v>
      </c>
      <c r="L6" s="21">
        <v>478.5</v>
      </c>
      <c r="M6" s="11">
        <v>2061488.0415864617</v>
      </c>
      <c r="N6" s="11">
        <v>-89765.440000000002</v>
      </c>
      <c r="O6" s="11">
        <v>-100000</v>
      </c>
      <c r="Q6" s="11">
        <f t="shared" si="10"/>
        <v>1871722.6015864618</v>
      </c>
      <c r="R6" s="11">
        <f t="shared" si="11"/>
        <v>3911.645980326984</v>
      </c>
      <c r="S6" s="739"/>
      <c r="T6" s="11">
        <f t="shared" si="12"/>
        <v>2111.3387121574488</v>
      </c>
      <c r="V6" s="11">
        <f t="shared" si="0"/>
        <v>1873833.9402986192</v>
      </c>
      <c r="W6" s="11">
        <f t="shared" si="1"/>
        <v>2111.3387121574488</v>
      </c>
      <c r="X6" s="11">
        <f t="shared" si="2"/>
        <v>0</v>
      </c>
      <c r="Y6" s="11">
        <f t="shared" si="3"/>
        <v>0</v>
      </c>
      <c r="Z6" s="11">
        <f t="shared" si="4"/>
        <v>0</v>
      </c>
      <c r="AA6" s="11">
        <f t="shared" si="5"/>
        <v>0</v>
      </c>
      <c r="AB6" s="11">
        <f t="shared" si="6"/>
        <v>0</v>
      </c>
      <c r="AC6" s="11">
        <v>0</v>
      </c>
      <c r="AD6" s="11"/>
      <c r="AG6" s="30" t="s">
        <v>1034</v>
      </c>
      <c r="AI6" s="21"/>
      <c r="AP6" s="21"/>
    </row>
    <row r="7" spans="1:42" ht="12.75" x14ac:dyDescent="0.2">
      <c r="A7" s="9" t="s">
        <v>14</v>
      </c>
      <c r="B7" s="26">
        <v>2509</v>
      </c>
      <c r="C7" s="944">
        <v>195</v>
      </c>
      <c r="D7" s="11">
        <v>737166.55640841241</v>
      </c>
      <c r="E7" s="11">
        <v>-2482.17</v>
      </c>
      <c r="F7" s="11">
        <v>-100000</v>
      </c>
      <c r="H7" s="11">
        <f t="shared" si="7"/>
        <v>634684.38640841236</v>
      </c>
      <c r="I7" s="11">
        <f t="shared" si="8"/>
        <v>3254.7917251713457</v>
      </c>
      <c r="J7" s="11">
        <f t="shared" si="9"/>
        <v>3205.9698492937755</v>
      </c>
      <c r="L7" s="21">
        <v>206</v>
      </c>
      <c r="M7" s="11">
        <v>813068.52960146009</v>
      </c>
      <c r="N7" s="11">
        <v>-11565.779999999999</v>
      </c>
      <c r="O7" s="11">
        <v>-100000</v>
      </c>
      <c r="Q7" s="11">
        <f t="shared" si="10"/>
        <v>701502.74960146006</v>
      </c>
      <c r="R7" s="11">
        <f t="shared" si="11"/>
        <v>3405.3531534051458</v>
      </c>
      <c r="S7" s="739"/>
      <c r="T7" s="11">
        <f t="shared" si="12"/>
        <v>0</v>
      </c>
      <c r="V7" s="11">
        <f t="shared" si="0"/>
        <v>660429.7889545178</v>
      </c>
      <c r="W7" s="11">
        <f t="shared" si="1"/>
        <v>0</v>
      </c>
      <c r="X7" s="11">
        <f t="shared" si="2"/>
        <v>-41072.960646942258</v>
      </c>
      <c r="Y7" s="11">
        <f t="shared" si="3"/>
        <v>-40867.595843707546</v>
      </c>
      <c r="Z7" s="11">
        <f t="shared" si="4"/>
        <v>-40662.231040472841</v>
      </c>
      <c r="AA7" s="11">
        <f t="shared" si="5"/>
        <v>-40456.86623723813</v>
      </c>
      <c r="AB7" s="11">
        <f t="shared" si="6"/>
        <v>-40251.501434003418</v>
      </c>
      <c r="AC7" s="11">
        <v>0</v>
      </c>
      <c r="AD7" s="11"/>
      <c r="AG7" s="30" t="s">
        <v>1035</v>
      </c>
      <c r="AI7" s="21"/>
      <c r="AP7" s="21"/>
    </row>
    <row r="8" spans="1:42" ht="12.75" x14ac:dyDescent="0.2">
      <c r="A8" s="9" t="s">
        <v>15</v>
      </c>
      <c r="B8" s="26">
        <v>2005</v>
      </c>
      <c r="C8" s="944">
        <v>323</v>
      </c>
      <c r="D8" s="11">
        <v>1262947.9783585914</v>
      </c>
      <c r="E8" s="11">
        <v>-6447.2500000000009</v>
      </c>
      <c r="F8" s="11">
        <v>-100000</v>
      </c>
      <c r="H8" s="11">
        <f t="shared" si="7"/>
        <v>1156500.7283585914</v>
      </c>
      <c r="I8" s="11">
        <f t="shared" si="8"/>
        <v>3580.4976110173111</v>
      </c>
      <c r="J8" s="11">
        <f t="shared" si="9"/>
        <v>3526.7901468520513</v>
      </c>
      <c r="L8" s="21">
        <v>319</v>
      </c>
      <c r="M8" s="11">
        <v>1282378.1997812178</v>
      </c>
      <c r="N8" s="11">
        <v>-13954.365</v>
      </c>
      <c r="O8" s="11">
        <v>-100000</v>
      </c>
      <c r="Q8" s="11">
        <f t="shared" si="10"/>
        <v>1168423.8347812179</v>
      </c>
      <c r="R8" s="11">
        <f t="shared" si="11"/>
        <v>3662.7706419473916</v>
      </c>
      <c r="S8" s="739"/>
      <c r="T8" s="11">
        <f t="shared" si="12"/>
        <v>0</v>
      </c>
      <c r="V8" s="11">
        <f t="shared" si="0"/>
        <v>1125046.0568458044</v>
      </c>
      <c r="W8" s="11">
        <f t="shared" si="1"/>
        <v>0</v>
      </c>
      <c r="X8" s="11">
        <f t="shared" si="2"/>
        <v>-43377.777935413411</v>
      </c>
      <c r="Y8" s="11">
        <f t="shared" si="3"/>
        <v>-43160.889045736345</v>
      </c>
      <c r="Z8" s="11">
        <f t="shared" si="4"/>
        <v>-42944.000156059279</v>
      </c>
      <c r="AA8" s="11">
        <f t="shared" si="5"/>
        <v>-42727.111266382213</v>
      </c>
      <c r="AB8" s="11">
        <f t="shared" si="6"/>
        <v>-42510.22237670514</v>
      </c>
      <c r="AC8" s="11">
        <v>0</v>
      </c>
      <c r="AD8" s="11"/>
      <c r="AG8" s="30" t="s">
        <v>1036</v>
      </c>
      <c r="AI8" s="21"/>
      <c r="AP8" s="21"/>
    </row>
    <row r="9" spans="1:42" ht="12.75" x14ac:dyDescent="0.2">
      <c r="A9" s="9" t="s">
        <v>16</v>
      </c>
      <c r="B9" s="26">
        <v>2464</v>
      </c>
      <c r="C9" s="944">
        <v>192</v>
      </c>
      <c r="D9" s="11">
        <v>731723.98280112073</v>
      </c>
      <c r="E9" s="11">
        <v>578.09000000000015</v>
      </c>
      <c r="F9" s="11">
        <v>-100000</v>
      </c>
      <c r="H9" s="11">
        <f t="shared" si="7"/>
        <v>632302.0728011207</v>
      </c>
      <c r="I9" s="11">
        <f t="shared" si="8"/>
        <v>3293.239962505837</v>
      </c>
      <c r="J9" s="11">
        <f t="shared" si="9"/>
        <v>3243.8413630682494</v>
      </c>
      <c r="L9" s="21">
        <v>201</v>
      </c>
      <c r="M9" s="11">
        <v>736268.21159338614</v>
      </c>
      <c r="N9" s="11">
        <v>-10811.49</v>
      </c>
      <c r="O9" s="11">
        <v>-100000</v>
      </c>
      <c r="Q9" s="11">
        <f t="shared" si="10"/>
        <v>625456.72159338614</v>
      </c>
      <c r="R9" s="11">
        <f t="shared" si="11"/>
        <v>3111.7249830516726</v>
      </c>
      <c r="S9" s="739"/>
      <c r="T9" s="11">
        <f t="shared" si="12"/>
        <v>26555.392383332015</v>
      </c>
      <c r="V9" s="11">
        <f t="shared" si="0"/>
        <v>652012.11397671816</v>
      </c>
      <c r="W9" s="11">
        <f t="shared" si="1"/>
        <v>26555.392383332015</v>
      </c>
      <c r="X9" s="11">
        <f t="shared" si="2"/>
        <v>0</v>
      </c>
      <c r="Y9" s="11">
        <f t="shared" si="3"/>
        <v>0</v>
      </c>
      <c r="Z9" s="11">
        <f t="shared" si="4"/>
        <v>0</v>
      </c>
      <c r="AA9" s="11">
        <f t="shared" si="5"/>
        <v>0</v>
      </c>
      <c r="AB9" s="11">
        <f t="shared" si="6"/>
        <v>0</v>
      </c>
      <c r="AC9" s="11">
        <v>0</v>
      </c>
      <c r="AD9" s="11"/>
      <c r="AG9" s="30" t="s">
        <v>1037</v>
      </c>
      <c r="AI9" s="21"/>
      <c r="AP9" s="21"/>
    </row>
    <row r="10" spans="1:42" ht="12.75" x14ac:dyDescent="0.2">
      <c r="A10" s="9" t="s">
        <v>17</v>
      </c>
      <c r="B10" s="26">
        <v>2004</v>
      </c>
      <c r="C10" s="944">
        <v>272</v>
      </c>
      <c r="D10" s="11">
        <v>1224489.3925460253</v>
      </c>
      <c r="E10" s="11">
        <v>-198.68000000000029</v>
      </c>
      <c r="F10" s="11">
        <v>-100000</v>
      </c>
      <c r="H10" s="11">
        <f t="shared" si="7"/>
        <v>1124290.7125460254</v>
      </c>
      <c r="I10" s="11">
        <f t="shared" si="8"/>
        <v>4133.4217373015636</v>
      </c>
      <c r="J10" s="11">
        <f t="shared" si="9"/>
        <v>4071.4204112420402</v>
      </c>
      <c r="L10" s="21">
        <v>254</v>
      </c>
      <c r="M10" s="11">
        <v>1089731.2174195962</v>
      </c>
      <c r="N10" s="11">
        <v>-12571.5</v>
      </c>
      <c r="O10" s="11">
        <v>-100000</v>
      </c>
      <c r="Q10" s="11">
        <f t="shared" si="10"/>
        <v>977159.71741959616</v>
      </c>
      <c r="R10" s="11">
        <f t="shared" si="11"/>
        <v>3847.0855016519536</v>
      </c>
      <c r="S10" s="739"/>
      <c r="T10" s="11">
        <f t="shared" si="12"/>
        <v>56981.067035882035</v>
      </c>
      <c r="V10" s="11">
        <f t="shared" si="0"/>
        <v>1034140.7844554782</v>
      </c>
      <c r="W10" s="11">
        <f t="shared" si="1"/>
        <v>56981.067035882035</v>
      </c>
      <c r="X10" s="11">
        <f t="shared" si="2"/>
        <v>0</v>
      </c>
      <c r="Y10" s="11">
        <f t="shared" si="3"/>
        <v>0</v>
      </c>
      <c r="Z10" s="11">
        <f t="shared" si="4"/>
        <v>0</v>
      </c>
      <c r="AA10" s="11">
        <f t="shared" si="5"/>
        <v>0</v>
      </c>
      <c r="AB10" s="11">
        <f t="shared" si="6"/>
        <v>0</v>
      </c>
      <c r="AC10" s="11">
        <v>0</v>
      </c>
      <c r="AD10" s="11"/>
      <c r="AG10" s="30" t="s">
        <v>1038</v>
      </c>
      <c r="AI10" s="21"/>
      <c r="AP10" s="21"/>
    </row>
    <row r="11" spans="1:42" ht="12.75" x14ac:dyDescent="0.2">
      <c r="A11" s="9" t="s">
        <v>18</v>
      </c>
      <c r="B11" s="26">
        <v>2405</v>
      </c>
      <c r="C11" s="944">
        <v>201</v>
      </c>
      <c r="D11" s="11">
        <v>840531.59112886887</v>
      </c>
      <c r="E11" s="11">
        <v>5838.4700000000012</v>
      </c>
      <c r="F11" s="11">
        <v>-100000</v>
      </c>
      <c r="H11" s="11">
        <f t="shared" si="7"/>
        <v>746370.06112886884</v>
      </c>
      <c r="I11" s="11">
        <f t="shared" si="8"/>
        <v>3713.2838862132776</v>
      </c>
      <c r="J11" s="11">
        <f t="shared" si="9"/>
        <v>3657.5846279200782</v>
      </c>
      <c r="L11" s="21">
        <v>198</v>
      </c>
      <c r="M11" s="11">
        <v>857527.84243818093</v>
      </c>
      <c r="N11" s="11">
        <v>-10057.199999999999</v>
      </c>
      <c r="O11" s="11">
        <v>-100000</v>
      </c>
      <c r="Q11" s="11">
        <f t="shared" si="10"/>
        <v>747470.64243818098</v>
      </c>
      <c r="R11" s="11">
        <f t="shared" si="11"/>
        <v>3775.1042547382876</v>
      </c>
      <c r="S11" s="739"/>
      <c r="T11" s="11">
        <f t="shared" si="12"/>
        <v>0</v>
      </c>
      <c r="V11" s="11">
        <f t="shared" si="0"/>
        <v>724201.75632817554</v>
      </c>
      <c r="W11" s="11">
        <f t="shared" si="1"/>
        <v>0</v>
      </c>
      <c r="X11" s="11">
        <f t="shared" si="2"/>
        <v>-23268.886110005435</v>
      </c>
      <c r="Y11" s="11">
        <f t="shared" si="3"/>
        <v>-23152.541679455408</v>
      </c>
      <c r="Z11" s="11">
        <f t="shared" si="4"/>
        <v>-23036.197248905381</v>
      </c>
      <c r="AA11" s="11">
        <f t="shared" si="5"/>
        <v>-22919.852818355354</v>
      </c>
      <c r="AB11" s="11">
        <f t="shared" si="6"/>
        <v>-22803.508387805326</v>
      </c>
      <c r="AC11" s="11">
        <v>0</v>
      </c>
      <c r="AD11" s="11"/>
      <c r="AG11" s="30" t="s">
        <v>1039</v>
      </c>
      <c r="AI11" s="21"/>
      <c r="AP11" s="21"/>
    </row>
    <row r="12" spans="1:42" ht="12.75" x14ac:dyDescent="0.2">
      <c r="A12" s="9" t="s">
        <v>95</v>
      </c>
      <c r="B12" s="26">
        <v>2011</v>
      </c>
      <c r="C12" s="944">
        <v>214</v>
      </c>
      <c r="D12" s="11">
        <v>796493.36502541089</v>
      </c>
      <c r="E12" s="11">
        <v>-4856.0499999999993</v>
      </c>
      <c r="F12" s="11">
        <v>-100000</v>
      </c>
      <c r="H12" s="11">
        <f t="shared" si="7"/>
        <v>691637.31502541085</v>
      </c>
      <c r="I12" s="11">
        <f t="shared" si="8"/>
        <v>3231.9500702122004</v>
      </c>
      <c r="J12" s="11">
        <f t="shared" si="9"/>
        <v>3183.4708191590175</v>
      </c>
      <c r="L12" s="21">
        <v>211</v>
      </c>
      <c r="M12" s="11">
        <v>806204.87355073448</v>
      </c>
      <c r="N12" s="11">
        <v>-4953.1709999999985</v>
      </c>
      <c r="O12" s="11">
        <v>-100000</v>
      </c>
      <c r="Q12" s="11">
        <f t="shared" si="10"/>
        <v>701251.70255073451</v>
      </c>
      <c r="R12" s="11">
        <f t="shared" si="11"/>
        <v>3323.4677846006375</v>
      </c>
      <c r="S12" s="739"/>
      <c r="T12" s="11">
        <f t="shared" si="12"/>
        <v>0</v>
      </c>
      <c r="V12" s="11">
        <f t="shared" si="0"/>
        <v>671712.34284255269</v>
      </c>
      <c r="W12" s="11">
        <f t="shared" si="1"/>
        <v>0</v>
      </c>
      <c r="X12" s="11">
        <f t="shared" si="2"/>
        <v>-29539.359708181815</v>
      </c>
      <c r="Y12" s="11">
        <f t="shared" si="3"/>
        <v>-29391.662909640905</v>
      </c>
      <c r="Z12" s="11">
        <f t="shared" si="4"/>
        <v>-29243.966111099995</v>
      </c>
      <c r="AA12" s="11">
        <f t="shared" si="5"/>
        <v>-29096.269312559089</v>
      </c>
      <c r="AB12" s="11">
        <f t="shared" si="6"/>
        <v>-28948.572514018178</v>
      </c>
      <c r="AC12" s="11">
        <v>0</v>
      </c>
      <c r="AD12" s="11"/>
      <c r="AG12" s="30" t="s">
        <v>1040</v>
      </c>
      <c r="AI12" s="21"/>
      <c r="AP12" s="21"/>
    </row>
    <row r="13" spans="1:42" ht="12.75" x14ac:dyDescent="0.2">
      <c r="A13" s="9" t="s">
        <v>20</v>
      </c>
      <c r="B13" s="26">
        <v>5201</v>
      </c>
      <c r="C13" s="944">
        <v>419</v>
      </c>
      <c r="D13" s="11">
        <v>1263072.0269810278</v>
      </c>
      <c r="E13" s="11">
        <v>496.40000000000146</v>
      </c>
      <c r="F13" s="11">
        <v>-100000</v>
      </c>
      <c r="H13" s="11">
        <f t="shared" si="7"/>
        <v>1163568.4269810277</v>
      </c>
      <c r="I13" s="11">
        <f t="shared" si="8"/>
        <v>2777.0129522220232</v>
      </c>
      <c r="J13" s="11">
        <f t="shared" si="9"/>
        <v>2735.3577579386929</v>
      </c>
      <c r="L13" s="21">
        <v>414</v>
      </c>
      <c r="M13" s="11">
        <v>1306113.1415402493</v>
      </c>
      <c r="N13" s="11">
        <v>-16915.239999999998</v>
      </c>
      <c r="O13" s="11">
        <v>-100000</v>
      </c>
      <c r="Q13" s="11">
        <f t="shared" si="10"/>
        <v>1189197.9015402494</v>
      </c>
      <c r="R13" s="11">
        <f t="shared" si="11"/>
        <v>2872.4586993725829</v>
      </c>
      <c r="S13" s="739"/>
      <c r="T13" s="11">
        <f t="shared" si="12"/>
        <v>0</v>
      </c>
      <c r="V13" s="11">
        <f t="shared" si="0"/>
        <v>1132438.1117866188</v>
      </c>
      <c r="W13" s="11">
        <f t="shared" si="1"/>
        <v>0</v>
      </c>
      <c r="X13" s="11">
        <f t="shared" si="2"/>
        <v>-56759.789753630525</v>
      </c>
      <c r="Y13" s="11">
        <f t="shared" si="3"/>
        <v>-56475.990804862369</v>
      </c>
      <c r="Z13" s="11">
        <f t="shared" si="4"/>
        <v>-56192.191856094221</v>
      </c>
      <c r="AA13" s="11">
        <f t="shared" si="5"/>
        <v>-55908.392907326066</v>
      </c>
      <c r="AB13" s="11">
        <f t="shared" si="6"/>
        <v>-55624.593958557918</v>
      </c>
      <c r="AC13" s="11">
        <v>0</v>
      </c>
      <c r="AD13" s="11"/>
      <c r="AG13" s="30" t="s">
        <v>1042</v>
      </c>
      <c r="AI13" s="21"/>
      <c r="AP13" s="21"/>
    </row>
    <row r="14" spans="1:42" ht="12.75" x14ac:dyDescent="0.2">
      <c r="A14" s="9" t="s">
        <v>96</v>
      </c>
      <c r="B14" s="26">
        <v>2007</v>
      </c>
      <c r="C14" s="944">
        <v>304</v>
      </c>
      <c r="D14" s="11">
        <v>1247236.3551036895</v>
      </c>
      <c r="E14" s="11">
        <v>-2514.2999999999993</v>
      </c>
      <c r="F14" s="11">
        <v>-100000</v>
      </c>
      <c r="H14" s="11">
        <f t="shared" si="7"/>
        <v>1144722.0551036894</v>
      </c>
      <c r="I14" s="11">
        <f t="shared" si="8"/>
        <v>3765.5330759989783</v>
      </c>
      <c r="J14" s="11">
        <f t="shared" si="9"/>
        <v>3709.0500798589937</v>
      </c>
      <c r="L14" s="21">
        <v>343</v>
      </c>
      <c r="M14" s="11">
        <v>1399391.0499591203</v>
      </c>
      <c r="N14" s="11">
        <v>-2564.5859999999993</v>
      </c>
      <c r="O14" s="11">
        <v>-100000</v>
      </c>
      <c r="Q14" s="11">
        <f t="shared" si="10"/>
        <v>1296826.4639591204</v>
      </c>
      <c r="R14" s="11">
        <f t="shared" si="11"/>
        <v>3780.8351718924796</v>
      </c>
      <c r="S14" s="739"/>
      <c r="T14" s="11">
        <f t="shared" si="12"/>
        <v>0</v>
      </c>
      <c r="V14" s="11">
        <f t="shared" si="0"/>
        <v>1272204.1773916348</v>
      </c>
      <c r="W14" s="11">
        <f t="shared" si="1"/>
        <v>0</v>
      </c>
      <c r="X14" s="11">
        <f t="shared" si="2"/>
        <v>-24622.286567485658</v>
      </c>
      <c r="Y14" s="11">
        <f t="shared" si="3"/>
        <v>-24499.175134648231</v>
      </c>
      <c r="Z14" s="11">
        <f t="shared" si="4"/>
        <v>-24376.063701810803</v>
      </c>
      <c r="AA14" s="11">
        <f t="shared" si="5"/>
        <v>-24252.952268973375</v>
      </c>
      <c r="AB14" s="11">
        <f t="shared" si="6"/>
        <v>-24129.840836135947</v>
      </c>
      <c r="AC14" s="11">
        <v>0</v>
      </c>
      <c r="AD14" s="11"/>
      <c r="AG14" s="30" t="s">
        <v>1043</v>
      </c>
      <c r="AI14" s="21"/>
      <c r="AP14" s="21"/>
    </row>
    <row r="15" spans="1:42" ht="12.75" x14ac:dyDescent="0.2">
      <c r="A15" s="9" t="s">
        <v>21</v>
      </c>
      <c r="B15" s="26">
        <v>2433</v>
      </c>
      <c r="C15" s="944">
        <v>172</v>
      </c>
      <c r="D15" s="11">
        <v>739157.53749075125</v>
      </c>
      <c r="E15" s="11">
        <v>-1085.7350000000006</v>
      </c>
      <c r="F15" s="11">
        <v>-100000</v>
      </c>
      <c r="H15" s="11">
        <f t="shared" si="7"/>
        <v>638071.80249075126</v>
      </c>
      <c r="I15" s="11">
        <f t="shared" si="8"/>
        <v>3709.7197819229723</v>
      </c>
      <c r="J15" s="11">
        <f t="shared" si="9"/>
        <v>3654.0739851941275</v>
      </c>
      <c r="L15" s="21">
        <v>166</v>
      </c>
      <c r="M15" s="11">
        <v>657097.12518354307</v>
      </c>
      <c r="N15" s="11">
        <v>-7040.04</v>
      </c>
      <c r="O15" s="11">
        <v>-100000</v>
      </c>
      <c r="Q15" s="11">
        <f t="shared" si="10"/>
        <v>550057.08518354304</v>
      </c>
      <c r="R15" s="11">
        <f t="shared" si="11"/>
        <v>3313.5968986960424</v>
      </c>
      <c r="S15" s="739"/>
      <c r="T15" s="11">
        <f t="shared" si="12"/>
        <v>56519.196358682122</v>
      </c>
      <c r="V15" s="11">
        <f t="shared" si="0"/>
        <v>606576.28154222516</v>
      </c>
      <c r="W15" s="11">
        <f t="shared" si="1"/>
        <v>56519.196358682122</v>
      </c>
      <c r="X15" s="11">
        <f t="shared" si="2"/>
        <v>0</v>
      </c>
      <c r="Y15" s="11">
        <f t="shared" si="3"/>
        <v>0</v>
      </c>
      <c r="Z15" s="11">
        <f t="shared" si="4"/>
        <v>0</v>
      </c>
      <c r="AA15" s="11">
        <f t="shared" si="5"/>
        <v>0</v>
      </c>
      <c r="AB15" s="11">
        <f t="shared" si="6"/>
        <v>0</v>
      </c>
      <c r="AC15" s="11">
        <v>0</v>
      </c>
      <c r="AD15" s="11"/>
      <c r="AG15" s="30" t="s">
        <v>1045</v>
      </c>
      <c r="AI15" s="21"/>
      <c r="AP15" s="21"/>
    </row>
    <row r="16" spans="1:42" s="11" customFormat="1" ht="12.75" x14ac:dyDescent="0.2">
      <c r="A16" s="9" t="s">
        <v>22</v>
      </c>
      <c r="B16" s="26">
        <v>2432</v>
      </c>
      <c r="C16" s="944">
        <v>205</v>
      </c>
      <c r="D16" s="11">
        <v>818071.09130723553</v>
      </c>
      <c r="E16" s="11">
        <v>-1085.7350000000006</v>
      </c>
      <c r="F16" s="11">
        <v>-100000</v>
      </c>
      <c r="H16" s="11">
        <f t="shared" si="7"/>
        <v>716985.35630723555</v>
      </c>
      <c r="I16" s="11">
        <f t="shared" si="8"/>
        <v>3497.4895429621247</v>
      </c>
      <c r="J16" s="11">
        <f t="shared" si="9"/>
        <v>3445.0271998176927</v>
      </c>
      <c r="L16" s="21">
        <v>204</v>
      </c>
      <c r="M16" s="11">
        <v>802991.70213737607</v>
      </c>
      <c r="N16" s="11">
        <v>-7040.04</v>
      </c>
      <c r="O16" s="11">
        <v>-100000</v>
      </c>
      <c r="Q16" s="11">
        <f t="shared" si="10"/>
        <v>695951.66213737603</v>
      </c>
      <c r="R16" s="11">
        <f t="shared" si="11"/>
        <v>3411.5277555753728</v>
      </c>
      <c r="S16" s="739"/>
      <c r="T16" s="11">
        <f t="shared" si="12"/>
        <v>6833.8866254332243</v>
      </c>
      <c r="V16" s="11">
        <f t="shared" si="0"/>
        <v>702785.54876280925</v>
      </c>
      <c r="W16" s="11">
        <f t="shared" si="1"/>
        <v>6833.8866254332243</v>
      </c>
      <c r="X16" s="11">
        <f t="shared" si="2"/>
        <v>0</v>
      </c>
      <c r="Y16" s="11">
        <f t="shared" si="3"/>
        <v>0</v>
      </c>
      <c r="Z16" s="11">
        <f t="shared" si="4"/>
        <v>0</v>
      </c>
      <c r="AA16" s="11">
        <f t="shared" si="5"/>
        <v>0</v>
      </c>
      <c r="AB16" s="11">
        <f t="shared" si="6"/>
        <v>0</v>
      </c>
      <c r="AC16" s="11">
        <v>0</v>
      </c>
      <c r="AE16" s="30"/>
      <c r="AF16" s="30"/>
      <c r="AG16" s="30" t="s">
        <v>1046</v>
      </c>
      <c r="AH16" s="30"/>
      <c r="AI16" s="21"/>
      <c r="AJ16" s="30"/>
      <c r="AK16" s="30"/>
      <c r="AL16" s="30"/>
      <c r="AM16" s="30"/>
      <c r="AN16" s="30"/>
      <c r="AO16" s="30"/>
      <c r="AP16" s="21"/>
    </row>
    <row r="17" spans="1:42" s="11" customFormat="1" ht="12.75" x14ac:dyDescent="0.2">
      <c r="A17" s="9" t="s">
        <v>188</v>
      </c>
      <c r="B17" s="26">
        <v>2447</v>
      </c>
      <c r="C17" s="944">
        <v>419</v>
      </c>
      <c r="D17" s="11">
        <v>1561708.9618653208</v>
      </c>
      <c r="E17" s="11">
        <v>-6946.92</v>
      </c>
      <c r="F17" s="982">
        <v>-100000</v>
      </c>
      <c r="H17" s="11">
        <f t="shared" si="7"/>
        <v>1454762.0418653209</v>
      </c>
      <c r="I17" s="11">
        <f t="shared" si="8"/>
        <v>3471.9857801081644</v>
      </c>
      <c r="J17" s="11">
        <f t="shared" si="9"/>
        <v>3419.9059934065417</v>
      </c>
      <c r="L17" s="21">
        <v>424</v>
      </c>
      <c r="M17" s="11">
        <v>1520825.8637669377</v>
      </c>
      <c r="N17" s="11">
        <v>-16594.379999999997</v>
      </c>
      <c r="O17" s="982">
        <v>-100000</v>
      </c>
      <c r="Q17" s="11">
        <f t="shared" si="10"/>
        <v>1404231.4837669379</v>
      </c>
      <c r="R17" s="11">
        <f t="shared" si="11"/>
        <v>3311.8667069974949</v>
      </c>
      <c r="S17" s="739"/>
      <c r="T17" s="11">
        <f t="shared" si="12"/>
        <v>45808.657437435817</v>
      </c>
      <c r="U17" s="982"/>
      <c r="V17" s="11">
        <f t="shared" si="0"/>
        <v>1450040.1412043737</v>
      </c>
      <c r="W17" s="11">
        <f t="shared" si="1"/>
        <v>45808.657437435817</v>
      </c>
      <c r="X17" s="11">
        <f t="shared" si="2"/>
        <v>0</v>
      </c>
      <c r="Y17" s="11">
        <f t="shared" si="3"/>
        <v>0</v>
      </c>
      <c r="Z17" s="11">
        <f t="shared" si="4"/>
        <v>0</v>
      </c>
      <c r="AA17" s="11">
        <f t="shared" si="5"/>
        <v>0</v>
      </c>
      <c r="AB17" s="11">
        <f t="shared" si="6"/>
        <v>0</v>
      </c>
      <c r="AC17" s="11">
        <v>0</v>
      </c>
      <c r="AG17" s="30" t="s">
        <v>1047</v>
      </c>
      <c r="AH17" s="30"/>
      <c r="AI17" s="21"/>
      <c r="AN17" s="30"/>
      <c r="AO17" s="30"/>
      <c r="AP17" s="21"/>
    </row>
    <row r="18" spans="1:42" s="11" customFormat="1" ht="12.75" x14ac:dyDescent="0.2">
      <c r="A18" s="9" t="s">
        <v>23</v>
      </c>
      <c r="B18" s="26">
        <v>2512</v>
      </c>
      <c r="C18" s="944">
        <v>206</v>
      </c>
      <c r="D18" s="11">
        <v>701364.57414320181</v>
      </c>
      <c r="E18" s="11">
        <v>-12531.54</v>
      </c>
      <c r="F18" s="11">
        <v>-100000</v>
      </c>
      <c r="H18" s="11">
        <f t="shared" si="7"/>
        <v>588833.03414320177</v>
      </c>
      <c r="I18" s="11">
        <f t="shared" si="8"/>
        <v>2858.4127871029214</v>
      </c>
      <c r="J18" s="11">
        <f t="shared" si="9"/>
        <v>2815.5365952963775</v>
      </c>
      <c r="L18" s="21">
        <v>213</v>
      </c>
      <c r="M18" s="11">
        <v>734432.30821682466</v>
      </c>
      <c r="N18" s="11">
        <v>-15337.23</v>
      </c>
      <c r="O18" s="11">
        <v>-100000</v>
      </c>
      <c r="Q18" s="11">
        <f t="shared" si="10"/>
        <v>619095.07821682468</v>
      </c>
      <c r="R18" s="11">
        <f t="shared" si="11"/>
        <v>2906.5496629897871</v>
      </c>
      <c r="S18" s="739"/>
      <c r="T18" s="11">
        <f t="shared" si="12"/>
        <v>0</v>
      </c>
      <c r="V18" s="11">
        <f t="shared" si="0"/>
        <v>599709.29479812842</v>
      </c>
      <c r="W18" s="11">
        <f t="shared" si="1"/>
        <v>0</v>
      </c>
      <c r="X18" s="11">
        <f t="shared" si="2"/>
        <v>-19385.783418696257</v>
      </c>
      <c r="Y18" s="11">
        <f t="shared" si="3"/>
        <v>-19288.854501602775</v>
      </c>
      <c r="Z18" s="11">
        <f t="shared" si="4"/>
        <v>-19191.925584509296</v>
      </c>
      <c r="AA18" s="11">
        <f t="shared" si="5"/>
        <v>-19094.996667415813</v>
      </c>
      <c r="AB18" s="11">
        <f t="shared" si="6"/>
        <v>-18998.067750322334</v>
      </c>
      <c r="AC18" s="11">
        <v>0</v>
      </c>
      <c r="AG18" s="30" t="s">
        <v>1048</v>
      </c>
      <c r="AH18" s="30"/>
      <c r="AI18" s="21"/>
      <c r="AN18" s="30"/>
      <c r="AO18" s="30"/>
      <c r="AP18" s="21"/>
    </row>
    <row r="19" spans="1:42" s="11" customFormat="1" ht="12.75" x14ac:dyDescent="0.2">
      <c r="A19" s="9" t="s">
        <v>24</v>
      </c>
      <c r="B19" s="26">
        <v>2456</v>
      </c>
      <c r="C19" s="944">
        <v>179</v>
      </c>
      <c r="D19" s="11">
        <v>616546.33503174852</v>
      </c>
      <c r="E19" s="11">
        <v>-4975.5</v>
      </c>
      <c r="F19" s="11">
        <v>-100000</v>
      </c>
      <c r="H19" s="11">
        <f t="shared" si="7"/>
        <v>511570.83503174852</v>
      </c>
      <c r="I19" s="11">
        <f t="shared" si="8"/>
        <v>2857.9376258756902</v>
      </c>
      <c r="J19" s="11">
        <f t="shared" si="9"/>
        <v>2815.0685614875547</v>
      </c>
      <c r="L19" s="21">
        <v>176</v>
      </c>
      <c r="M19" s="11">
        <v>635203.05462228355</v>
      </c>
      <c r="N19" s="11">
        <v>-8568.6999999999989</v>
      </c>
      <c r="O19" s="11">
        <v>-100000</v>
      </c>
      <c r="Q19" s="11">
        <f t="shared" si="10"/>
        <v>526634.3546222836</v>
      </c>
      <c r="R19" s="11">
        <f t="shared" si="11"/>
        <v>2992.240651262975</v>
      </c>
      <c r="S19" s="739"/>
      <c r="T19" s="11">
        <f t="shared" si="12"/>
        <v>0</v>
      </c>
      <c r="V19" s="11">
        <f t="shared" si="0"/>
        <v>495452.06682180963</v>
      </c>
      <c r="W19" s="11">
        <f t="shared" si="1"/>
        <v>0</v>
      </c>
      <c r="X19" s="11">
        <f t="shared" si="2"/>
        <v>-31182.287800473976</v>
      </c>
      <c r="Y19" s="11">
        <f t="shared" si="3"/>
        <v>-31026.376361471608</v>
      </c>
      <c r="Z19" s="11">
        <f t="shared" si="4"/>
        <v>-30870.464922469237</v>
      </c>
      <c r="AA19" s="11">
        <f t="shared" si="5"/>
        <v>-30714.553483466869</v>
      </c>
      <c r="AB19" s="11">
        <f t="shared" si="6"/>
        <v>-30558.642044464497</v>
      </c>
      <c r="AC19" s="11">
        <v>0</v>
      </c>
      <c r="AG19" s="30" t="s">
        <v>1049</v>
      </c>
      <c r="AH19" s="30"/>
      <c r="AI19" s="21"/>
      <c r="AN19" s="30"/>
      <c r="AO19" s="30"/>
      <c r="AP19" s="21"/>
    </row>
    <row r="20" spans="1:42" s="11" customFormat="1" ht="12.75" x14ac:dyDescent="0.2">
      <c r="A20" s="9" t="s">
        <v>25</v>
      </c>
      <c r="B20" s="26">
        <v>2449</v>
      </c>
      <c r="C20" s="944">
        <v>270</v>
      </c>
      <c r="D20" s="11">
        <v>904864.95523750631</v>
      </c>
      <c r="E20" s="11">
        <v>3729.0200000000004</v>
      </c>
      <c r="F20" s="11">
        <v>-100000</v>
      </c>
      <c r="H20" s="11">
        <f t="shared" si="7"/>
        <v>808593.97523750633</v>
      </c>
      <c r="I20" s="11">
        <f t="shared" si="8"/>
        <v>2994.7925008796528</v>
      </c>
      <c r="J20" s="11">
        <f t="shared" si="9"/>
        <v>2949.8706133664582</v>
      </c>
      <c r="L20" s="21">
        <v>267</v>
      </c>
      <c r="M20" s="11">
        <v>912972.20222180523</v>
      </c>
      <c r="N20" s="11">
        <v>-11772.84</v>
      </c>
      <c r="O20" s="11">
        <v>-100000</v>
      </c>
      <c r="Q20" s="11">
        <f t="shared" si="10"/>
        <v>801199.36222180526</v>
      </c>
      <c r="R20" s="11">
        <f t="shared" si="11"/>
        <v>3000.7466749880346</v>
      </c>
      <c r="S20" s="739"/>
      <c r="T20" s="11">
        <f t="shared" si="12"/>
        <v>0</v>
      </c>
      <c r="V20" s="11">
        <f t="shared" si="0"/>
        <v>787615.45376884437</v>
      </c>
      <c r="W20" s="11">
        <f t="shared" si="1"/>
        <v>0</v>
      </c>
      <c r="X20" s="11">
        <f t="shared" si="2"/>
        <v>-13583.908452960895</v>
      </c>
      <c r="Y20" s="11">
        <f t="shared" si="3"/>
        <v>-13515.988910696091</v>
      </c>
      <c r="Z20" s="11">
        <f t="shared" si="4"/>
        <v>-13448.069368431286</v>
      </c>
      <c r="AA20" s="11">
        <f t="shared" si="5"/>
        <v>-13380.149826166482</v>
      </c>
      <c r="AB20" s="11">
        <f t="shared" si="6"/>
        <v>-13312.230283901677</v>
      </c>
      <c r="AC20" s="11">
        <v>0</v>
      </c>
      <c r="AG20" s="30" t="s">
        <v>1050</v>
      </c>
      <c r="AH20" s="30"/>
      <c r="AI20" s="21"/>
      <c r="AN20" s="30"/>
      <c r="AO20" s="30"/>
      <c r="AP20" s="21"/>
    </row>
    <row r="21" spans="1:42" s="11" customFormat="1" ht="12.75" x14ac:dyDescent="0.2">
      <c r="A21" s="9" t="s">
        <v>26</v>
      </c>
      <c r="B21" s="26">
        <v>2448</v>
      </c>
      <c r="C21" s="944">
        <v>334</v>
      </c>
      <c r="D21" s="11">
        <v>1132561.3022385533</v>
      </c>
      <c r="E21" s="11">
        <v>3805.6899999999987</v>
      </c>
      <c r="F21" s="11">
        <v>-100000</v>
      </c>
      <c r="H21" s="11">
        <f t="shared" si="7"/>
        <v>1036366.9922385532</v>
      </c>
      <c r="I21" s="11">
        <f t="shared" si="8"/>
        <v>3102.8951863429738</v>
      </c>
      <c r="J21" s="11">
        <f t="shared" si="9"/>
        <v>3056.3517585478294</v>
      </c>
      <c r="L21" s="21">
        <v>345</v>
      </c>
      <c r="M21" s="11">
        <v>1203229.6953369458</v>
      </c>
      <c r="N21" s="11">
        <v>-23723.16</v>
      </c>
      <c r="O21" s="11">
        <v>-100000</v>
      </c>
      <c r="Q21" s="11">
        <f t="shared" si="10"/>
        <v>1079506.5353369459</v>
      </c>
      <c r="R21" s="11">
        <f t="shared" si="11"/>
        <v>3129.0044502520173</v>
      </c>
      <c r="S21" s="739"/>
      <c r="T21" s="11">
        <f t="shared" si="12"/>
        <v>0</v>
      </c>
      <c r="V21" s="11">
        <f t="shared" si="0"/>
        <v>1054441.356699001</v>
      </c>
      <c r="W21" s="11">
        <f t="shared" si="1"/>
        <v>0</v>
      </c>
      <c r="X21" s="11">
        <f t="shared" si="2"/>
        <v>-25065.17863794486</v>
      </c>
      <c r="Y21" s="11">
        <f t="shared" si="3"/>
        <v>-24939.852744755135</v>
      </c>
      <c r="Z21" s="11">
        <f t="shared" si="4"/>
        <v>-24814.52685156541</v>
      </c>
      <c r="AA21" s="11">
        <f t="shared" si="5"/>
        <v>-24689.200958375688</v>
      </c>
      <c r="AB21" s="11">
        <f t="shared" si="6"/>
        <v>-24563.875065185963</v>
      </c>
      <c r="AC21" s="11">
        <v>0</v>
      </c>
      <c r="AG21" s="30" t="s">
        <v>1051</v>
      </c>
      <c r="AH21" s="30"/>
      <c r="AI21" s="21"/>
      <c r="AN21" s="30"/>
      <c r="AO21" s="30"/>
      <c r="AP21" s="21"/>
    </row>
    <row r="22" spans="1:42" s="11" customFormat="1" ht="12.75" x14ac:dyDescent="0.2">
      <c r="A22" s="9" t="s">
        <v>126</v>
      </c>
      <c r="B22" s="26">
        <v>2467</v>
      </c>
      <c r="C22" s="944">
        <v>349</v>
      </c>
      <c r="D22" s="11">
        <v>1227766.5939492981</v>
      </c>
      <c r="E22" s="11">
        <v>-434.30000000000109</v>
      </c>
      <c r="F22" s="11">
        <v>-100000</v>
      </c>
      <c r="H22" s="11">
        <f t="shared" si="7"/>
        <v>1127332.2939492981</v>
      </c>
      <c r="I22" s="11">
        <f t="shared" si="8"/>
        <v>3230.1784926913983</v>
      </c>
      <c r="J22" s="11">
        <f t="shared" si="9"/>
        <v>3181.7258153010275</v>
      </c>
      <c r="L22" s="21">
        <v>338</v>
      </c>
      <c r="M22" s="11">
        <v>1174931.3454748767</v>
      </c>
      <c r="N22" s="11">
        <v>-11314.349999999999</v>
      </c>
      <c r="O22" s="11">
        <v>-100000</v>
      </c>
      <c r="Q22" s="11">
        <f t="shared" si="10"/>
        <v>1063616.9954748766</v>
      </c>
      <c r="R22" s="11">
        <f t="shared" si="11"/>
        <v>3146.7958446002267</v>
      </c>
      <c r="S22" s="739"/>
      <c r="T22" s="11">
        <f t="shared" si="12"/>
        <v>11806.330096870661</v>
      </c>
      <c r="V22" s="11">
        <f t="shared" si="0"/>
        <v>1075423.3255717473</v>
      </c>
      <c r="W22" s="11">
        <f t="shared" si="1"/>
        <v>11806.330096870661</v>
      </c>
      <c r="X22" s="11">
        <f t="shared" si="2"/>
        <v>0</v>
      </c>
      <c r="Y22" s="11">
        <f t="shared" si="3"/>
        <v>0</v>
      </c>
      <c r="Z22" s="11">
        <f t="shared" si="4"/>
        <v>0</v>
      </c>
      <c r="AA22" s="11">
        <f t="shared" si="5"/>
        <v>0</v>
      </c>
      <c r="AB22" s="11">
        <f t="shared" si="6"/>
        <v>0</v>
      </c>
      <c r="AC22" s="11">
        <v>0</v>
      </c>
      <c r="AG22" s="30" t="s">
        <v>1052</v>
      </c>
      <c r="AH22" s="30"/>
      <c r="AI22" s="21"/>
      <c r="AN22" s="30"/>
      <c r="AO22" s="30"/>
      <c r="AP22" s="21"/>
    </row>
    <row r="23" spans="1:42" s="11" customFormat="1" ht="12.75" x14ac:dyDescent="0.2">
      <c r="A23" s="9" t="s">
        <v>28</v>
      </c>
      <c r="B23" s="26">
        <v>2455</v>
      </c>
      <c r="C23" s="944">
        <v>351</v>
      </c>
      <c r="D23" s="11">
        <v>1105904.5268823537</v>
      </c>
      <c r="E23" s="11">
        <v>-19769.71</v>
      </c>
      <c r="F23" s="11">
        <v>-100000</v>
      </c>
      <c r="H23" s="11">
        <f t="shared" si="7"/>
        <v>986134.81688235374</v>
      </c>
      <c r="I23" s="11">
        <f t="shared" si="8"/>
        <v>2809.5009027987285</v>
      </c>
      <c r="J23" s="11">
        <f t="shared" si="9"/>
        <v>2767.3583892567476</v>
      </c>
      <c r="L23" s="21">
        <v>354</v>
      </c>
      <c r="M23" s="11">
        <v>1159008.5597319552</v>
      </c>
      <c r="N23" s="11">
        <v>-25143</v>
      </c>
      <c r="O23" s="11">
        <v>-100000</v>
      </c>
      <c r="Q23" s="11">
        <f t="shared" si="10"/>
        <v>1033865.5597319552</v>
      </c>
      <c r="R23" s="11">
        <f t="shared" si="11"/>
        <v>2920.5241800337717</v>
      </c>
      <c r="S23" s="739"/>
      <c r="T23" s="11">
        <f t="shared" si="12"/>
        <v>0</v>
      </c>
      <c r="V23" s="11">
        <f t="shared" si="0"/>
        <v>979644.86979688867</v>
      </c>
      <c r="W23" s="11">
        <f t="shared" si="1"/>
        <v>0</v>
      </c>
      <c r="X23" s="11">
        <f t="shared" si="2"/>
        <v>-54220.689935066504</v>
      </c>
      <c r="Y23" s="11">
        <f t="shared" si="3"/>
        <v>-53949.58648539117</v>
      </c>
      <c r="Z23" s="11">
        <f t="shared" si="4"/>
        <v>-53678.483035715835</v>
      </c>
      <c r="AA23" s="11">
        <f t="shared" si="5"/>
        <v>-53407.379586040508</v>
      </c>
      <c r="AB23" s="11">
        <f t="shared" si="6"/>
        <v>-53136.276136365173</v>
      </c>
      <c r="AC23" s="11">
        <v>0</v>
      </c>
      <c r="AG23" s="30" t="s">
        <v>1053</v>
      </c>
      <c r="AH23" s="30"/>
      <c r="AI23" s="21"/>
      <c r="AN23" s="30"/>
      <c r="AO23" s="30"/>
      <c r="AP23" s="21"/>
    </row>
    <row r="24" spans="1:42" s="11" customFormat="1" ht="12.75" x14ac:dyDescent="0.2">
      <c r="A24" s="9" t="s">
        <v>29</v>
      </c>
      <c r="B24" s="26">
        <v>5203</v>
      </c>
      <c r="C24" s="944">
        <v>485</v>
      </c>
      <c r="D24" s="11">
        <v>1485622.7295909501</v>
      </c>
      <c r="E24" s="11">
        <v>-4706.051999999996</v>
      </c>
      <c r="F24" s="11">
        <v>-100000</v>
      </c>
      <c r="H24" s="11">
        <f t="shared" si="7"/>
        <v>1380916.6775909502</v>
      </c>
      <c r="I24" s="11">
        <f t="shared" si="8"/>
        <v>2847.250881630825</v>
      </c>
      <c r="J24" s="11">
        <f t="shared" si="9"/>
        <v>2804.5421184063625</v>
      </c>
      <c r="L24" s="21">
        <v>491</v>
      </c>
      <c r="M24" s="11">
        <v>1538114.0606964612</v>
      </c>
      <c r="N24" s="11">
        <v>-4877.7419999999984</v>
      </c>
      <c r="O24" s="11">
        <v>-100000</v>
      </c>
      <c r="Q24" s="11">
        <f t="shared" si="10"/>
        <v>1433236.3186964612</v>
      </c>
      <c r="R24" s="11">
        <f t="shared" si="11"/>
        <v>2919.0149056954401</v>
      </c>
      <c r="S24" s="739"/>
      <c r="T24" s="11">
        <f t="shared" si="12"/>
        <v>0</v>
      </c>
      <c r="V24" s="11">
        <f t="shared" si="0"/>
        <v>1377030.1801375239</v>
      </c>
      <c r="W24" s="11">
        <f t="shared" si="1"/>
        <v>0</v>
      </c>
      <c r="X24" s="11">
        <f t="shared" si="2"/>
        <v>-56206.138558937237</v>
      </c>
      <c r="Y24" s="11">
        <f t="shared" si="3"/>
        <v>-55925.107866142549</v>
      </c>
      <c r="Z24" s="11">
        <f t="shared" si="4"/>
        <v>-55644.077173347861</v>
      </c>
      <c r="AA24" s="11">
        <f t="shared" si="5"/>
        <v>-55363.046480553174</v>
      </c>
      <c r="AB24" s="11">
        <f t="shared" si="6"/>
        <v>-55082.015787758486</v>
      </c>
      <c r="AC24" s="11">
        <v>0</v>
      </c>
      <c r="AG24" s="30" t="s">
        <v>1054</v>
      </c>
      <c r="AH24" s="30"/>
      <c r="AI24" s="21"/>
      <c r="AN24" s="30"/>
      <c r="AO24" s="30"/>
      <c r="AP24" s="21"/>
    </row>
    <row r="25" spans="1:42" s="11" customFormat="1" ht="12.75" x14ac:dyDescent="0.2">
      <c r="A25" s="9" t="s">
        <v>30</v>
      </c>
      <c r="B25" s="26">
        <v>2451</v>
      </c>
      <c r="C25" s="944">
        <v>472</v>
      </c>
      <c r="D25" s="11">
        <v>1484569.6138552281</v>
      </c>
      <c r="E25" s="11">
        <v>-16102.75</v>
      </c>
      <c r="F25" s="11">
        <v>-100000</v>
      </c>
      <c r="H25" s="11">
        <f t="shared" si="7"/>
        <v>1368466.8638552281</v>
      </c>
      <c r="I25" s="11">
        <f t="shared" si="8"/>
        <v>2899.2942030831105</v>
      </c>
      <c r="J25" s="11">
        <f t="shared" si="9"/>
        <v>2855.8047900368638</v>
      </c>
      <c r="L25" s="21">
        <v>508</v>
      </c>
      <c r="M25" s="11">
        <v>1632161.5473959474</v>
      </c>
      <c r="N25" s="11">
        <v>-22880.129999999997</v>
      </c>
      <c r="O25" s="11">
        <v>-100000</v>
      </c>
      <c r="Q25" s="11">
        <f t="shared" si="10"/>
        <v>1509281.4173959475</v>
      </c>
      <c r="R25" s="11">
        <f t="shared" si="11"/>
        <v>2971.0264121967471</v>
      </c>
      <c r="S25" s="739"/>
      <c r="T25" s="11">
        <f t="shared" si="12"/>
        <v>0</v>
      </c>
      <c r="V25" s="11">
        <f t="shared" si="0"/>
        <v>1450748.8333387268</v>
      </c>
      <c r="W25" s="11">
        <f t="shared" si="1"/>
        <v>0</v>
      </c>
      <c r="X25" s="11">
        <f t="shared" si="2"/>
        <v>-58532.584057220723</v>
      </c>
      <c r="Y25" s="11">
        <f t="shared" si="3"/>
        <v>-58239.921136934616</v>
      </c>
      <c r="Z25" s="11">
        <f t="shared" si="4"/>
        <v>-57947.258216648515</v>
      </c>
      <c r="AA25" s="11">
        <f t="shared" si="5"/>
        <v>-57654.595296362408</v>
      </c>
      <c r="AB25" s="11">
        <f t="shared" si="6"/>
        <v>-57361.932376076307</v>
      </c>
      <c r="AC25" s="11">
        <v>0</v>
      </c>
      <c r="AG25" s="30" t="s">
        <v>1056</v>
      </c>
      <c r="AH25" s="30"/>
      <c r="AI25" s="21"/>
      <c r="AN25" s="30"/>
      <c r="AO25" s="30"/>
      <c r="AP25" s="21"/>
    </row>
    <row r="26" spans="1:42" s="11" customFormat="1" ht="12.75" x14ac:dyDescent="0.2">
      <c r="A26" s="9" t="s">
        <v>31</v>
      </c>
      <c r="B26" s="26">
        <v>2409</v>
      </c>
      <c r="C26" s="944">
        <v>552</v>
      </c>
      <c r="D26" s="11">
        <v>2142376.264196224</v>
      </c>
      <c r="E26" s="11">
        <v>-13006.14</v>
      </c>
      <c r="F26" s="11">
        <v>-100000</v>
      </c>
      <c r="H26" s="11">
        <f t="shared" si="7"/>
        <v>2029370.1241962239</v>
      </c>
      <c r="I26" s="11">
        <f t="shared" si="8"/>
        <v>3676.395152529391</v>
      </c>
      <c r="J26" s="11">
        <f t="shared" si="9"/>
        <v>3621.2492252414499</v>
      </c>
      <c r="L26" s="21">
        <v>544</v>
      </c>
      <c r="M26" s="11">
        <v>2058543.020017761</v>
      </c>
      <c r="N26" s="11">
        <v>-29920.17</v>
      </c>
      <c r="O26" s="11">
        <v>-100000</v>
      </c>
      <c r="Q26" s="11">
        <f t="shared" si="10"/>
        <v>1928622.8500177611</v>
      </c>
      <c r="R26" s="11">
        <f t="shared" si="11"/>
        <v>3545.262591944414</v>
      </c>
      <c r="S26" s="739"/>
      <c r="T26" s="11">
        <f t="shared" si="12"/>
        <v>41336.728513587732</v>
      </c>
      <c r="V26" s="11">
        <f t="shared" si="0"/>
        <v>1969959.5785313488</v>
      </c>
      <c r="W26" s="11">
        <f t="shared" si="1"/>
        <v>41336.728513587732</v>
      </c>
      <c r="X26" s="11">
        <f t="shared" si="2"/>
        <v>0</v>
      </c>
      <c r="Y26" s="11">
        <f t="shared" si="3"/>
        <v>0</v>
      </c>
      <c r="Z26" s="11">
        <f t="shared" si="4"/>
        <v>0</v>
      </c>
      <c r="AA26" s="11">
        <f t="shared" si="5"/>
        <v>0</v>
      </c>
      <c r="AB26" s="11">
        <f t="shared" si="6"/>
        <v>0</v>
      </c>
      <c r="AC26" s="11">
        <v>0</v>
      </c>
      <c r="AG26" s="30" t="s">
        <v>1057</v>
      </c>
      <c r="AH26" s="30"/>
      <c r="AI26" s="21"/>
      <c r="AN26" s="30"/>
      <c r="AO26" s="30"/>
      <c r="AP26" s="21"/>
    </row>
    <row r="27" spans="1:42" s="11" customFormat="1" ht="12.75" x14ac:dyDescent="0.2">
      <c r="A27" s="9" t="s">
        <v>98</v>
      </c>
      <c r="B27" s="26">
        <v>3158</v>
      </c>
      <c r="C27" s="944">
        <v>120</v>
      </c>
      <c r="D27" s="11">
        <v>569345.0596576602</v>
      </c>
      <c r="E27" s="11">
        <v>660.3439999999996</v>
      </c>
      <c r="F27" s="11">
        <v>-100000</v>
      </c>
      <c r="H27" s="11">
        <f t="shared" si="7"/>
        <v>470005.40365766024</v>
      </c>
      <c r="I27" s="11">
        <f t="shared" si="8"/>
        <v>3916.7116971471687</v>
      </c>
      <c r="J27" s="11">
        <f t="shared" si="9"/>
        <v>3857.9610216899609</v>
      </c>
      <c r="L27" s="21">
        <v>120</v>
      </c>
      <c r="M27" s="11">
        <v>582369.88941502851</v>
      </c>
      <c r="N27" s="11">
        <v>-1080.6759999999997</v>
      </c>
      <c r="O27" s="11">
        <v>-100000</v>
      </c>
      <c r="Q27" s="11">
        <f t="shared" si="10"/>
        <v>481289.21341502853</v>
      </c>
      <c r="R27" s="11">
        <f t="shared" si="11"/>
        <v>4010.7434451252379</v>
      </c>
      <c r="S27" s="739"/>
      <c r="T27" s="11">
        <f t="shared" si="12"/>
        <v>0</v>
      </c>
      <c r="V27" s="11">
        <f t="shared" si="0"/>
        <v>462955.32260279532</v>
      </c>
      <c r="W27" s="11">
        <f t="shared" si="1"/>
        <v>0</v>
      </c>
      <c r="X27" s="11">
        <f t="shared" si="2"/>
        <v>-18333.890812233207</v>
      </c>
      <c r="Y27" s="11">
        <f t="shared" si="3"/>
        <v>-18242.221358172043</v>
      </c>
      <c r="Z27" s="11">
        <f t="shared" si="4"/>
        <v>-18150.551904110875</v>
      </c>
      <c r="AA27" s="11">
        <f t="shared" si="5"/>
        <v>-18058.88245004971</v>
      </c>
      <c r="AB27" s="11">
        <f t="shared" si="6"/>
        <v>-17967.212995988542</v>
      </c>
      <c r="AC27" s="11">
        <v>0</v>
      </c>
      <c r="AG27" s="30" t="s">
        <v>1058</v>
      </c>
      <c r="AH27" s="30"/>
      <c r="AI27" s="21"/>
      <c r="AN27" s="30"/>
      <c r="AO27" s="30"/>
      <c r="AP27" s="21"/>
    </row>
    <row r="28" spans="1:42" s="11" customFormat="1" ht="12.75" x14ac:dyDescent="0.2">
      <c r="A28" s="9" t="s">
        <v>32</v>
      </c>
      <c r="B28" s="26">
        <v>2619</v>
      </c>
      <c r="C28" s="944">
        <v>204</v>
      </c>
      <c r="D28" s="11">
        <v>906883.82676396391</v>
      </c>
      <c r="E28" s="11">
        <v>4900.5400000000009</v>
      </c>
      <c r="F28" s="11">
        <v>-100000</v>
      </c>
      <c r="H28" s="11">
        <f t="shared" si="7"/>
        <v>811784.36676396395</v>
      </c>
      <c r="I28" s="11">
        <f t="shared" si="8"/>
        <v>3979.3351311959018</v>
      </c>
      <c r="J28" s="11">
        <f t="shared" si="9"/>
        <v>3919.6451042279632</v>
      </c>
      <c r="L28" s="21">
        <v>221.08333333333331</v>
      </c>
      <c r="M28" s="11">
        <v>974621.10293014685</v>
      </c>
      <c r="N28" s="11">
        <v>-20491.544999999998</v>
      </c>
      <c r="O28" s="11">
        <v>-100000</v>
      </c>
      <c r="Q28" s="11">
        <f t="shared" si="10"/>
        <v>854129.55793014681</v>
      </c>
      <c r="R28" s="11">
        <f t="shared" si="11"/>
        <v>3863.3828477805364</v>
      </c>
      <c r="S28" s="739"/>
      <c r="T28" s="11">
        <f t="shared" si="12"/>
        <v>12438.647196252015</v>
      </c>
      <c r="V28" s="11">
        <f t="shared" si="0"/>
        <v>866568.20512639883</v>
      </c>
      <c r="W28" s="11">
        <f t="shared" si="1"/>
        <v>12438.647196252015</v>
      </c>
      <c r="X28" s="11">
        <f t="shared" si="2"/>
        <v>0</v>
      </c>
      <c r="Y28" s="11">
        <f t="shared" si="3"/>
        <v>0</v>
      </c>
      <c r="Z28" s="11">
        <f t="shared" si="4"/>
        <v>0</v>
      </c>
      <c r="AA28" s="11">
        <f t="shared" si="5"/>
        <v>0</v>
      </c>
      <c r="AB28" s="11">
        <f t="shared" si="6"/>
        <v>0</v>
      </c>
      <c r="AC28" s="11">
        <v>0</v>
      </c>
      <c r="AG28" s="30" t="s">
        <v>1059</v>
      </c>
      <c r="AH28" s="30"/>
      <c r="AI28" s="21"/>
      <c r="AN28" s="30"/>
      <c r="AO28" s="30"/>
      <c r="AP28" s="21"/>
    </row>
    <row r="29" spans="1:42" s="11" customFormat="1" ht="12.75" x14ac:dyDescent="0.2">
      <c r="A29" s="9" t="s">
        <v>33</v>
      </c>
      <c r="B29" s="26">
        <v>2518</v>
      </c>
      <c r="C29" s="944">
        <v>340</v>
      </c>
      <c r="D29" s="11">
        <v>1508314.0545060947</v>
      </c>
      <c r="E29" s="11">
        <v>5774.2099999999991</v>
      </c>
      <c r="F29" s="11">
        <v>-100000</v>
      </c>
      <c r="H29" s="11">
        <f t="shared" si="7"/>
        <v>1414088.2645060946</v>
      </c>
      <c r="I29" s="11">
        <f t="shared" si="8"/>
        <v>4159.0831309002779</v>
      </c>
      <c r="J29" s="11">
        <f t="shared" si="9"/>
        <v>4096.6968839367737</v>
      </c>
      <c r="L29" s="21">
        <v>315</v>
      </c>
      <c r="M29" s="11">
        <v>1431020.4094292598</v>
      </c>
      <c r="N29" s="11">
        <v>-8201.4699999999993</v>
      </c>
      <c r="O29" s="11">
        <v>-100000</v>
      </c>
      <c r="Q29" s="11">
        <f t="shared" si="10"/>
        <v>1322818.9394292599</v>
      </c>
      <c r="R29" s="11">
        <f t="shared" si="11"/>
        <v>4199.4252045373332</v>
      </c>
      <c r="S29" s="739"/>
      <c r="T29" s="11">
        <f t="shared" si="12"/>
        <v>0</v>
      </c>
      <c r="V29" s="11">
        <f t="shared" si="0"/>
        <v>1290459.5184400836</v>
      </c>
      <c r="W29" s="11">
        <f t="shared" si="1"/>
        <v>0</v>
      </c>
      <c r="X29" s="11">
        <f t="shared" si="2"/>
        <v>-32359.420989176258</v>
      </c>
      <c r="Y29" s="11">
        <f t="shared" si="3"/>
        <v>-32197.623884230379</v>
      </c>
      <c r="Z29" s="11">
        <f t="shared" si="4"/>
        <v>-32035.826779284496</v>
      </c>
      <c r="AA29" s="11">
        <f t="shared" si="5"/>
        <v>-31874.029674338617</v>
      </c>
      <c r="AB29" s="11">
        <f t="shared" si="6"/>
        <v>-31712.232569392734</v>
      </c>
      <c r="AC29" s="11">
        <v>0</v>
      </c>
      <c r="AG29" s="30" t="s">
        <v>1060</v>
      </c>
      <c r="AH29" s="30"/>
      <c r="AI29" s="21"/>
      <c r="AN29" s="30"/>
      <c r="AO29" s="30"/>
      <c r="AP29" s="21"/>
    </row>
    <row r="30" spans="1:42" s="11" customFormat="1" ht="12.75" x14ac:dyDescent="0.2">
      <c r="A30" s="9" t="s">
        <v>34</v>
      </c>
      <c r="B30" s="26">
        <v>2457</v>
      </c>
      <c r="C30" s="944">
        <v>362</v>
      </c>
      <c r="D30" s="11">
        <v>1191595.9269630609</v>
      </c>
      <c r="E30" s="11">
        <v>6855.8300000000017</v>
      </c>
      <c r="F30" s="11">
        <v>-100000</v>
      </c>
      <c r="H30" s="11">
        <f t="shared" si="7"/>
        <v>1098451.7569630609</v>
      </c>
      <c r="I30" s="11">
        <f t="shared" si="8"/>
        <v>3034.3971186824888</v>
      </c>
      <c r="J30" s="11">
        <f t="shared" si="9"/>
        <v>2988.8811619022513</v>
      </c>
      <c r="L30" s="21">
        <v>366</v>
      </c>
      <c r="M30" s="11">
        <v>1251643.3005385024</v>
      </c>
      <c r="N30" s="11">
        <v>-15965.804999999998</v>
      </c>
      <c r="O30" s="11">
        <v>-100000</v>
      </c>
      <c r="Q30" s="11">
        <f t="shared" si="10"/>
        <v>1135677.4955385025</v>
      </c>
      <c r="R30" s="11">
        <f t="shared" si="11"/>
        <v>3102.9439768811544</v>
      </c>
      <c r="S30" s="739"/>
      <c r="T30" s="11">
        <f t="shared" si="12"/>
        <v>0</v>
      </c>
      <c r="V30" s="11">
        <f t="shared" si="0"/>
        <v>1093930.505256224</v>
      </c>
      <c r="W30" s="11">
        <f t="shared" si="1"/>
        <v>0</v>
      </c>
      <c r="X30" s="11">
        <f t="shared" si="2"/>
        <v>-41746.990282278508</v>
      </c>
      <c r="Y30" s="11">
        <f t="shared" si="3"/>
        <v>-41538.255330867112</v>
      </c>
      <c r="Z30" s="11">
        <f t="shared" si="4"/>
        <v>-41329.520379455724</v>
      </c>
      <c r="AA30" s="11">
        <f t="shared" si="5"/>
        <v>-41120.785428044328</v>
      </c>
      <c r="AB30" s="11">
        <f t="shared" si="6"/>
        <v>-40912.050476632932</v>
      </c>
      <c r="AC30" s="11">
        <v>0</v>
      </c>
      <c r="AG30" s="30" t="s">
        <v>1061</v>
      </c>
      <c r="AH30" s="30"/>
      <c r="AI30" s="21"/>
      <c r="AN30" s="30"/>
      <c r="AO30" s="30"/>
      <c r="AP30" s="21"/>
    </row>
    <row r="31" spans="1:42" s="11" customFormat="1" ht="12.75" x14ac:dyDescent="0.2">
      <c r="A31" s="9" t="s">
        <v>99</v>
      </c>
      <c r="B31" s="26">
        <v>2010</v>
      </c>
      <c r="C31" s="944">
        <v>204</v>
      </c>
      <c r="D31" s="11">
        <v>916198.71110382397</v>
      </c>
      <c r="E31" s="11">
        <v>-2933.3499999999985</v>
      </c>
      <c r="F31" s="11">
        <v>-100000</v>
      </c>
      <c r="H31" s="11">
        <f t="shared" si="7"/>
        <v>813265.36110382399</v>
      </c>
      <c r="I31" s="11">
        <f t="shared" si="8"/>
        <v>3986.5949073716861</v>
      </c>
      <c r="J31" s="11">
        <f t="shared" si="9"/>
        <v>3926.7959837611106</v>
      </c>
      <c r="L31" s="21">
        <v>211</v>
      </c>
      <c r="M31" s="11">
        <v>880373.2445518797</v>
      </c>
      <c r="N31" s="11">
        <v>-2992.0169999999998</v>
      </c>
      <c r="O31" s="11">
        <v>-100000</v>
      </c>
      <c r="Q31" s="11">
        <f t="shared" si="10"/>
        <v>777381.22755187971</v>
      </c>
      <c r="R31" s="983">
        <f t="shared" si="11"/>
        <v>3684.2712206250221</v>
      </c>
      <c r="S31" s="739"/>
      <c r="T31" s="11">
        <f t="shared" si="12"/>
        <v>51172.725021714577</v>
      </c>
      <c r="V31" s="11">
        <f t="shared" si="0"/>
        <v>828553.95257359429</v>
      </c>
      <c r="W31" s="11">
        <f t="shared" si="1"/>
        <v>51172.725021714577</v>
      </c>
      <c r="X31" s="11">
        <f t="shared" si="2"/>
        <v>0</v>
      </c>
      <c r="Y31" s="11">
        <f t="shared" si="3"/>
        <v>0</v>
      </c>
      <c r="Z31" s="11">
        <f t="shared" si="4"/>
        <v>0</v>
      </c>
      <c r="AA31" s="11">
        <f t="shared" si="5"/>
        <v>0</v>
      </c>
      <c r="AB31" s="11">
        <f t="shared" si="6"/>
        <v>0</v>
      </c>
      <c r="AC31" s="11">
        <v>0</v>
      </c>
      <c r="AG31" s="30" t="s">
        <v>1062</v>
      </c>
      <c r="AH31" s="30"/>
      <c r="AI31" s="21"/>
      <c r="AN31" s="30"/>
      <c r="AO31" s="30"/>
      <c r="AP31" s="21"/>
    </row>
    <row r="32" spans="1:42" s="11" customFormat="1" ht="12.75" x14ac:dyDescent="0.2">
      <c r="A32" s="9" t="s">
        <v>35</v>
      </c>
      <c r="B32" s="26">
        <v>2002</v>
      </c>
      <c r="C32" s="944">
        <v>430</v>
      </c>
      <c r="D32" s="11">
        <v>1306612.914981606</v>
      </c>
      <c r="E32" s="11">
        <v>-32356.980000000003</v>
      </c>
      <c r="F32" s="11">
        <v>-100000</v>
      </c>
      <c r="H32" s="11">
        <f t="shared" si="7"/>
        <v>1174255.934981606</v>
      </c>
      <c r="I32" s="11">
        <f t="shared" si="8"/>
        <v>2730.8277557711767</v>
      </c>
      <c r="J32" s="11">
        <f t="shared" si="9"/>
        <v>2689.8653394346088</v>
      </c>
      <c r="L32" s="21">
        <v>430</v>
      </c>
      <c r="M32" s="11">
        <v>1347217.2640777263</v>
      </c>
      <c r="N32" s="11">
        <v>-44000.25</v>
      </c>
      <c r="O32" s="11">
        <v>-100000</v>
      </c>
      <c r="Q32" s="11">
        <f t="shared" si="10"/>
        <v>1203217.0140777263</v>
      </c>
      <c r="R32" s="11">
        <f t="shared" si="11"/>
        <v>2798.1791025063403</v>
      </c>
      <c r="S32" s="739"/>
      <c r="T32" s="11">
        <f t="shared" si="12"/>
        <v>0</v>
      </c>
      <c r="V32" s="11">
        <f t="shared" si="0"/>
        <v>1156642.0959568818</v>
      </c>
      <c r="W32" s="11">
        <f t="shared" si="1"/>
        <v>0</v>
      </c>
      <c r="X32" s="11">
        <f t="shared" si="2"/>
        <v>-46574.918120844522</v>
      </c>
      <c r="Y32" s="11">
        <f t="shared" si="3"/>
        <v>-46342.043530240298</v>
      </c>
      <c r="Z32" s="11">
        <f t="shared" si="4"/>
        <v>-46109.168939636082</v>
      </c>
      <c r="AA32" s="11">
        <f t="shared" si="5"/>
        <v>-45876.294349031858</v>
      </c>
      <c r="AB32" s="11">
        <f t="shared" si="6"/>
        <v>-45643.419758427633</v>
      </c>
      <c r="AC32" s="11">
        <v>0</v>
      </c>
      <c r="AG32" s="30" t="s">
        <v>1064</v>
      </c>
      <c r="AH32" s="30"/>
      <c r="AI32" s="21"/>
      <c r="AN32" s="30"/>
      <c r="AO32" s="30"/>
      <c r="AP32" s="21"/>
    </row>
    <row r="33" spans="1:42" s="11" customFormat="1" ht="12.75" x14ac:dyDescent="0.2">
      <c r="A33" s="9" t="s">
        <v>36</v>
      </c>
      <c r="B33" s="26">
        <v>3544</v>
      </c>
      <c r="C33" s="944">
        <v>537</v>
      </c>
      <c r="D33" s="11">
        <v>2309798.6775681116</v>
      </c>
      <c r="E33" s="11">
        <v>11719.740000000005</v>
      </c>
      <c r="F33" s="11">
        <v>-100000</v>
      </c>
      <c r="H33" s="11">
        <f t="shared" si="7"/>
        <v>2221518.4175681118</v>
      </c>
      <c r="I33" s="11">
        <f t="shared" si="8"/>
        <v>4136.9058055272098</v>
      </c>
      <c r="J33" s="11">
        <f t="shared" si="9"/>
        <v>4074.8522184443018</v>
      </c>
      <c r="L33" s="21">
        <v>532</v>
      </c>
      <c r="M33" s="11">
        <v>2330644.4066033894</v>
      </c>
      <c r="N33" s="11">
        <v>-58331.759999999995</v>
      </c>
      <c r="O33" s="11">
        <v>-100000</v>
      </c>
      <c r="Q33" s="11">
        <f t="shared" si="10"/>
        <v>2172312.6466033896</v>
      </c>
      <c r="R33" s="11">
        <f t="shared" si="11"/>
        <v>4083.2944485026119</v>
      </c>
      <c r="S33" s="739"/>
      <c r="T33" s="11">
        <f t="shared" si="12"/>
        <v>0</v>
      </c>
      <c r="V33" s="11">
        <f t="shared" si="0"/>
        <v>2167821.3802123684</v>
      </c>
      <c r="W33" s="11">
        <f t="shared" si="1"/>
        <v>0</v>
      </c>
      <c r="X33" s="11">
        <f t="shared" si="2"/>
        <v>-4491.2663910211995</v>
      </c>
      <c r="Y33" s="11">
        <f t="shared" si="3"/>
        <v>-4468.8100590660933</v>
      </c>
      <c r="Z33" s="11">
        <f t="shared" si="4"/>
        <v>-4446.3537271109881</v>
      </c>
      <c r="AA33" s="11">
        <f t="shared" si="5"/>
        <v>-4423.8973951558819</v>
      </c>
      <c r="AB33" s="11">
        <f t="shared" si="6"/>
        <v>-4401.4410632007757</v>
      </c>
      <c r="AC33" s="11">
        <v>0</v>
      </c>
      <c r="AG33" s="30" t="s">
        <v>1065</v>
      </c>
      <c r="AH33" s="30"/>
      <c r="AI33" s="21"/>
      <c r="AN33" s="30"/>
      <c r="AO33" s="30"/>
      <c r="AP33" s="21"/>
    </row>
    <row r="34" spans="1:42" s="11" customFormat="1" ht="12.75" x14ac:dyDescent="0.2">
      <c r="A34" s="9" t="s">
        <v>100</v>
      </c>
      <c r="B34" s="26">
        <v>2006</v>
      </c>
      <c r="C34" s="944">
        <v>263</v>
      </c>
      <c r="D34" s="11">
        <v>834717.88655776239</v>
      </c>
      <c r="E34" s="11">
        <v>-14577.75</v>
      </c>
      <c r="F34" s="11">
        <v>-100000</v>
      </c>
      <c r="H34" s="11">
        <f t="shared" si="7"/>
        <v>720140.13655776239</v>
      </c>
      <c r="I34" s="11">
        <f t="shared" si="8"/>
        <v>2738.1754241740014</v>
      </c>
      <c r="J34" s="11">
        <f t="shared" si="9"/>
        <v>2697.1027928113913</v>
      </c>
      <c r="L34" s="21">
        <v>288</v>
      </c>
      <c r="M34" s="11">
        <v>910836.17156619253</v>
      </c>
      <c r="N34" s="11">
        <v>-25897.289999999997</v>
      </c>
      <c r="O34" s="11">
        <v>-100000</v>
      </c>
      <c r="Q34" s="11">
        <f t="shared" si="10"/>
        <v>784938.88156619249</v>
      </c>
      <c r="R34" s="11">
        <f t="shared" si="11"/>
        <v>2725.4822276603904</v>
      </c>
      <c r="S34" s="739"/>
      <c r="T34" s="11">
        <f t="shared" si="12"/>
        <v>0</v>
      </c>
      <c r="V34" s="11">
        <f t="shared" si="0"/>
        <v>776765.60432968067</v>
      </c>
      <c r="W34" s="11">
        <f t="shared" si="1"/>
        <v>0</v>
      </c>
      <c r="X34" s="11">
        <f t="shared" si="2"/>
        <v>-8173.2772365118144</v>
      </c>
      <c r="Y34" s="11">
        <f t="shared" si="3"/>
        <v>-8132.4108503292546</v>
      </c>
      <c r="Z34" s="11">
        <f t="shared" si="4"/>
        <v>-8091.5444641466956</v>
      </c>
      <c r="AA34" s="11">
        <f t="shared" si="5"/>
        <v>-8050.6780779641367</v>
      </c>
      <c r="AB34" s="11">
        <f t="shared" si="6"/>
        <v>-8009.8116917815778</v>
      </c>
      <c r="AC34" s="11">
        <v>0</v>
      </c>
      <c r="AG34" s="30" t="s">
        <v>1066</v>
      </c>
      <c r="AH34" s="30"/>
      <c r="AI34" s="21"/>
      <c r="AN34" s="30"/>
      <c r="AO34" s="30"/>
      <c r="AP34" s="21"/>
    </row>
    <row r="35" spans="1:42" s="11" customFormat="1" ht="12.75" x14ac:dyDescent="0.2">
      <c r="A35" s="9" t="s">
        <v>37</v>
      </c>
      <c r="B35" s="26">
        <v>2434</v>
      </c>
      <c r="C35" s="944">
        <v>461</v>
      </c>
      <c r="D35" s="11">
        <v>1910387.2379764381</v>
      </c>
      <c r="E35" s="11">
        <v>6126.8600000000006</v>
      </c>
      <c r="F35" s="11">
        <v>-100000</v>
      </c>
      <c r="H35" s="11">
        <f t="shared" si="7"/>
        <v>1816514.0979764382</v>
      </c>
      <c r="I35" s="11">
        <f t="shared" si="8"/>
        <v>3940.3776528773064</v>
      </c>
      <c r="J35" s="11">
        <f t="shared" si="9"/>
        <v>3881.2719880841469</v>
      </c>
      <c r="L35" s="21">
        <v>527.5</v>
      </c>
      <c r="M35" s="11">
        <v>2105399.0716371485</v>
      </c>
      <c r="N35" s="11">
        <v>-44251.68</v>
      </c>
      <c r="O35" s="11">
        <v>-100000</v>
      </c>
      <c r="Q35" s="11">
        <f t="shared" si="10"/>
        <v>1961147.3916371486</v>
      </c>
      <c r="R35" s="11">
        <f t="shared" si="11"/>
        <v>3717.8149604495707</v>
      </c>
      <c r="S35" s="739"/>
      <c r="T35" s="11">
        <f t="shared" si="12"/>
        <v>86223.582077238942</v>
      </c>
      <c r="V35" s="11">
        <f t="shared" si="0"/>
        <v>2047370.9737143875</v>
      </c>
      <c r="W35" s="11">
        <f t="shared" si="1"/>
        <v>86223.582077238942</v>
      </c>
      <c r="X35" s="11">
        <f t="shared" si="2"/>
        <v>0</v>
      </c>
      <c r="Y35" s="11">
        <f t="shared" si="3"/>
        <v>0</v>
      </c>
      <c r="Z35" s="11">
        <f t="shared" si="4"/>
        <v>0</v>
      </c>
      <c r="AA35" s="11">
        <f t="shared" si="5"/>
        <v>0</v>
      </c>
      <c r="AB35" s="11">
        <f t="shared" si="6"/>
        <v>0</v>
      </c>
      <c r="AC35" s="11">
        <v>0</v>
      </c>
      <c r="AG35" s="30" t="s">
        <v>1067</v>
      </c>
      <c r="AH35" s="30"/>
      <c r="AI35" s="21"/>
      <c r="AN35" s="30"/>
      <c r="AO35" s="30"/>
      <c r="AP35" s="21"/>
    </row>
    <row r="36" spans="1:42" s="11" customFormat="1" ht="12.75" x14ac:dyDescent="0.2">
      <c r="A36" s="9" t="s">
        <v>38</v>
      </c>
      <c r="B36" s="26">
        <v>2522</v>
      </c>
      <c r="C36" s="944">
        <v>388</v>
      </c>
      <c r="D36" s="11">
        <v>1160654.7519757382</v>
      </c>
      <c r="E36" s="11">
        <v>4196.25</v>
      </c>
      <c r="F36" s="11">
        <v>-100000</v>
      </c>
      <c r="H36" s="11">
        <f t="shared" si="7"/>
        <v>1064851.0019757382</v>
      </c>
      <c r="I36" s="11">
        <f t="shared" si="8"/>
        <v>2744.4613452982944</v>
      </c>
      <c r="J36" s="11">
        <f t="shared" si="9"/>
        <v>2703.2944251188201</v>
      </c>
      <c r="L36" s="21">
        <v>395</v>
      </c>
      <c r="M36" s="11">
        <v>1246567.3595724779</v>
      </c>
      <c r="N36" s="11">
        <v>-13954.365</v>
      </c>
      <c r="O36" s="11">
        <v>-100000</v>
      </c>
      <c r="Q36" s="11">
        <f t="shared" si="10"/>
        <v>1132612.9945724779</v>
      </c>
      <c r="R36" s="11">
        <f t="shared" si="11"/>
        <v>2867.3746698037417</v>
      </c>
      <c r="S36" s="739"/>
      <c r="T36" s="11">
        <f t="shared" si="12"/>
        <v>0</v>
      </c>
      <c r="V36" s="11">
        <f t="shared" si="0"/>
        <v>1067801.2979219339</v>
      </c>
      <c r="W36" s="11">
        <f t="shared" si="1"/>
        <v>0</v>
      </c>
      <c r="X36" s="11">
        <f t="shared" si="2"/>
        <v>-64811.696650543949</v>
      </c>
      <c r="Y36" s="11">
        <f t="shared" si="3"/>
        <v>-64487.638167291225</v>
      </c>
      <c r="Z36" s="11">
        <f t="shared" si="4"/>
        <v>-64163.579684038508</v>
      </c>
      <c r="AA36" s="11">
        <f t="shared" si="5"/>
        <v>-63839.521200785784</v>
      </c>
      <c r="AB36" s="11">
        <f t="shared" si="6"/>
        <v>-63515.462717533068</v>
      </c>
      <c r="AC36" s="11">
        <v>0</v>
      </c>
      <c r="AG36" s="30" t="s">
        <v>1068</v>
      </c>
      <c r="AH36" s="30"/>
      <c r="AI36" s="21"/>
      <c r="AN36" s="30"/>
      <c r="AO36" s="30"/>
      <c r="AP36" s="21"/>
    </row>
    <row r="37" spans="1:42" s="11" customFormat="1" ht="12.75" x14ac:dyDescent="0.2">
      <c r="A37" s="9" t="s">
        <v>39</v>
      </c>
      <c r="B37" s="26">
        <v>2436</v>
      </c>
      <c r="C37" s="944">
        <v>336</v>
      </c>
      <c r="D37" s="11">
        <v>1090412.4578405006</v>
      </c>
      <c r="E37" s="11">
        <v>-7637.3099999999995</v>
      </c>
      <c r="F37" s="11">
        <v>-100000</v>
      </c>
      <c r="H37" s="11">
        <f t="shared" si="7"/>
        <v>982775.14784050058</v>
      </c>
      <c r="I37" s="11">
        <f t="shared" si="8"/>
        <v>2924.926035239585</v>
      </c>
      <c r="J37" s="11">
        <f t="shared" si="9"/>
        <v>2881.0521447109913</v>
      </c>
      <c r="L37" s="21">
        <v>347</v>
      </c>
      <c r="M37" s="11">
        <v>1160997.2443943305</v>
      </c>
      <c r="N37" s="11">
        <v>-13200.074999999999</v>
      </c>
      <c r="O37" s="11">
        <v>-100000</v>
      </c>
      <c r="Q37" s="11">
        <f t="shared" si="10"/>
        <v>1047797.1693943306</v>
      </c>
      <c r="R37" s="11">
        <f t="shared" si="11"/>
        <v>3019.5883844217019</v>
      </c>
      <c r="S37" s="739"/>
      <c r="T37" s="11">
        <f t="shared" si="12"/>
        <v>0</v>
      </c>
      <c r="V37" s="11">
        <f t="shared" si="0"/>
        <v>999725.09421471402</v>
      </c>
      <c r="W37" s="11">
        <f t="shared" si="1"/>
        <v>0</v>
      </c>
      <c r="X37" s="11">
        <f t="shared" si="2"/>
        <v>-48072.075179616571</v>
      </c>
      <c r="Y37" s="11">
        <f t="shared" si="3"/>
        <v>-47831.714803718489</v>
      </c>
      <c r="Z37" s="11">
        <f t="shared" si="4"/>
        <v>-47591.354427820406</v>
      </c>
      <c r="AA37" s="11">
        <f t="shared" si="5"/>
        <v>-47350.994051922324</v>
      </c>
      <c r="AB37" s="11">
        <f t="shared" si="6"/>
        <v>-47110.633676024241</v>
      </c>
      <c r="AC37" s="11">
        <v>0</v>
      </c>
      <c r="AG37" s="30" t="s">
        <v>1069</v>
      </c>
      <c r="AH37" s="30"/>
      <c r="AI37" s="21"/>
      <c r="AN37" s="30"/>
      <c r="AO37" s="30"/>
      <c r="AP37" s="21"/>
    </row>
    <row r="38" spans="1:42" s="11" customFormat="1" ht="12.75" x14ac:dyDescent="0.2">
      <c r="A38" s="9" t="s">
        <v>40</v>
      </c>
      <c r="B38" s="26">
        <v>2452</v>
      </c>
      <c r="C38" s="944">
        <v>202</v>
      </c>
      <c r="D38" s="11">
        <v>741456.8020864916</v>
      </c>
      <c r="E38" s="11">
        <v>3597.1400000000012</v>
      </c>
      <c r="F38" s="11">
        <v>-100000</v>
      </c>
      <c r="H38" s="11">
        <f t="shared" si="7"/>
        <v>645053.94208649162</v>
      </c>
      <c r="I38" s="11">
        <f t="shared" si="8"/>
        <v>3193.3363469628298</v>
      </c>
      <c r="J38" s="11">
        <f t="shared" si="9"/>
        <v>3145.4363017583873</v>
      </c>
      <c r="L38" s="21">
        <v>195</v>
      </c>
      <c r="M38" s="11">
        <v>747399.63333050802</v>
      </c>
      <c r="N38" s="11">
        <v>-11565.779999999999</v>
      </c>
      <c r="O38" s="11">
        <v>-100000</v>
      </c>
      <c r="Q38" s="11">
        <f t="shared" si="10"/>
        <v>635833.85333050799</v>
      </c>
      <c r="R38" s="11">
        <f t="shared" si="11"/>
        <v>3260.6864273359383</v>
      </c>
      <c r="S38" s="739"/>
      <c r="T38" s="11">
        <f t="shared" si="12"/>
        <v>0</v>
      </c>
      <c r="V38" s="11">
        <f t="shared" si="0"/>
        <v>613360.07884288556</v>
      </c>
      <c r="W38" s="11">
        <f t="shared" si="1"/>
        <v>0</v>
      </c>
      <c r="X38" s="11">
        <f t="shared" si="2"/>
        <v>-22473.774487622431</v>
      </c>
      <c r="Y38" s="11">
        <f t="shared" si="3"/>
        <v>-22361.405615184322</v>
      </c>
      <c r="Z38" s="11">
        <f t="shared" si="4"/>
        <v>-22249.036742746208</v>
      </c>
      <c r="AA38" s="11">
        <f t="shared" si="5"/>
        <v>-22136.667870308098</v>
      </c>
      <c r="AB38" s="11">
        <f t="shared" si="6"/>
        <v>-22024.298997869984</v>
      </c>
      <c r="AC38" s="11">
        <v>0</v>
      </c>
      <c r="AG38" s="30" t="s">
        <v>1070</v>
      </c>
      <c r="AH38" s="30"/>
      <c r="AI38" s="21"/>
      <c r="AN38" s="30"/>
      <c r="AO38" s="30"/>
      <c r="AP38" s="21"/>
    </row>
    <row r="39" spans="1:42" s="11" customFormat="1" ht="12.75" x14ac:dyDescent="0.2">
      <c r="A39" s="9" t="s">
        <v>41</v>
      </c>
      <c r="B39" s="26">
        <v>2627</v>
      </c>
      <c r="C39" s="944">
        <v>392</v>
      </c>
      <c r="D39" s="11">
        <v>1181094.3178910282</v>
      </c>
      <c r="E39" s="11">
        <v>-4566.6500000000015</v>
      </c>
      <c r="F39" s="11">
        <v>-100000</v>
      </c>
      <c r="H39" s="11">
        <f t="shared" si="7"/>
        <v>1076527.6678910283</v>
      </c>
      <c r="I39" s="11">
        <f t="shared" si="8"/>
        <v>2746.2440507424194</v>
      </c>
      <c r="J39" s="11">
        <f t="shared" si="9"/>
        <v>2705.0503899812829</v>
      </c>
      <c r="L39" s="21">
        <v>394</v>
      </c>
      <c r="M39" s="11">
        <v>1234654.3726529202</v>
      </c>
      <c r="N39" s="11">
        <v>-18102.96</v>
      </c>
      <c r="O39" s="11">
        <v>-100000</v>
      </c>
      <c r="Q39" s="11">
        <f t="shared" si="10"/>
        <v>1116551.4126529202</v>
      </c>
      <c r="R39" s="11">
        <f t="shared" si="11"/>
        <v>2833.8868341444677</v>
      </c>
      <c r="S39" s="739"/>
      <c r="T39" s="11">
        <f t="shared" si="12"/>
        <v>0</v>
      </c>
      <c r="V39" s="11">
        <f t="shared" si="0"/>
        <v>1065789.8536526256</v>
      </c>
      <c r="W39" s="11">
        <f t="shared" si="1"/>
        <v>0</v>
      </c>
      <c r="X39" s="11">
        <f t="shared" si="2"/>
        <v>-50761.559000294656</v>
      </c>
      <c r="Y39" s="11">
        <f t="shared" si="3"/>
        <v>-50507.751205293178</v>
      </c>
      <c r="Z39" s="11">
        <f t="shared" si="4"/>
        <v>-50253.943410291708</v>
      </c>
      <c r="AA39" s="11">
        <f t="shared" si="5"/>
        <v>-50000.13561529023</v>
      </c>
      <c r="AB39" s="11">
        <f t="shared" si="6"/>
        <v>-49746.32782028876</v>
      </c>
      <c r="AC39" s="11">
        <v>0</v>
      </c>
      <c r="AG39" s="30" t="s">
        <v>1071</v>
      </c>
      <c r="AH39" s="30"/>
      <c r="AI39" s="21"/>
      <c r="AN39" s="30"/>
      <c r="AO39" s="30"/>
      <c r="AP39" s="21"/>
    </row>
    <row r="40" spans="1:42" s="11" customFormat="1" ht="12.75" x14ac:dyDescent="0.2">
      <c r="A40" s="9" t="s">
        <v>42</v>
      </c>
      <c r="B40" s="26">
        <v>2009</v>
      </c>
      <c r="C40" s="944">
        <v>284</v>
      </c>
      <c r="D40" s="11">
        <v>1143997.993294267</v>
      </c>
      <c r="E40" s="11">
        <v>-2415.6999999999989</v>
      </c>
      <c r="F40" s="11">
        <v>-100000</v>
      </c>
      <c r="H40" s="11">
        <f t="shared" si="7"/>
        <v>1041582.293294267</v>
      </c>
      <c r="I40" s="11">
        <f t="shared" si="8"/>
        <v>3667.543286247419</v>
      </c>
      <c r="J40" s="11">
        <f t="shared" si="9"/>
        <v>3612.5301369537078</v>
      </c>
      <c r="L40" s="21">
        <v>275</v>
      </c>
      <c r="M40" s="11">
        <v>1089960.6770692309</v>
      </c>
      <c r="N40" s="11">
        <v>-2464.0139999999992</v>
      </c>
      <c r="O40" s="11">
        <v>-100000</v>
      </c>
      <c r="Q40" s="11">
        <f t="shared" si="10"/>
        <v>987496.66306923097</v>
      </c>
      <c r="R40" s="11">
        <f t="shared" si="11"/>
        <v>3590.8969566153855</v>
      </c>
      <c r="S40" s="739"/>
      <c r="T40" s="11">
        <f t="shared" si="12"/>
        <v>5949.124593038694</v>
      </c>
      <c r="V40" s="11">
        <f t="shared" si="0"/>
        <v>993445.78766226966</v>
      </c>
      <c r="W40" s="11">
        <f t="shared" si="1"/>
        <v>5949.124593038694</v>
      </c>
      <c r="X40" s="11">
        <f t="shared" si="2"/>
        <v>0</v>
      </c>
      <c r="Y40" s="11">
        <f t="shared" si="3"/>
        <v>0</v>
      </c>
      <c r="Z40" s="11">
        <f t="shared" si="4"/>
        <v>0</v>
      </c>
      <c r="AA40" s="11">
        <f t="shared" si="5"/>
        <v>0</v>
      </c>
      <c r="AB40" s="11">
        <f t="shared" si="6"/>
        <v>0</v>
      </c>
      <c r="AC40" s="11">
        <v>0</v>
      </c>
      <c r="AG40" s="30" t="s">
        <v>1072</v>
      </c>
      <c r="AH40" s="30"/>
      <c r="AI40" s="21"/>
      <c r="AN40" s="30"/>
      <c r="AO40" s="30"/>
      <c r="AP40" s="21"/>
    </row>
    <row r="41" spans="1:42" s="11" customFormat="1" ht="12.75" x14ac:dyDescent="0.2">
      <c r="A41" s="9" t="s">
        <v>101</v>
      </c>
      <c r="B41" s="26">
        <v>2473</v>
      </c>
      <c r="C41" s="944">
        <v>269</v>
      </c>
      <c r="D41" s="11">
        <v>976577.46496276872</v>
      </c>
      <c r="E41" s="11">
        <v>2183.8050000000003</v>
      </c>
      <c r="F41" s="11">
        <v>-100000</v>
      </c>
      <c r="H41" s="11">
        <f t="shared" si="7"/>
        <v>878761.26996276877</v>
      </c>
      <c r="I41" s="11">
        <f t="shared" si="8"/>
        <v>3266.7705203076907</v>
      </c>
      <c r="J41" s="11">
        <f t="shared" si="9"/>
        <v>3217.7689625030753</v>
      </c>
      <c r="L41" s="21">
        <v>262</v>
      </c>
      <c r="M41" s="11">
        <v>965286.36572119605</v>
      </c>
      <c r="N41" s="11">
        <v>-12068.64</v>
      </c>
      <c r="O41" s="11">
        <v>-100000</v>
      </c>
      <c r="Q41" s="11">
        <f t="shared" si="10"/>
        <v>853217.72572119604</v>
      </c>
      <c r="R41" s="11">
        <f t="shared" si="11"/>
        <v>3256.5562050427329</v>
      </c>
      <c r="S41" s="739"/>
      <c r="T41" s="11">
        <f t="shared" si="12"/>
        <v>0</v>
      </c>
      <c r="V41" s="11">
        <f t="shared" si="0"/>
        <v>843055.46817580576</v>
      </c>
      <c r="W41" s="11">
        <f t="shared" si="1"/>
        <v>0</v>
      </c>
      <c r="X41" s="11">
        <f t="shared" si="2"/>
        <v>-10162.257545390283</v>
      </c>
      <c r="Y41" s="11">
        <f t="shared" si="3"/>
        <v>-10111.44625766333</v>
      </c>
      <c r="Z41" s="11">
        <f t="shared" si="4"/>
        <v>-10060.63496993638</v>
      </c>
      <c r="AA41" s="11">
        <f t="shared" si="5"/>
        <v>-10009.823682209428</v>
      </c>
      <c r="AB41" s="11">
        <f t="shared" si="6"/>
        <v>-9959.0123944824772</v>
      </c>
      <c r="AC41" s="11">
        <v>0</v>
      </c>
      <c r="AG41" s="30" t="s">
        <v>1073</v>
      </c>
      <c r="AH41" s="30"/>
      <c r="AI41" s="21"/>
      <c r="AN41" s="30"/>
      <c r="AO41" s="30"/>
      <c r="AP41" s="21"/>
    </row>
    <row r="42" spans="1:42" s="11" customFormat="1" ht="12.75" x14ac:dyDescent="0.2">
      <c r="A42" s="9" t="s">
        <v>44</v>
      </c>
      <c r="B42" s="26">
        <v>2471</v>
      </c>
      <c r="C42" s="944">
        <v>350</v>
      </c>
      <c r="D42" s="11">
        <v>1255950.3003435731</v>
      </c>
      <c r="E42" s="11">
        <v>2183.8050000000003</v>
      </c>
      <c r="F42" s="11">
        <v>-100000</v>
      </c>
      <c r="H42" s="11">
        <f t="shared" si="7"/>
        <v>1158134.105343573</v>
      </c>
      <c r="I42" s="11">
        <f t="shared" si="8"/>
        <v>3308.9545866959229</v>
      </c>
      <c r="J42" s="11">
        <f t="shared" si="9"/>
        <v>3259.320267895484</v>
      </c>
      <c r="L42" s="21">
        <v>353</v>
      </c>
      <c r="M42" s="11">
        <v>1283443.6665542487</v>
      </c>
      <c r="N42" s="11">
        <v>-12068.64</v>
      </c>
      <c r="O42" s="11">
        <v>-100000</v>
      </c>
      <c r="Q42" s="11">
        <f t="shared" si="10"/>
        <v>1171375.0265542488</v>
      </c>
      <c r="R42" s="11">
        <f t="shared" si="11"/>
        <v>3318.3428514284669</v>
      </c>
      <c r="S42" s="739"/>
      <c r="T42" s="11">
        <f t="shared" si="12"/>
        <v>0</v>
      </c>
      <c r="V42" s="11">
        <f t="shared" si="0"/>
        <v>1150540.0545671058</v>
      </c>
      <c r="W42" s="11">
        <f t="shared" si="1"/>
        <v>0</v>
      </c>
      <c r="X42" s="11">
        <f t="shared" si="2"/>
        <v>-20834.971987142926</v>
      </c>
      <c r="Y42" s="11">
        <f t="shared" si="3"/>
        <v>-20730.797127207214</v>
      </c>
      <c r="Z42" s="11">
        <f t="shared" si="4"/>
        <v>-20626.622267271498</v>
      </c>
      <c r="AA42" s="11">
        <f t="shared" si="5"/>
        <v>-20522.447407335785</v>
      </c>
      <c r="AB42" s="11">
        <f t="shared" si="6"/>
        <v>-20418.272547400069</v>
      </c>
      <c r="AC42" s="11">
        <v>0</v>
      </c>
      <c r="AG42" s="30" t="s">
        <v>1074</v>
      </c>
      <c r="AH42" s="30"/>
      <c r="AI42" s="21"/>
      <c r="AN42" s="30"/>
      <c r="AO42" s="30"/>
      <c r="AP42" s="21"/>
    </row>
    <row r="43" spans="1:42" s="11" customFormat="1" ht="12.75" x14ac:dyDescent="0.2">
      <c r="A43" s="9" t="s">
        <v>43</v>
      </c>
      <c r="B43" s="26">
        <v>2420</v>
      </c>
      <c r="C43" s="944">
        <v>503</v>
      </c>
      <c r="D43" s="11">
        <v>2305206.3936312571</v>
      </c>
      <c r="E43" s="11">
        <v>-8236.75</v>
      </c>
      <c r="F43" s="11">
        <v>-100000</v>
      </c>
      <c r="H43" s="11">
        <f t="shared" si="7"/>
        <v>2196969.6436312571</v>
      </c>
      <c r="I43" s="11">
        <f t="shared" si="8"/>
        <v>4367.732889922976</v>
      </c>
      <c r="J43" s="11">
        <f t="shared" si="9"/>
        <v>4302.2168965741312</v>
      </c>
      <c r="L43" s="21">
        <v>520.83333333333337</v>
      </c>
      <c r="M43" s="11">
        <v>2297231.0479097622</v>
      </c>
      <c r="N43" s="11">
        <v>-18982.965</v>
      </c>
      <c r="O43" s="11">
        <v>-100000</v>
      </c>
      <c r="Q43" s="11">
        <f t="shared" si="10"/>
        <v>2178248.0829097624</v>
      </c>
      <c r="R43" s="11">
        <f t="shared" si="11"/>
        <v>4182.2363191867435</v>
      </c>
      <c r="S43" s="739"/>
      <c r="T43" s="11">
        <f t="shared" si="12"/>
        <v>62489.884055931121</v>
      </c>
      <c r="V43" s="11">
        <f t="shared" si="0"/>
        <v>2240737.9669656935</v>
      </c>
      <c r="W43" s="11">
        <f t="shared" si="1"/>
        <v>62489.884055931121</v>
      </c>
      <c r="X43" s="11">
        <f t="shared" si="2"/>
        <v>0</v>
      </c>
      <c r="Y43" s="11">
        <f t="shared" si="3"/>
        <v>0</v>
      </c>
      <c r="Z43" s="11">
        <f t="shared" si="4"/>
        <v>0</v>
      </c>
      <c r="AA43" s="11">
        <f t="shared" si="5"/>
        <v>0</v>
      </c>
      <c r="AB43" s="11">
        <f t="shared" si="6"/>
        <v>0</v>
      </c>
      <c r="AC43" s="11">
        <v>0</v>
      </c>
      <c r="AG43" s="30" t="s">
        <v>1075</v>
      </c>
      <c r="AH43" s="30"/>
      <c r="AI43" s="21"/>
      <c r="AN43" s="30"/>
      <c r="AO43" s="30"/>
      <c r="AP43" s="21"/>
    </row>
    <row r="44" spans="1:42" s="11" customFormat="1" ht="12.75" x14ac:dyDescent="0.2">
      <c r="A44" s="9" t="s">
        <v>45</v>
      </c>
      <c r="B44" s="26">
        <v>2003</v>
      </c>
      <c r="C44" s="944">
        <v>213</v>
      </c>
      <c r="D44" s="11">
        <v>670944.75057914993</v>
      </c>
      <c r="E44" s="11">
        <v>-9766.52</v>
      </c>
      <c r="F44" s="11">
        <v>-100000</v>
      </c>
      <c r="H44" s="11">
        <f t="shared" si="7"/>
        <v>561178.23057914991</v>
      </c>
      <c r="I44" s="11">
        <f t="shared" si="8"/>
        <v>2634.6395801838025</v>
      </c>
      <c r="J44" s="11">
        <f t="shared" si="9"/>
        <v>2595.1199864810455</v>
      </c>
      <c r="L44" s="21">
        <v>210</v>
      </c>
      <c r="M44" s="11">
        <v>701943.38371603889</v>
      </c>
      <c r="N44" s="11">
        <v>-25394.43</v>
      </c>
      <c r="O44" s="11">
        <v>-100000</v>
      </c>
      <c r="Q44" s="11">
        <f t="shared" si="10"/>
        <v>576548.95371603884</v>
      </c>
      <c r="R44" s="11">
        <f t="shared" si="11"/>
        <v>2745.4712081716134</v>
      </c>
      <c r="S44" s="739"/>
      <c r="T44" s="11">
        <f t="shared" si="12"/>
        <v>0</v>
      </c>
      <c r="V44" s="11">
        <f t="shared" si="0"/>
        <v>544975.19716101955</v>
      </c>
      <c r="W44" s="11">
        <f t="shared" si="1"/>
        <v>0</v>
      </c>
      <c r="X44" s="11">
        <f t="shared" si="2"/>
        <v>-31573.756555019296</v>
      </c>
      <c r="Y44" s="11">
        <f t="shared" si="3"/>
        <v>-31415.887772244201</v>
      </c>
      <c r="Z44" s="11">
        <f t="shared" si="4"/>
        <v>-31258.018989469107</v>
      </c>
      <c r="AA44" s="11">
        <f t="shared" si="5"/>
        <v>-31100.150206694008</v>
      </c>
      <c r="AB44" s="11">
        <f t="shared" si="6"/>
        <v>-30942.281423918914</v>
      </c>
      <c r="AC44" s="11">
        <v>0</v>
      </c>
      <c r="AG44" s="30" t="s">
        <v>1076</v>
      </c>
      <c r="AH44" s="30"/>
      <c r="AI44" s="21"/>
      <c r="AN44" s="30"/>
      <c r="AO44" s="30"/>
      <c r="AP44" s="21"/>
    </row>
    <row r="45" spans="1:42" s="11" customFormat="1" ht="12.75" x14ac:dyDescent="0.2">
      <c r="A45" s="9" t="s">
        <v>46</v>
      </c>
      <c r="B45" s="26">
        <v>2423</v>
      </c>
      <c r="C45" s="944">
        <v>333</v>
      </c>
      <c r="D45" s="11">
        <v>1529299.8083832106</v>
      </c>
      <c r="E45" s="11">
        <v>-2873.6800000000012</v>
      </c>
      <c r="F45" s="11">
        <v>-100000</v>
      </c>
      <c r="H45" s="11">
        <f t="shared" si="7"/>
        <v>1426426.1283832106</v>
      </c>
      <c r="I45" s="11">
        <f t="shared" si="8"/>
        <v>4283.5619470967285</v>
      </c>
      <c r="J45" s="11">
        <f t="shared" si="9"/>
        <v>4219.3085178902775</v>
      </c>
      <c r="L45" s="21">
        <v>341</v>
      </c>
      <c r="M45" s="11">
        <v>1488451.9437852837</v>
      </c>
      <c r="N45" s="11">
        <v>-10811.49</v>
      </c>
      <c r="O45" s="11">
        <v>-100000</v>
      </c>
      <c r="Q45" s="11">
        <f t="shared" si="10"/>
        <v>1377640.4537852837</v>
      </c>
      <c r="R45" s="11">
        <f t="shared" si="11"/>
        <v>4040.0013307486324</v>
      </c>
      <c r="S45" s="739"/>
      <c r="T45" s="11">
        <f t="shared" si="12"/>
        <v>61143.750815300969</v>
      </c>
      <c r="V45" s="11">
        <f t="shared" si="0"/>
        <v>1438784.2046005847</v>
      </c>
      <c r="W45" s="11">
        <f t="shared" si="1"/>
        <v>61143.750815300969</v>
      </c>
      <c r="X45" s="11">
        <f t="shared" si="2"/>
        <v>0</v>
      </c>
      <c r="Y45" s="11">
        <f t="shared" si="3"/>
        <v>0</v>
      </c>
      <c r="Z45" s="11">
        <f t="shared" si="4"/>
        <v>0</v>
      </c>
      <c r="AA45" s="11">
        <f t="shared" si="5"/>
        <v>0</v>
      </c>
      <c r="AB45" s="11">
        <f t="shared" si="6"/>
        <v>0</v>
      </c>
      <c r="AC45" s="11">
        <v>0</v>
      </c>
      <c r="AG45" s="30" t="s">
        <v>1078</v>
      </c>
      <c r="AH45" s="30"/>
      <c r="AI45" s="21"/>
      <c r="AN45" s="30"/>
      <c r="AO45" s="30"/>
      <c r="AP45" s="21"/>
    </row>
    <row r="46" spans="1:42" s="11" customFormat="1" ht="12.75" x14ac:dyDescent="0.2">
      <c r="A46" s="9" t="s">
        <v>47</v>
      </c>
      <c r="B46" s="26">
        <v>2424</v>
      </c>
      <c r="C46" s="944">
        <v>270</v>
      </c>
      <c r="D46" s="11">
        <v>1304173.7977838193</v>
      </c>
      <c r="E46" s="11">
        <v>-2873.6800000000012</v>
      </c>
      <c r="F46" s="11">
        <v>-100000</v>
      </c>
      <c r="H46" s="11">
        <f t="shared" si="7"/>
        <v>1201300.1177838193</v>
      </c>
      <c r="I46" s="11">
        <f t="shared" si="8"/>
        <v>4449.2596954956271</v>
      </c>
      <c r="J46" s="11">
        <f t="shared" si="9"/>
        <v>4382.5208000631928</v>
      </c>
      <c r="L46" s="21">
        <v>262</v>
      </c>
      <c r="M46" s="11">
        <v>1184670.3095282379</v>
      </c>
      <c r="N46" s="11">
        <v>-10811.49</v>
      </c>
      <c r="O46" s="11">
        <v>-100000</v>
      </c>
      <c r="Q46" s="11">
        <f t="shared" si="10"/>
        <v>1073858.8195282379</v>
      </c>
      <c r="R46" s="11">
        <f t="shared" si="11"/>
        <v>4098.6977844589237</v>
      </c>
      <c r="S46" s="739"/>
      <c r="T46" s="11">
        <f t="shared" si="12"/>
        <v>74361.630088318605</v>
      </c>
      <c r="V46" s="11">
        <f t="shared" si="0"/>
        <v>1148220.4496165565</v>
      </c>
      <c r="W46" s="11">
        <f t="shared" si="1"/>
        <v>74361.630088318605</v>
      </c>
      <c r="X46" s="11">
        <f t="shared" si="2"/>
        <v>0</v>
      </c>
      <c r="Y46" s="11">
        <f t="shared" si="3"/>
        <v>0</v>
      </c>
      <c r="Z46" s="11">
        <f t="shared" si="4"/>
        <v>0</v>
      </c>
      <c r="AA46" s="11">
        <f t="shared" si="5"/>
        <v>0</v>
      </c>
      <c r="AB46" s="11">
        <f t="shared" si="6"/>
        <v>0</v>
      </c>
      <c r="AC46" s="11">
        <v>0</v>
      </c>
      <c r="AG46" s="30" t="s">
        <v>1079</v>
      </c>
      <c r="AH46" s="30"/>
      <c r="AI46" s="21"/>
      <c r="AN46" s="30"/>
      <c r="AO46" s="30"/>
      <c r="AP46" s="21"/>
    </row>
    <row r="47" spans="1:42" s="11" customFormat="1" ht="12.75" x14ac:dyDescent="0.2">
      <c r="A47" s="9" t="s">
        <v>48</v>
      </c>
      <c r="B47" s="26">
        <v>2439</v>
      </c>
      <c r="C47" s="944">
        <v>256</v>
      </c>
      <c r="D47" s="11">
        <v>799025.8948675486</v>
      </c>
      <c r="E47" s="11">
        <v>-5955.5</v>
      </c>
      <c r="F47" s="11">
        <v>-100000</v>
      </c>
      <c r="H47" s="11">
        <f t="shared" si="7"/>
        <v>693070.3948675486</v>
      </c>
      <c r="I47" s="11">
        <f t="shared" si="8"/>
        <v>2707.3062299513617</v>
      </c>
      <c r="J47" s="11">
        <f t="shared" si="9"/>
        <v>2666.6966365020912</v>
      </c>
      <c r="L47" s="21">
        <v>260</v>
      </c>
      <c r="M47" s="11">
        <v>836609.07409011503</v>
      </c>
      <c r="N47" s="11">
        <v>-8079.0599999999995</v>
      </c>
      <c r="O47" s="11">
        <v>-100000</v>
      </c>
      <c r="Q47" s="11">
        <f t="shared" si="10"/>
        <v>728530.01409011497</v>
      </c>
      <c r="R47" s="11">
        <f t="shared" si="11"/>
        <v>2802.0385157312116</v>
      </c>
      <c r="S47" s="739"/>
      <c r="T47" s="11">
        <f t="shared" si="12"/>
        <v>0</v>
      </c>
      <c r="V47" s="11">
        <f t="shared" si="0"/>
        <v>693341.12549054367</v>
      </c>
      <c r="W47" s="11">
        <f t="shared" si="1"/>
        <v>0</v>
      </c>
      <c r="X47" s="11">
        <f t="shared" si="2"/>
        <v>-35188.888599571306</v>
      </c>
      <c r="Y47" s="11">
        <f t="shared" si="3"/>
        <v>-35012.944156573452</v>
      </c>
      <c r="Z47" s="11">
        <f t="shared" si="4"/>
        <v>-34836.999713575591</v>
      </c>
      <c r="AA47" s="11">
        <f t="shared" si="5"/>
        <v>-34661.055270577737</v>
      </c>
      <c r="AB47" s="11">
        <f t="shared" si="6"/>
        <v>-34485.110827579876</v>
      </c>
      <c r="AC47" s="11">
        <v>0</v>
      </c>
      <c r="AG47" s="30" t="s">
        <v>1080</v>
      </c>
      <c r="AH47" s="30"/>
      <c r="AI47" s="21"/>
      <c r="AN47" s="30"/>
      <c r="AO47" s="30"/>
      <c r="AP47" s="21"/>
    </row>
    <row r="48" spans="1:42" s="11" customFormat="1" ht="12.75" x14ac:dyDescent="0.2">
      <c r="A48" s="9" t="s">
        <v>49</v>
      </c>
      <c r="B48" s="26">
        <v>2440</v>
      </c>
      <c r="C48" s="944">
        <v>326</v>
      </c>
      <c r="D48" s="11">
        <v>996866.96474455681</v>
      </c>
      <c r="E48" s="11">
        <v>-17212.620000000003</v>
      </c>
      <c r="F48" s="11">
        <v>-100000</v>
      </c>
      <c r="H48" s="11">
        <f t="shared" si="7"/>
        <v>879654.34474455682</v>
      </c>
      <c r="I48" s="11">
        <f t="shared" si="8"/>
        <v>2698.3262108728736</v>
      </c>
      <c r="J48" s="11">
        <f t="shared" si="9"/>
        <v>2657.8513177097807</v>
      </c>
      <c r="L48" s="21">
        <v>326</v>
      </c>
      <c r="M48" s="11">
        <v>1041811.600574267</v>
      </c>
      <c r="N48" s="11">
        <v>-31931.609999999997</v>
      </c>
      <c r="O48" s="11">
        <v>-100000</v>
      </c>
      <c r="Q48" s="11">
        <f t="shared" si="10"/>
        <v>909879.99057426699</v>
      </c>
      <c r="R48" s="11">
        <f t="shared" si="11"/>
        <v>2791.0429158719849</v>
      </c>
      <c r="S48" s="739"/>
      <c r="T48" s="11">
        <f t="shared" si="12"/>
        <v>0</v>
      </c>
      <c r="V48" s="11">
        <f t="shared" si="0"/>
        <v>866459.52957338851</v>
      </c>
      <c r="W48" s="11">
        <f t="shared" si="1"/>
        <v>0</v>
      </c>
      <c r="X48" s="11">
        <f t="shared" si="2"/>
        <v>-43420.46100087848</v>
      </c>
      <c r="Y48" s="11">
        <f t="shared" si="3"/>
        <v>-43203.358695874085</v>
      </c>
      <c r="Z48" s="11">
        <f t="shared" si="4"/>
        <v>-42986.256390869697</v>
      </c>
      <c r="AA48" s="11">
        <f t="shared" si="5"/>
        <v>-42769.154085865302</v>
      </c>
      <c r="AB48" s="11">
        <f t="shared" si="6"/>
        <v>-42552.051780860915</v>
      </c>
      <c r="AC48" s="11">
        <v>0</v>
      </c>
      <c r="AG48" s="30" t="s">
        <v>1081</v>
      </c>
      <c r="AH48" s="30"/>
      <c r="AI48" s="21"/>
      <c r="AN48" s="30"/>
      <c r="AO48" s="30"/>
      <c r="AP48" s="21"/>
    </row>
    <row r="49" spans="1:42" s="11" customFormat="1" ht="12.75" x14ac:dyDescent="0.2">
      <c r="A49" s="9" t="s">
        <v>102</v>
      </c>
      <c r="B49" s="26">
        <v>2462</v>
      </c>
      <c r="C49" s="944">
        <v>238</v>
      </c>
      <c r="D49" s="11">
        <v>801442.16546475841</v>
      </c>
      <c r="E49" s="11">
        <v>-2822.9300000000003</v>
      </c>
      <c r="F49" s="11">
        <v>-100000</v>
      </c>
      <c r="H49" s="11">
        <f t="shared" si="7"/>
        <v>698619.23546475836</v>
      </c>
      <c r="I49" s="11">
        <f t="shared" si="8"/>
        <v>2935.3749389275563</v>
      </c>
      <c r="J49" s="11">
        <f t="shared" si="9"/>
        <v>2891.3443148436427</v>
      </c>
      <c r="L49" s="21">
        <v>218</v>
      </c>
      <c r="M49" s="11">
        <v>792539.77033451002</v>
      </c>
      <c r="N49" s="11">
        <v>-12068.64</v>
      </c>
      <c r="O49" s="11">
        <v>-100000</v>
      </c>
      <c r="Q49" s="11">
        <f t="shared" si="10"/>
        <v>680471.13033451</v>
      </c>
      <c r="R49" s="11">
        <f t="shared" si="11"/>
        <v>3121.4272033693119</v>
      </c>
      <c r="S49" s="739"/>
      <c r="T49" s="11">
        <f t="shared" si="12"/>
        <v>0</v>
      </c>
      <c r="V49" s="11">
        <f t="shared" si="0"/>
        <v>630313.06063591409</v>
      </c>
      <c r="W49" s="11">
        <f t="shared" si="1"/>
        <v>0</v>
      </c>
      <c r="X49" s="11">
        <f t="shared" si="2"/>
        <v>-50158.069698595908</v>
      </c>
      <c r="Y49" s="11">
        <f t="shared" si="3"/>
        <v>-49907.27935010293</v>
      </c>
      <c r="Z49" s="11">
        <f t="shared" si="4"/>
        <v>-49656.489001609953</v>
      </c>
      <c r="AA49" s="11">
        <f t="shared" si="5"/>
        <v>-49405.698653116968</v>
      </c>
      <c r="AB49" s="11">
        <f t="shared" si="6"/>
        <v>-49154.90830462399</v>
      </c>
      <c r="AC49" s="11">
        <v>0</v>
      </c>
      <c r="AG49" s="30" t="s">
        <v>1082</v>
      </c>
      <c r="AH49" s="30"/>
      <c r="AI49" s="21"/>
      <c r="AN49" s="30"/>
      <c r="AO49" s="30"/>
      <c r="AP49" s="21"/>
    </row>
    <row r="50" spans="1:42" s="11" customFormat="1" ht="12.75" x14ac:dyDescent="0.2">
      <c r="A50" s="9" t="s">
        <v>50</v>
      </c>
      <c r="B50" s="26">
        <v>2463</v>
      </c>
      <c r="C50" s="944">
        <v>336</v>
      </c>
      <c r="D50" s="11">
        <v>1081579.502990698</v>
      </c>
      <c r="E50" s="11">
        <v>-2822.9300000000003</v>
      </c>
      <c r="F50" s="11">
        <v>-100000</v>
      </c>
      <c r="H50" s="11">
        <f t="shared" si="7"/>
        <v>978756.57299069804</v>
      </c>
      <c r="I50" s="11">
        <f t="shared" si="8"/>
        <v>2912.965991043744</v>
      </c>
      <c r="J50" s="11">
        <f t="shared" si="9"/>
        <v>2869.2715011780879</v>
      </c>
      <c r="L50" s="21">
        <v>348</v>
      </c>
      <c r="M50" s="11">
        <v>1177347.7310506699</v>
      </c>
      <c r="N50" s="11">
        <v>-12068.64</v>
      </c>
      <c r="O50" s="11">
        <v>-100000</v>
      </c>
      <c r="Q50" s="11">
        <f t="shared" si="10"/>
        <v>1065279.09105067</v>
      </c>
      <c r="R50" s="11">
        <f t="shared" si="11"/>
        <v>3061.1468133639942</v>
      </c>
      <c r="S50" s="739"/>
      <c r="T50" s="11">
        <f t="shared" si="12"/>
        <v>0</v>
      </c>
      <c r="V50" s="11">
        <f t="shared" si="0"/>
        <v>998506.48240997456</v>
      </c>
      <c r="W50" s="11">
        <f t="shared" si="1"/>
        <v>0</v>
      </c>
      <c r="X50" s="11">
        <f t="shared" si="2"/>
        <v>-66772.608640695456</v>
      </c>
      <c r="Y50" s="11">
        <f t="shared" si="3"/>
        <v>-66438.745597491972</v>
      </c>
      <c r="Z50" s="11">
        <f t="shared" si="4"/>
        <v>-66104.882554288502</v>
      </c>
      <c r="AA50" s="11">
        <f t="shared" si="5"/>
        <v>-65771.019511085018</v>
      </c>
      <c r="AB50" s="11">
        <f t="shared" si="6"/>
        <v>-65437.156467881548</v>
      </c>
      <c r="AC50" s="11">
        <v>0</v>
      </c>
      <c r="AG50" s="30" t="s">
        <v>1084</v>
      </c>
      <c r="AH50" s="30"/>
      <c r="AI50" s="21"/>
      <c r="AN50" s="30"/>
      <c r="AO50" s="30"/>
      <c r="AP50" s="21"/>
    </row>
    <row r="51" spans="1:42" s="11" customFormat="1" ht="12.75" x14ac:dyDescent="0.2">
      <c r="A51" s="9" t="s">
        <v>51</v>
      </c>
      <c r="B51" s="26">
        <v>2505</v>
      </c>
      <c r="C51" s="944">
        <v>523</v>
      </c>
      <c r="D51" s="11">
        <v>1919108.8218391775</v>
      </c>
      <c r="E51" s="11">
        <v>8549.0099999999984</v>
      </c>
      <c r="F51" s="11">
        <v>-100000</v>
      </c>
      <c r="H51" s="11">
        <f t="shared" si="7"/>
        <v>1827657.8318391775</v>
      </c>
      <c r="I51" s="11">
        <f t="shared" si="8"/>
        <v>3494.5656440519647</v>
      </c>
      <c r="J51" s="11">
        <f t="shared" si="9"/>
        <v>3442.1471593911851</v>
      </c>
      <c r="L51" s="21">
        <v>561</v>
      </c>
      <c r="M51" s="11">
        <v>2097854.9643151206</v>
      </c>
      <c r="N51" s="11">
        <v>-22251.555</v>
      </c>
      <c r="O51" s="11">
        <v>-100000</v>
      </c>
      <c r="Q51" s="11">
        <f t="shared" si="10"/>
        <v>1975603.4093151207</v>
      </c>
      <c r="R51" s="11">
        <f t="shared" si="11"/>
        <v>3521.5747046615343</v>
      </c>
      <c r="S51" s="739"/>
      <c r="T51" s="11">
        <f t="shared" si="12"/>
        <v>0</v>
      </c>
      <c r="V51" s="11">
        <f t="shared" si="0"/>
        <v>1931044.556418455</v>
      </c>
      <c r="W51" s="11">
        <f t="shared" si="1"/>
        <v>0</v>
      </c>
      <c r="X51" s="11">
        <f t="shared" si="2"/>
        <v>-44558.852896665689</v>
      </c>
      <c r="Y51" s="11">
        <f t="shared" si="3"/>
        <v>-44336.058632182358</v>
      </c>
      <c r="Z51" s="11">
        <f t="shared" si="4"/>
        <v>-44113.264367699034</v>
      </c>
      <c r="AA51" s="11">
        <f t="shared" si="5"/>
        <v>-43890.470103215703</v>
      </c>
      <c r="AB51" s="11">
        <f t="shared" si="6"/>
        <v>-43667.675838732379</v>
      </c>
      <c r="AC51" s="11">
        <v>0</v>
      </c>
      <c r="AG51" s="30" t="s">
        <v>1085</v>
      </c>
      <c r="AH51" s="30"/>
      <c r="AI51" s="21"/>
      <c r="AN51" s="30"/>
      <c r="AO51" s="30"/>
      <c r="AP51" s="21"/>
    </row>
    <row r="52" spans="1:42" s="11" customFormat="1" ht="12.75" x14ac:dyDescent="0.2">
      <c r="A52" s="9" t="s">
        <v>1304</v>
      </c>
      <c r="B52" s="26">
        <v>2000</v>
      </c>
      <c r="C52" s="944">
        <v>298</v>
      </c>
      <c r="D52" s="11">
        <v>1095745.8213547962</v>
      </c>
      <c r="E52" s="11">
        <v>-6138.08</v>
      </c>
      <c r="F52" s="11">
        <v>-100000</v>
      </c>
      <c r="H52" s="11">
        <f t="shared" si="7"/>
        <v>989607.7413547961</v>
      </c>
      <c r="I52" s="11">
        <f t="shared" si="8"/>
        <v>3320.8313468281749</v>
      </c>
      <c r="J52" s="11">
        <f t="shared" si="9"/>
        <v>3271.0188766257525</v>
      </c>
      <c r="L52" s="21">
        <v>296</v>
      </c>
      <c r="M52" s="11">
        <v>1120755.0430794475</v>
      </c>
      <c r="N52" s="11">
        <v>-14834.369999999999</v>
      </c>
      <c r="O52" s="11">
        <v>-100000</v>
      </c>
      <c r="Q52" s="11">
        <f t="shared" si="10"/>
        <v>1005920.6730794474</v>
      </c>
      <c r="R52" s="11">
        <f t="shared" si="11"/>
        <v>3398.3806522954301</v>
      </c>
      <c r="S52" s="739"/>
      <c r="T52" s="11">
        <f t="shared" si="12"/>
        <v>0</v>
      </c>
      <c r="V52" s="11">
        <f t="shared" si="0"/>
        <v>968221.5874812227</v>
      </c>
      <c r="W52" s="11">
        <f t="shared" si="1"/>
        <v>0</v>
      </c>
      <c r="X52" s="11">
        <f t="shared" si="2"/>
        <v>-37699.085598224658</v>
      </c>
      <c r="Y52" s="11">
        <f t="shared" si="3"/>
        <v>-37510.590170233532</v>
      </c>
      <c r="Z52" s="11">
        <f t="shared" si="4"/>
        <v>-37322.094742242407</v>
      </c>
      <c r="AA52" s="11">
        <f t="shared" si="5"/>
        <v>-37133.599314251289</v>
      </c>
      <c r="AB52" s="11">
        <f t="shared" si="6"/>
        <v>-36945.103886260164</v>
      </c>
      <c r="AC52" s="11">
        <v>0</v>
      </c>
      <c r="AG52" s="30" t="s">
        <v>1086</v>
      </c>
      <c r="AH52" s="30"/>
      <c r="AI52" s="21"/>
      <c r="AN52" s="30"/>
      <c r="AO52" s="30"/>
      <c r="AP52" s="21"/>
    </row>
    <row r="53" spans="1:42" s="11" customFormat="1" ht="12.75" x14ac:dyDescent="0.2">
      <c r="A53" s="9" t="s">
        <v>53</v>
      </c>
      <c r="B53" s="26">
        <v>2458</v>
      </c>
      <c r="C53" s="944">
        <v>270</v>
      </c>
      <c r="D53" s="11">
        <v>980121.52578689193</v>
      </c>
      <c r="E53" s="11">
        <v>-29638.763040000002</v>
      </c>
      <c r="F53" s="11">
        <v>-100000</v>
      </c>
      <c r="H53" s="11">
        <f t="shared" si="7"/>
        <v>850482.76274689194</v>
      </c>
      <c r="I53" s="11">
        <f t="shared" si="8"/>
        <v>3149.9361583218219</v>
      </c>
      <c r="J53" s="11">
        <f t="shared" si="9"/>
        <v>3102.6871159469947</v>
      </c>
      <c r="L53" s="21">
        <v>269</v>
      </c>
      <c r="M53" s="11">
        <v>939418.64994911361</v>
      </c>
      <c r="N53" s="11">
        <v>-8079.0599999999995</v>
      </c>
      <c r="O53" s="11">
        <v>-100000</v>
      </c>
      <c r="Q53" s="11">
        <f t="shared" si="10"/>
        <v>831339.58994911355</v>
      </c>
      <c r="R53" s="11">
        <f t="shared" si="11"/>
        <v>3090.4817470227272</v>
      </c>
      <c r="S53" s="739"/>
      <c r="T53" s="11">
        <f t="shared" si="12"/>
        <v>3283.2442406279733</v>
      </c>
      <c r="V53" s="11">
        <f t="shared" si="0"/>
        <v>834622.83418974152</v>
      </c>
      <c r="W53" s="11">
        <f t="shared" si="1"/>
        <v>3283.2442406279733</v>
      </c>
      <c r="X53" s="11">
        <f t="shared" si="2"/>
        <v>0</v>
      </c>
      <c r="Y53" s="11">
        <f t="shared" si="3"/>
        <v>0</v>
      </c>
      <c r="Z53" s="11">
        <f t="shared" si="4"/>
        <v>0</v>
      </c>
      <c r="AA53" s="11">
        <f t="shared" si="5"/>
        <v>0</v>
      </c>
      <c r="AB53" s="11">
        <f t="shared" si="6"/>
        <v>0</v>
      </c>
      <c r="AC53" s="11">
        <v>0</v>
      </c>
      <c r="AG53" s="30" t="s">
        <v>1088</v>
      </c>
      <c r="AH53" s="30"/>
      <c r="AI53" s="21"/>
      <c r="AN53" s="30"/>
      <c r="AO53" s="30"/>
      <c r="AP53" s="21"/>
    </row>
    <row r="54" spans="1:42" s="11" customFormat="1" ht="12.75" x14ac:dyDescent="0.2">
      <c r="A54" s="9" t="s">
        <v>54</v>
      </c>
      <c r="B54" s="26">
        <v>2001</v>
      </c>
      <c r="C54" s="944">
        <v>353</v>
      </c>
      <c r="D54" s="11">
        <v>1449987.2904295556</v>
      </c>
      <c r="E54" s="11">
        <v>1745.6599999999999</v>
      </c>
      <c r="F54" s="11">
        <v>-100000</v>
      </c>
      <c r="H54" s="11">
        <f t="shared" si="7"/>
        <v>1351732.9504295555</v>
      </c>
      <c r="I54" s="11">
        <f t="shared" si="8"/>
        <v>3829.2718142480326</v>
      </c>
      <c r="J54" s="11">
        <f t="shared" si="9"/>
        <v>3771.8327370343122</v>
      </c>
      <c r="L54" s="21">
        <v>357</v>
      </c>
      <c r="M54" s="11">
        <v>1437465.6363746081</v>
      </c>
      <c r="N54" s="11">
        <v>-14708.654999999999</v>
      </c>
      <c r="O54" s="11">
        <v>-100000</v>
      </c>
      <c r="Q54" s="11">
        <f t="shared" si="10"/>
        <v>1322756.9813746081</v>
      </c>
      <c r="R54" s="11">
        <f t="shared" si="11"/>
        <v>3705.2016285003028</v>
      </c>
      <c r="S54" s="739"/>
      <c r="T54" s="11">
        <f t="shared" si="12"/>
        <v>23787.305746641243</v>
      </c>
      <c r="V54" s="11">
        <f t="shared" si="0"/>
        <v>1346544.2871212494</v>
      </c>
      <c r="W54" s="11">
        <f t="shared" si="1"/>
        <v>23787.305746641243</v>
      </c>
      <c r="X54" s="11">
        <f t="shared" si="2"/>
        <v>0</v>
      </c>
      <c r="Y54" s="11">
        <f t="shared" si="3"/>
        <v>0</v>
      </c>
      <c r="Z54" s="11">
        <f t="shared" si="4"/>
        <v>0</v>
      </c>
      <c r="AA54" s="11">
        <f t="shared" si="5"/>
        <v>0</v>
      </c>
      <c r="AB54" s="11">
        <f t="shared" si="6"/>
        <v>0</v>
      </c>
      <c r="AC54" s="11">
        <v>0</v>
      </c>
      <c r="AG54" s="30" t="s">
        <v>1090</v>
      </c>
      <c r="AH54" s="30"/>
      <c r="AI54" s="21"/>
      <c r="AN54" s="30"/>
      <c r="AO54" s="30"/>
      <c r="AP54" s="21"/>
    </row>
    <row r="55" spans="1:42" s="11" customFormat="1" ht="12.75" x14ac:dyDescent="0.2">
      <c r="A55" s="9" t="s">
        <v>55</v>
      </c>
      <c r="B55" s="26">
        <v>2429</v>
      </c>
      <c r="C55" s="944">
        <v>150</v>
      </c>
      <c r="D55" s="11">
        <v>689036.41356901417</v>
      </c>
      <c r="E55" s="11">
        <v>3356.6800000000003</v>
      </c>
      <c r="F55" s="11">
        <v>-100000</v>
      </c>
      <c r="H55" s="11">
        <f t="shared" si="7"/>
        <v>592393.09356901422</v>
      </c>
      <c r="I55" s="11">
        <f t="shared" si="8"/>
        <v>3949.2872904600949</v>
      </c>
      <c r="J55" s="11">
        <f t="shared" si="9"/>
        <v>3890.0479811031933</v>
      </c>
      <c r="L55" s="21">
        <v>147</v>
      </c>
      <c r="M55" s="11">
        <v>693907.59393009765</v>
      </c>
      <c r="N55" s="11">
        <v>-6854.9599999999991</v>
      </c>
      <c r="O55" s="11">
        <v>-100000</v>
      </c>
      <c r="Q55" s="11">
        <f t="shared" si="10"/>
        <v>587052.63393009768</v>
      </c>
      <c r="R55" s="11">
        <f t="shared" si="11"/>
        <v>3993.5553328578076</v>
      </c>
      <c r="S55" s="739"/>
      <c r="T55" s="11">
        <f t="shared" si="12"/>
        <v>0</v>
      </c>
      <c r="V55" s="11">
        <f t="shared" si="0"/>
        <v>571837.0532221694</v>
      </c>
      <c r="W55" s="11">
        <f t="shared" si="1"/>
        <v>0</v>
      </c>
      <c r="X55" s="11">
        <f t="shared" si="2"/>
        <v>-15215.580707928282</v>
      </c>
      <c r="Y55" s="11">
        <f t="shared" si="3"/>
        <v>-15139.502804388641</v>
      </c>
      <c r="Z55" s="11">
        <f t="shared" si="4"/>
        <v>-15063.424900848999</v>
      </c>
      <c r="AA55" s="11">
        <f t="shared" si="5"/>
        <v>-14987.346997309358</v>
      </c>
      <c r="AB55" s="11">
        <f t="shared" si="6"/>
        <v>-14911.269093769717</v>
      </c>
      <c r="AC55" s="11">
        <v>0</v>
      </c>
      <c r="AG55" s="30" t="s">
        <v>1091</v>
      </c>
      <c r="AH55" s="30"/>
      <c r="AI55" s="21"/>
      <c r="AN55" s="30"/>
      <c r="AO55" s="30"/>
      <c r="AP55" s="21"/>
    </row>
    <row r="56" spans="1:42" s="11" customFormat="1" ht="12.75" x14ac:dyDescent="0.2">
      <c r="A56" s="9" t="s">
        <v>56</v>
      </c>
      <c r="B56" s="26">
        <v>2444</v>
      </c>
      <c r="C56" s="944">
        <v>208</v>
      </c>
      <c r="D56" s="11">
        <v>787918.46865087736</v>
      </c>
      <c r="E56" s="11">
        <v>-5900.59</v>
      </c>
      <c r="F56" s="11">
        <v>-100000</v>
      </c>
      <c r="H56" s="11">
        <f t="shared" si="7"/>
        <v>682017.87865087739</v>
      </c>
      <c r="I56" s="11">
        <f t="shared" si="8"/>
        <v>3278.9321088984489</v>
      </c>
      <c r="J56" s="11">
        <f t="shared" si="9"/>
        <v>3229.748127264972</v>
      </c>
      <c r="L56" s="21">
        <v>211</v>
      </c>
      <c r="M56" s="11">
        <v>820408.52141015965</v>
      </c>
      <c r="N56" s="11">
        <v>-9051.48</v>
      </c>
      <c r="O56" s="11">
        <v>-100000</v>
      </c>
      <c r="Q56" s="11">
        <f t="shared" si="10"/>
        <v>711357.04141015967</v>
      </c>
      <c r="R56" s="11">
        <f t="shared" si="11"/>
        <v>3371.3603858301408</v>
      </c>
      <c r="S56" s="739"/>
      <c r="T56" s="11">
        <f t="shared" si="12"/>
        <v>0</v>
      </c>
      <c r="V56" s="11">
        <f t="shared" si="0"/>
        <v>681476.85485290911</v>
      </c>
      <c r="W56" s="11">
        <f t="shared" si="1"/>
        <v>0</v>
      </c>
      <c r="X56" s="11">
        <f t="shared" si="2"/>
        <v>-29880.186557250563</v>
      </c>
      <c r="Y56" s="11">
        <f t="shared" si="3"/>
        <v>-29730.785624464308</v>
      </c>
      <c r="Z56" s="11">
        <f t="shared" si="4"/>
        <v>-29581.384691678057</v>
      </c>
      <c r="AA56" s="11">
        <f t="shared" si="5"/>
        <v>-29431.983758891802</v>
      </c>
      <c r="AB56" s="11">
        <f t="shared" si="6"/>
        <v>-29282.58282610555</v>
      </c>
      <c r="AC56" s="11">
        <v>0</v>
      </c>
      <c r="AG56" s="30" t="s">
        <v>1092</v>
      </c>
      <c r="AH56" s="30"/>
      <c r="AI56" s="21"/>
      <c r="AN56" s="30"/>
      <c r="AO56" s="30"/>
      <c r="AP56" s="21"/>
    </row>
    <row r="57" spans="1:42" s="11" customFormat="1" ht="12.75" x14ac:dyDescent="0.2">
      <c r="A57" s="9" t="s">
        <v>57</v>
      </c>
      <c r="B57" s="26">
        <v>5209</v>
      </c>
      <c r="C57" s="944">
        <v>274</v>
      </c>
      <c r="D57" s="11">
        <v>1008142.35555051</v>
      </c>
      <c r="E57" s="11">
        <v>-2450.0580000000009</v>
      </c>
      <c r="F57" s="11">
        <v>-100000</v>
      </c>
      <c r="H57" s="11">
        <f t="shared" si="7"/>
        <v>905692.29755051003</v>
      </c>
      <c r="I57" s="11">
        <f t="shared" si="8"/>
        <v>3305.4463414252191</v>
      </c>
      <c r="J57" s="11">
        <f t="shared" si="9"/>
        <v>3255.8646463038408</v>
      </c>
      <c r="L57" s="21">
        <v>261</v>
      </c>
      <c r="M57" s="11">
        <v>969444.57207195193</v>
      </c>
      <c r="N57" s="11">
        <v>-2539.4429999999993</v>
      </c>
      <c r="O57" s="11">
        <v>-100000</v>
      </c>
      <c r="Q57" s="11">
        <f t="shared" si="10"/>
        <v>866905.12907195196</v>
      </c>
      <c r="R57" s="11">
        <f t="shared" si="11"/>
        <v>3321.4755903139921</v>
      </c>
      <c r="S57" s="739"/>
      <c r="T57" s="11">
        <f t="shared" si="12"/>
        <v>0</v>
      </c>
      <c r="V57" s="11">
        <f t="shared" si="0"/>
        <v>849780.67268530244</v>
      </c>
      <c r="W57" s="11">
        <f t="shared" si="1"/>
        <v>0</v>
      </c>
      <c r="X57" s="11">
        <f t="shared" si="2"/>
        <v>-17124.456386649515</v>
      </c>
      <c r="Y57" s="11">
        <f t="shared" si="3"/>
        <v>-17038.834104716268</v>
      </c>
      <c r="Z57" s="11">
        <f t="shared" si="4"/>
        <v>-16953.211822783021</v>
      </c>
      <c r="AA57" s="11">
        <f t="shared" si="5"/>
        <v>-16867.589540849774</v>
      </c>
      <c r="AB57" s="11">
        <f t="shared" si="6"/>
        <v>-16781.967258916524</v>
      </c>
      <c r="AC57" s="11">
        <v>0</v>
      </c>
      <c r="AG57" s="30" t="s">
        <v>1093</v>
      </c>
      <c r="AH57" s="30"/>
      <c r="AI57" s="21"/>
      <c r="AN57" s="30"/>
      <c r="AO57" s="30"/>
      <c r="AP57" s="21"/>
    </row>
    <row r="58" spans="1:42" s="11" customFormat="1" ht="12.75" x14ac:dyDescent="0.2">
      <c r="A58" s="9" t="s">
        <v>58</v>
      </c>
      <c r="B58" s="26">
        <v>2469</v>
      </c>
      <c r="C58" s="944">
        <v>411</v>
      </c>
      <c r="D58" s="11">
        <v>1265529.1735073242</v>
      </c>
      <c r="E58" s="11">
        <v>2409.9300000000003</v>
      </c>
      <c r="F58" s="11">
        <v>-100000</v>
      </c>
      <c r="H58" s="11">
        <f t="shared" si="7"/>
        <v>1167939.1035073241</v>
      </c>
      <c r="I58" s="11">
        <f t="shared" si="8"/>
        <v>2841.7009817696448</v>
      </c>
      <c r="J58" s="11">
        <f t="shared" si="9"/>
        <v>2799.0754670431002</v>
      </c>
      <c r="L58" s="21">
        <v>417</v>
      </c>
      <c r="M58" s="11">
        <v>1331911.6322582327</v>
      </c>
      <c r="N58" s="11">
        <v>-11565.779999999999</v>
      </c>
      <c r="O58" s="11">
        <v>-100000</v>
      </c>
      <c r="Q58" s="11">
        <f t="shared" si="10"/>
        <v>1220345.8522582327</v>
      </c>
      <c r="R58" s="11">
        <f t="shared" si="11"/>
        <v>2926.4888543362895</v>
      </c>
      <c r="S58" s="739"/>
      <c r="T58" s="11">
        <f t="shared" si="12"/>
        <v>0</v>
      </c>
      <c r="V58" s="11">
        <f t="shared" si="0"/>
        <v>1167214.4697569727</v>
      </c>
      <c r="W58" s="11">
        <f t="shared" si="1"/>
        <v>0</v>
      </c>
      <c r="X58" s="11">
        <f t="shared" si="2"/>
        <v>-53131.382501259912</v>
      </c>
      <c r="Y58" s="11">
        <f t="shared" si="3"/>
        <v>-52865.725588753608</v>
      </c>
      <c r="Z58" s="11">
        <f t="shared" si="4"/>
        <v>-52600.068676247305</v>
      </c>
      <c r="AA58" s="11">
        <f t="shared" si="5"/>
        <v>-52334.411763741009</v>
      </c>
      <c r="AB58" s="11">
        <f t="shared" si="6"/>
        <v>-52068.754851234706</v>
      </c>
      <c r="AC58" s="11">
        <v>0</v>
      </c>
      <c r="AG58" s="30" t="s">
        <v>1094</v>
      </c>
      <c r="AH58" s="30"/>
      <c r="AI58" s="21"/>
      <c r="AN58" s="30"/>
      <c r="AO58" s="30"/>
      <c r="AP58" s="21"/>
    </row>
    <row r="59" spans="1:42" s="11" customFormat="1" ht="12.75" x14ac:dyDescent="0.2">
      <c r="A59" s="57" t="s">
        <v>437</v>
      </c>
      <c r="B59" s="26">
        <v>2430</v>
      </c>
      <c r="C59" s="944">
        <v>120</v>
      </c>
      <c r="D59" s="11">
        <v>633614.18717153161</v>
      </c>
      <c r="E59" s="11">
        <v>-16330.909999999998</v>
      </c>
      <c r="F59" s="11">
        <v>-100000</v>
      </c>
      <c r="H59" s="11">
        <f t="shared" si="7"/>
        <v>517283.27717153158</v>
      </c>
      <c r="I59" s="11">
        <f t="shared" si="8"/>
        <v>4310.6939764294302</v>
      </c>
      <c r="J59" s="11">
        <f t="shared" si="9"/>
        <v>4246.0335667829886</v>
      </c>
      <c r="L59" s="21">
        <v>126</v>
      </c>
      <c r="M59" s="11">
        <v>687266.24919855385</v>
      </c>
      <c r="N59" s="11">
        <v>-19611.539999999997</v>
      </c>
      <c r="O59" s="11">
        <v>-100000</v>
      </c>
      <c r="Q59" s="11">
        <f t="shared" si="10"/>
        <v>567654.70919855381</v>
      </c>
      <c r="R59" s="11">
        <f t="shared" si="11"/>
        <v>4505.1961047504274</v>
      </c>
      <c r="S59" s="739"/>
      <c r="T59" s="11">
        <f t="shared" si="12"/>
        <v>0</v>
      </c>
      <c r="V59" s="11">
        <f t="shared" si="0"/>
        <v>535000.22941465653</v>
      </c>
      <c r="W59" s="11">
        <f t="shared" si="1"/>
        <v>0</v>
      </c>
      <c r="X59" s="11">
        <f t="shared" si="2"/>
        <v>-32654.479783897288</v>
      </c>
      <c r="Y59" s="11">
        <f t="shared" si="3"/>
        <v>-32491.207384977803</v>
      </c>
      <c r="Z59" s="11">
        <f t="shared" si="4"/>
        <v>-32327.934986058317</v>
      </c>
      <c r="AA59" s="11">
        <f t="shared" si="5"/>
        <v>-32164.662587138831</v>
      </c>
      <c r="AB59" s="11">
        <f t="shared" si="6"/>
        <v>-32001.390188219342</v>
      </c>
      <c r="AC59" s="11">
        <v>0</v>
      </c>
      <c r="AG59" s="30" t="s">
        <v>1095</v>
      </c>
      <c r="AH59" s="30"/>
      <c r="AI59" s="21"/>
      <c r="AN59" s="30"/>
      <c r="AO59" s="30"/>
      <c r="AP59" s="21"/>
    </row>
    <row r="60" spans="1:42" s="11" customFormat="1" ht="12.75" x14ac:dyDescent="0.2">
      <c r="A60" s="9" t="s">
        <v>59</v>
      </c>
      <c r="B60" s="26">
        <v>2466</v>
      </c>
      <c r="C60" s="944">
        <v>197</v>
      </c>
      <c r="D60" s="11">
        <v>733102.621733887</v>
      </c>
      <c r="E60" s="11">
        <v>-4447.1099999999997</v>
      </c>
      <c r="F60" s="11">
        <v>-100000</v>
      </c>
      <c r="H60" s="11">
        <f t="shared" si="7"/>
        <v>628655.51173388702</v>
      </c>
      <c r="I60" s="11">
        <f t="shared" si="8"/>
        <v>3191.1447296136398</v>
      </c>
      <c r="J60" s="11">
        <f t="shared" si="9"/>
        <v>3143.2775586694352</v>
      </c>
      <c r="L60" s="21">
        <v>221</v>
      </c>
      <c r="M60" s="11">
        <v>849941.61436372588</v>
      </c>
      <c r="N60" s="11">
        <v>-11062.92</v>
      </c>
      <c r="O60" s="11">
        <v>-100000</v>
      </c>
      <c r="Q60" s="11">
        <f t="shared" si="10"/>
        <v>738878.69436372584</v>
      </c>
      <c r="R60" s="11">
        <f t="shared" si="11"/>
        <v>3343.3425084331484</v>
      </c>
      <c r="S60" s="739"/>
      <c r="T60" s="11">
        <f t="shared" si="12"/>
        <v>0</v>
      </c>
      <c r="V60" s="11">
        <f t="shared" si="0"/>
        <v>694664.34046594519</v>
      </c>
      <c r="W60" s="11">
        <f t="shared" si="1"/>
        <v>0</v>
      </c>
      <c r="X60" s="11">
        <f t="shared" si="2"/>
        <v>-44214.353897780646</v>
      </c>
      <c r="Y60" s="11">
        <f t="shared" si="3"/>
        <v>-43993.282128291743</v>
      </c>
      <c r="Z60" s="11">
        <f t="shared" si="4"/>
        <v>-43772.210358802833</v>
      </c>
      <c r="AA60" s="11">
        <f t="shared" si="5"/>
        <v>-43551.13858931393</v>
      </c>
      <c r="AB60" s="11">
        <f t="shared" si="6"/>
        <v>-43330.066819825028</v>
      </c>
      <c r="AC60" s="11">
        <v>0</v>
      </c>
      <c r="AG60" s="30" t="s">
        <v>1096</v>
      </c>
      <c r="AH60" s="30"/>
      <c r="AI60" s="21"/>
      <c r="AN60" s="30"/>
      <c r="AO60" s="30"/>
      <c r="AP60" s="21"/>
    </row>
    <row r="61" spans="1:42" s="11" customFormat="1" ht="12.75" x14ac:dyDescent="0.2">
      <c r="A61" s="9" t="s">
        <v>60</v>
      </c>
      <c r="B61" s="26">
        <v>3543</v>
      </c>
      <c r="C61" s="944">
        <v>301</v>
      </c>
      <c r="D61" s="11">
        <v>1012929.0583131936</v>
      </c>
      <c r="E61" s="11">
        <v>1078.8619999999992</v>
      </c>
      <c r="F61" s="11">
        <v>-100000</v>
      </c>
      <c r="H61" s="11">
        <f t="shared" si="7"/>
        <v>914007.92031319358</v>
      </c>
      <c r="I61" s="11">
        <f t="shared" si="8"/>
        <v>3036.5711638312077</v>
      </c>
      <c r="J61" s="11">
        <f t="shared" si="9"/>
        <v>2991.0225963737394</v>
      </c>
      <c r="L61" s="21">
        <v>303</v>
      </c>
      <c r="M61" s="11">
        <v>1041891.4943105072</v>
      </c>
      <c r="N61" s="11">
        <v>-2313.155999999999</v>
      </c>
      <c r="O61" s="11">
        <v>-100000</v>
      </c>
      <c r="Q61" s="11">
        <f t="shared" si="10"/>
        <v>939578.33831050724</v>
      </c>
      <c r="R61" s="11">
        <f t="shared" si="11"/>
        <v>3100.9186082855026</v>
      </c>
      <c r="S61" s="739"/>
      <c r="T61" s="11">
        <f t="shared" si="12"/>
        <v>0</v>
      </c>
      <c r="V61" s="11">
        <f t="shared" si="0"/>
        <v>906279.84670124308</v>
      </c>
      <c r="W61" s="11">
        <f t="shared" si="1"/>
        <v>0</v>
      </c>
      <c r="X61" s="11">
        <f t="shared" si="2"/>
        <v>-33298.491609264165</v>
      </c>
      <c r="Y61" s="11">
        <f t="shared" si="3"/>
        <v>-33131.999151217846</v>
      </c>
      <c r="Z61" s="11">
        <f t="shared" si="4"/>
        <v>-32965.506693171519</v>
      </c>
      <c r="AA61" s="11">
        <f t="shared" si="5"/>
        <v>-32799.0142351252</v>
      </c>
      <c r="AB61" s="11">
        <f t="shared" si="6"/>
        <v>-32632.52177707888</v>
      </c>
      <c r="AC61" s="11">
        <v>0</v>
      </c>
      <c r="AG61" s="30" t="s">
        <v>1097</v>
      </c>
      <c r="AH61" s="30"/>
      <c r="AI61" s="21"/>
      <c r="AN61" s="30"/>
      <c r="AO61" s="30"/>
      <c r="AP61" s="21"/>
    </row>
    <row r="62" spans="1:42" s="11" customFormat="1" ht="12.75" x14ac:dyDescent="0.2">
      <c r="A62" s="9" t="s">
        <v>62</v>
      </c>
      <c r="B62" s="26">
        <v>3531</v>
      </c>
      <c r="C62" s="944">
        <v>352</v>
      </c>
      <c r="D62" s="11">
        <v>1240584.9697193063</v>
      </c>
      <c r="E62" s="11">
        <v>-2859.3999999999996</v>
      </c>
      <c r="F62" s="11">
        <v>-100000</v>
      </c>
      <c r="H62" s="11">
        <f t="shared" si="7"/>
        <v>1137725.5697193064</v>
      </c>
      <c r="I62" s="11">
        <f t="shared" si="8"/>
        <v>3232.1749139753024</v>
      </c>
      <c r="J62" s="11">
        <f t="shared" si="9"/>
        <v>3183.6922902656729</v>
      </c>
      <c r="L62" s="21">
        <v>345</v>
      </c>
      <c r="M62" s="11">
        <v>1223154.6770552432</v>
      </c>
      <c r="N62" s="11">
        <v>-2916.5879999999997</v>
      </c>
      <c r="O62" s="11">
        <v>-100000</v>
      </c>
      <c r="Q62" s="11">
        <f t="shared" si="10"/>
        <v>1120238.0890552432</v>
      </c>
      <c r="R62" s="11">
        <f t="shared" si="11"/>
        <v>3247.0669247978062</v>
      </c>
      <c r="S62" s="739"/>
      <c r="T62" s="11">
        <f t="shared" si="12"/>
        <v>0</v>
      </c>
      <c r="V62" s="11">
        <f t="shared" si="0"/>
        <v>1098373.840141657</v>
      </c>
      <c r="W62" s="11">
        <f t="shared" si="1"/>
        <v>0</v>
      </c>
      <c r="X62" s="11">
        <f t="shared" si="2"/>
        <v>-21864.24891358614</v>
      </c>
      <c r="Y62" s="11">
        <f t="shared" si="3"/>
        <v>-21754.927669018209</v>
      </c>
      <c r="Z62" s="11">
        <f t="shared" si="4"/>
        <v>-21645.606424450281</v>
      </c>
      <c r="AA62" s="11">
        <f t="shared" si="5"/>
        <v>-21536.28517988235</v>
      </c>
      <c r="AB62" s="11">
        <f t="shared" si="6"/>
        <v>-21426.963935314419</v>
      </c>
      <c r="AC62" s="11">
        <v>0</v>
      </c>
      <c r="AG62" s="30" t="s">
        <v>1098</v>
      </c>
      <c r="AH62" s="30"/>
      <c r="AI62" s="21"/>
      <c r="AN62" s="30"/>
      <c r="AO62" s="30"/>
      <c r="AP62" s="21"/>
    </row>
    <row r="63" spans="1:42" s="11" customFormat="1" ht="12.75" x14ac:dyDescent="0.2">
      <c r="A63" s="9" t="s">
        <v>103</v>
      </c>
      <c r="B63" s="26">
        <v>3526</v>
      </c>
      <c r="C63" s="944">
        <v>85</v>
      </c>
      <c r="D63" s="11">
        <v>448205.32351295778</v>
      </c>
      <c r="E63" s="11">
        <v>-30.903999999999996</v>
      </c>
      <c r="F63" s="11">
        <v>-100000</v>
      </c>
      <c r="H63" s="11">
        <f t="shared" si="7"/>
        <v>348174.4195129578</v>
      </c>
      <c r="I63" s="11">
        <f t="shared" si="8"/>
        <v>4096.1696413289155</v>
      </c>
      <c r="J63" s="11">
        <f t="shared" si="9"/>
        <v>4034.7270967089817</v>
      </c>
      <c r="L63" s="21">
        <v>90</v>
      </c>
      <c r="M63" s="11">
        <v>471609.35152840923</v>
      </c>
      <c r="N63" s="11">
        <v>-894.69919999999956</v>
      </c>
      <c r="O63" s="11">
        <v>-100000</v>
      </c>
      <c r="Q63" s="11">
        <f t="shared" si="10"/>
        <v>370714.65232840925</v>
      </c>
      <c r="R63" s="11">
        <f t="shared" si="11"/>
        <v>4119.0516925378806</v>
      </c>
      <c r="S63" s="739"/>
      <c r="T63" s="11">
        <f t="shared" si="12"/>
        <v>0</v>
      </c>
      <c r="V63" s="11">
        <f t="shared" si="0"/>
        <v>363125.43870380835</v>
      </c>
      <c r="W63" s="11">
        <f t="shared" si="1"/>
        <v>0</v>
      </c>
      <c r="X63" s="11">
        <f t="shared" si="2"/>
        <v>-7589.2136246009031</v>
      </c>
      <c r="Y63" s="11">
        <f t="shared" si="3"/>
        <v>-7551.2675564778983</v>
      </c>
      <c r="Z63" s="11">
        <f t="shared" si="4"/>
        <v>-7513.3214883548944</v>
      </c>
      <c r="AA63" s="11">
        <f t="shared" si="5"/>
        <v>-7475.3754202318896</v>
      </c>
      <c r="AB63" s="11">
        <f t="shared" si="6"/>
        <v>-7437.4293521088848</v>
      </c>
      <c r="AC63" s="11">
        <v>0</v>
      </c>
      <c r="AG63" s="30" t="s">
        <v>1100</v>
      </c>
      <c r="AH63" s="30"/>
      <c r="AI63" s="21"/>
      <c r="AN63" s="30"/>
      <c r="AO63" s="30"/>
      <c r="AP63" s="21"/>
    </row>
    <row r="64" spans="1:42" s="11" customFormat="1" ht="12.75" x14ac:dyDescent="0.2">
      <c r="A64" s="9" t="s">
        <v>104</v>
      </c>
      <c r="B64" s="26">
        <v>3535</v>
      </c>
      <c r="C64" s="944">
        <v>297</v>
      </c>
      <c r="D64" s="11">
        <v>1285754.946961544</v>
      </c>
      <c r="E64" s="11">
        <v>-861.75199999999882</v>
      </c>
      <c r="F64" s="11">
        <v>-100000</v>
      </c>
      <c r="H64" s="11">
        <f t="shared" si="7"/>
        <v>1184893.1949615439</v>
      </c>
      <c r="I64" s="11">
        <f t="shared" si="8"/>
        <v>3989.5393769748953</v>
      </c>
      <c r="J64" s="11">
        <f t="shared" si="9"/>
        <v>3929.6962863202716</v>
      </c>
      <c r="L64" s="21">
        <v>283</v>
      </c>
      <c r="M64" s="11">
        <v>1160806.10177351</v>
      </c>
      <c r="N64" s="11">
        <v>-2187.4409999999989</v>
      </c>
      <c r="O64" s="11">
        <v>-100000</v>
      </c>
      <c r="Q64" s="11">
        <f t="shared" si="10"/>
        <v>1058618.6607735099</v>
      </c>
      <c r="R64" s="11">
        <f t="shared" si="11"/>
        <v>3740.7019815318372</v>
      </c>
      <c r="S64" s="739"/>
      <c r="T64" s="11">
        <f t="shared" si="12"/>
        <v>53485.388255127007</v>
      </c>
      <c r="V64" s="11">
        <f t="shared" si="0"/>
        <v>1112104.0490286369</v>
      </c>
      <c r="W64" s="11">
        <f t="shared" si="1"/>
        <v>53485.388255127007</v>
      </c>
      <c r="X64" s="11">
        <f t="shared" si="2"/>
        <v>0</v>
      </c>
      <c r="Y64" s="11">
        <f t="shared" si="3"/>
        <v>0</v>
      </c>
      <c r="Z64" s="11">
        <f t="shared" si="4"/>
        <v>0</v>
      </c>
      <c r="AA64" s="11">
        <f t="shared" si="5"/>
        <v>0</v>
      </c>
      <c r="AB64" s="11">
        <f t="shared" si="6"/>
        <v>0</v>
      </c>
      <c r="AC64" s="11">
        <v>0</v>
      </c>
      <c r="AG64" s="30" t="s">
        <v>1101</v>
      </c>
      <c r="AH64" s="30"/>
      <c r="AI64" s="21"/>
      <c r="AN64" s="30"/>
      <c r="AO64" s="30"/>
      <c r="AP64" s="21"/>
    </row>
    <row r="65" spans="1:42" s="11" customFormat="1" ht="12.75" x14ac:dyDescent="0.2">
      <c r="A65" s="12" t="s">
        <v>64</v>
      </c>
      <c r="B65" s="26">
        <v>2008</v>
      </c>
      <c r="C65" s="944">
        <v>228</v>
      </c>
      <c r="D65" s="11">
        <v>864134.62448103831</v>
      </c>
      <c r="E65" s="11">
        <v>-1972</v>
      </c>
      <c r="F65" s="11">
        <v>-100000</v>
      </c>
      <c r="H65" s="11">
        <f t="shared" si="7"/>
        <v>762162.62448103831</v>
      </c>
      <c r="I65" s="11">
        <f t="shared" si="8"/>
        <v>3342.8185284256065</v>
      </c>
      <c r="J65" s="11">
        <f t="shared" si="9"/>
        <v>3292.6762504992225</v>
      </c>
      <c r="L65" s="21">
        <v>226</v>
      </c>
      <c r="M65" s="11">
        <v>849322.50898197223</v>
      </c>
      <c r="N65" s="11">
        <v>-2011.4399999999996</v>
      </c>
      <c r="O65" s="11">
        <v>-100000</v>
      </c>
      <c r="Q65" s="11">
        <f t="shared" si="10"/>
        <v>747311.06898197229</v>
      </c>
      <c r="R65" s="11">
        <f t="shared" si="11"/>
        <v>3306.6861459379306</v>
      </c>
      <c r="S65" s="739"/>
      <c r="T65" s="11">
        <f t="shared" si="12"/>
        <v>0</v>
      </c>
      <c r="V65" s="11">
        <f t="shared" si="0"/>
        <v>744144.83261282428</v>
      </c>
      <c r="W65" s="11">
        <f t="shared" si="1"/>
        <v>0</v>
      </c>
      <c r="X65" s="11">
        <f t="shared" si="2"/>
        <v>-3166.2363691480132</v>
      </c>
      <c r="Y65" s="11">
        <f t="shared" si="3"/>
        <v>-3150.4051873022731</v>
      </c>
      <c r="Z65" s="11">
        <f t="shared" si="4"/>
        <v>-3134.5740054565331</v>
      </c>
      <c r="AA65" s="11">
        <f t="shared" si="5"/>
        <v>-3118.742823610793</v>
      </c>
      <c r="AB65" s="11">
        <f t="shared" si="6"/>
        <v>-3102.911641765053</v>
      </c>
      <c r="AC65" s="11">
        <v>0</v>
      </c>
      <c r="AG65" s="30" t="s">
        <v>1102</v>
      </c>
      <c r="AH65" s="30"/>
      <c r="AI65" s="21"/>
      <c r="AN65" s="30"/>
      <c r="AO65" s="30"/>
      <c r="AP65" s="21"/>
    </row>
    <row r="66" spans="1:42" s="11" customFormat="1" ht="12.75" x14ac:dyDescent="0.2">
      <c r="A66" s="9" t="s">
        <v>105</v>
      </c>
      <c r="B66" s="26">
        <v>3542</v>
      </c>
      <c r="C66" s="944">
        <v>351</v>
      </c>
      <c r="D66" s="11">
        <v>1266465.0321832367</v>
      </c>
      <c r="E66" s="11">
        <v>-2266.1320000000019</v>
      </c>
      <c r="F66" s="11">
        <v>-100000</v>
      </c>
      <c r="H66" s="11">
        <f t="shared" si="7"/>
        <v>1164198.9001832367</v>
      </c>
      <c r="I66" s="11">
        <f t="shared" si="8"/>
        <v>3316.8059834280248</v>
      </c>
      <c r="J66" s="11">
        <f t="shared" si="9"/>
        <v>3267.0538936766043</v>
      </c>
      <c r="L66" s="21">
        <v>352</v>
      </c>
      <c r="M66" s="11">
        <v>1295261.5288108157</v>
      </c>
      <c r="N66" s="11">
        <v>-4224.0239999999976</v>
      </c>
      <c r="O66" s="11">
        <v>-100000</v>
      </c>
      <c r="Q66" s="11">
        <f t="shared" si="10"/>
        <v>1191037.5048108157</v>
      </c>
      <c r="R66" s="11">
        <f t="shared" si="11"/>
        <v>3383.6292750307261</v>
      </c>
      <c r="S66" s="739"/>
      <c r="T66" s="11">
        <f t="shared" si="12"/>
        <v>0</v>
      </c>
      <c r="V66" s="11">
        <f t="shared" ref="V66:V73" si="13">J66*L66</f>
        <v>1150002.9705741648</v>
      </c>
      <c r="W66" s="11">
        <f t="shared" ref="W66:W73" si="14">IF(V66&lt;Q66,0,V66-Q66)</f>
        <v>0</v>
      </c>
      <c r="X66" s="11">
        <f t="shared" ref="X66:X73" si="15">-IF(V66&lt;Q66,Q66-V66,0)</f>
        <v>-41034.534236650914</v>
      </c>
      <c r="Y66" s="11">
        <f t="shared" ref="Y66:Y73" si="16">-IF(V66&lt;Q66,(Q66-V66)/100*99.5,0)</f>
        <v>-40829.361565467661</v>
      </c>
      <c r="Z66" s="11">
        <f t="shared" ref="Z66:Z73" si="17">-IF(V66&lt;Q66,(Q66-V66)/100*99,0)</f>
        <v>-40624.188894284409</v>
      </c>
      <c r="AA66" s="11">
        <f t="shared" ref="AA66:AA73" si="18">-IF(V66&lt;Q66,(Q66-V66)/100*98.5,0)</f>
        <v>-40419.016223101149</v>
      </c>
      <c r="AB66" s="11">
        <f t="shared" ref="AB66:AB73" si="19">-IF(V66&lt;Q66,(Q66-V66)/100*98,0)</f>
        <v>-40213.843551917897</v>
      </c>
      <c r="AC66" s="11">
        <v>0</v>
      </c>
      <c r="AG66" s="30" t="s">
        <v>1104</v>
      </c>
      <c r="AH66" s="30"/>
      <c r="AI66" s="21"/>
      <c r="AN66" s="30"/>
      <c r="AO66" s="30"/>
      <c r="AP66" s="21"/>
    </row>
    <row r="67" spans="1:42" s="11" customFormat="1" ht="12.75" x14ac:dyDescent="0.2">
      <c r="A67" s="9" t="s">
        <v>106</v>
      </c>
      <c r="B67" s="26">
        <v>3528</v>
      </c>
      <c r="C67" s="944">
        <v>347</v>
      </c>
      <c r="D67" s="11">
        <v>1243528.5089631202</v>
      </c>
      <c r="E67" s="11">
        <v>-4153.7399999999989</v>
      </c>
      <c r="F67" s="11">
        <v>-100000</v>
      </c>
      <c r="H67" s="11">
        <f t="shared" si="7"/>
        <v>1139374.7689631202</v>
      </c>
      <c r="I67" s="11">
        <f t="shared" si="8"/>
        <v>3283.5007751098565</v>
      </c>
      <c r="J67" s="11">
        <f t="shared" si="9"/>
        <v>3234.2482634832086</v>
      </c>
      <c r="L67" s="21">
        <v>346</v>
      </c>
      <c r="M67" s="11">
        <v>1263236.2493103354</v>
      </c>
      <c r="N67" s="11">
        <v>-7593.1859999999979</v>
      </c>
      <c r="O67" s="11">
        <v>-100000</v>
      </c>
      <c r="Q67" s="11">
        <f t="shared" si="10"/>
        <v>1155643.0633103354</v>
      </c>
      <c r="R67" s="11">
        <f t="shared" si="11"/>
        <v>3340.0088534980791</v>
      </c>
      <c r="S67" s="739"/>
      <c r="T67" s="11">
        <f t="shared" si="12"/>
        <v>0</v>
      </c>
      <c r="V67" s="11">
        <f t="shared" si="13"/>
        <v>1119049.8991651901</v>
      </c>
      <c r="W67" s="11">
        <f t="shared" si="14"/>
        <v>0</v>
      </c>
      <c r="X67" s="11">
        <f t="shared" si="15"/>
        <v>-36593.164145145332</v>
      </c>
      <c r="Y67" s="11">
        <f t="shared" si="16"/>
        <v>-36410.198324419609</v>
      </c>
      <c r="Z67" s="11">
        <f t="shared" si="17"/>
        <v>-36227.232503693878</v>
      </c>
      <c r="AA67" s="11">
        <f t="shared" si="18"/>
        <v>-36044.266682968155</v>
      </c>
      <c r="AB67" s="11">
        <f t="shared" si="19"/>
        <v>-35861.300862242431</v>
      </c>
      <c r="AC67" s="11">
        <v>0</v>
      </c>
      <c r="AG67" s="30" t="s">
        <v>1105</v>
      </c>
      <c r="AH67" s="30"/>
      <c r="AI67" s="21"/>
      <c r="AN67" s="30"/>
      <c r="AO67" s="30"/>
      <c r="AP67" s="21"/>
    </row>
    <row r="68" spans="1:42" s="11" customFormat="1" ht="12.75" x14ac:dyDescent="0.2">
      <c r="A68" s="9" t="s">
        <v>107</v>
      </c>
      <c r="B68" s="26">
        <v>3534</v>
      </c>
      <c r="C68" s="944">
        <v>244</v>
      </c>
      <c r="D68" s="11">
        <v>791299.78160170978</v>
      </c>
      <c r="E68" s="11">
        <v>-1042.0380000000011</v>
      </c>
      <c r="F68" s="11">
        <v>-100000</v>
      </c>
      <c r="H68" s="11">
        <f t="shared" ref="H68:H73" si="20">SUM(D68:G68)</f>
        <v>690257.74360170972</v>
      </c>
      <c r="I68" s="11">
        <f t="shared" ref="I68:I73" si="21">SUM(H68/C68)</f>
        <v>2828.9251786955315</v>
      </c>
      <c r="J68" s="11">
        <f t="shared" ref="J68:J73" si="22">SUM(I68*0.985)</f>
        <v>2786.4913010150985</v>
      </c>
      <c r="L68" s="21">
        <v>255</v>
      </c>
      <c r="M68" s="11">
        <v>846080.43446656375</v>
      </c>
      <c r="N68" s="11">
        <v>-2489.1569999999992</v>
      </c>
      <c r="O68" s="11">
        <v>-100000</v>
      </c>
      <c r="Q68" s="11">
        <f t="shared" ref="Q68:Q73" si="23">SUM(M68:P68)</f>
        <v>743591.27746656374</v>
      </c>
      <c r="R68" s="11">
        <f t="shared" ref="R68:R73" si="24">SUM(Q68/L68)</f>
        <v>2916.0442253590736</v>
      </c>
      <c r="S68" s="739"/>
      <c r="T68" s="11">
        <f t="shared" ref="T68:T73" si="25">W68+AC68</f>
        <v>0</v>
      </c>
      <c r="V68" s="11">
        <f t="shared" si="13"/>
        <v>710555.28175885009</v>
      </c>
      <c r="W68" s="11">
        <f t="shared" si="14"/>
        <v>0</v>
      </c>
      <c r="X68" s="11">
        <f t="shared" si="15"/>
        <v>-33035.99570771365</v>
      </c>
      <c r="Y68" s="11">
        <f t="shared" si="16"/>
        <v>-32870.815729175076</v>
      </c>
      <c r="Z68" s="11">
        <f t="shared" si="17"/>
        <v>-32705.635750636509</v>
      </c>
      <c r="AA68" s="11">
        <f t="shared" si="18"/>
        <v>-32540.455772097943</v>
      </c>
      <c r="AB68" s="11">
        <f t="shared" si="19"/>
        <v>-32375.275793559373</v>
      </c>
      <c r="AC68" s="11">
        <v>0</v>
      </c>
      <c r="AG68" s="30" t="s">
        <v>1106</v>
      </c>
      <c r="AH68" s="30"/>
      <c r="AI68" s="21"/>
      <c r="AN68" s="30"/>
      <c r="AO68" s="30"/>
      <c r="AP68" s="21"/>
    </row>
    <row r="69" spans="1:42" s="11" customFormat="1" ht="12.75" x14ac:dyDescent="0.2">
      <c r="A69" s="9" t="s">
        <v>108</v>
      </c>
      <c r="B69" s="26">
        <v>3532</v>
      </c>
      <c r="C69" s="944">
        <v>310</v>
      </c>
      <c r="D69" s="11">
        <v>936380.66188515874</v>
      </c>
      <c r="E69" s="11">
        <v>-233.01800000000185</v>
      </c>
      <c r="F69" s="11">
        <v>-100000</v>
      </c>
      <c r="H69" s="11">
        <f t="shared" si="20"/>
        <v>836147.6438851587</v>
      </c>
      <c r="I69" s="11">
        <f t="shared" si="21"/>
        <v>2697.250464145673</v>
      </c>
      <c r="J69" s="11">
        <f t="shared" si="22"/>
        <v>2656.7917071834881</v>
      </c>
      <c r="L69" s="21">
        <v>317</v>
      </c>
      <c r="M69" s="11">
        <v>980620.13878036535</v>
      </c>
      <c r="N69" s="11">
        <v>-3570.3059999999987</v>
      </c>
      <c r="O69" s="11">
        <v>-100000</v>
      </c>
      <c r="Q69" s="11">
        <f t="shared" si="23"/>
        <v>877049.83278036537</v>
      </c>
      <c r="R69" s="11">
        <f t="shared" si="24"/>
        <v>2766.7187153954742</v>
      </c>
      <c r="S69" s="739"/>
      <c r="T69" s="11">
        <f t="shared" si="25"/>
        <v>0</v>
      </c>
      <c r="V69" s="11">
        <f t="shared" si="13"/>
        <v>842202.97117716575</v>
      </c>
      <c r="W69" s="11">
        <f t="shared" si="14"/>
        <v>0</v>
      </c>
      <c r="X69" s="11">
        <f t="shared" si="15"/>
        <v>-34846.861603199621</v>
      </c>
      <c r="Y69" s="11">
        <f t="shared" si="16"/>
        <v>-34672.627295183622</v>
      </c>
      <c r="Z69" s="11">
        <f t="shared" si="17"/>
        <v>-34498.392987167623</v>
      </c>
      <c r="AA69" s="11">
        <f t="shared" si="18"/>
        <v>-34324.158679151624</v>
      </c>
      <c r="AB69" s="11">
        <f t="shared" si="19"/>
        <v>-34149.924371135625</v>
      </c>
      <c r="AC69" s="11">
        <v>0</v>
      </c>
      <c r="AG69" s="30" t="s">
        <v>1107</v>
      </c>
      <c r="AH69" s="30"/>
      <c r="AI69" s="21"/>
      <c r="AN69" s="30"/>
      <c r="AO69" s="30"/>
      <c r="AP69" s="21"/>
    </row>
    <row r="70" spans="1:42" s="11" customFormat="1" ht="12.75" x14ac:dyDescent="0.2">
      <c r="A70" s="9" t="s">
        <v>65</v>
      </c>
      <c r="B70" s="26">
        <v>3546</v>
      </c>
      <c r="C70" s="944">
        <v>546</v>
      </c>
      <c r="D70" s="11">
        <v>2185828.4329278138</v>
      </c>
      <c r="E70" s="11">
        <v>24974.98000000001</v>
      </c>
      <c r="F70" s="11">
        <v>-100000</v>
      </c>
      <c r="H70" s="11">
        <f t="shared" si="20"/>
        <v>2110803.4129278138</v>
      </c>
      <c r="I70" s="11">
        <f t="shared" si="21"/>
        <v>3865.9403167176079</v>
      </c>
      <c r="J70" s="11">
        <f t="shared" si="22"/>
        <v>3807.9512119668439</v>
      </c>
      <c r="L70" s="21">
        <v>585</v>
      </c>
      <c r="M70" s="11">
        <v>2270962.1504638609</v>
      </c>
      <c r="N70" s="11">
        <v>-62857.5</v>
      </c>
      <c r="O70" s="11">
        <v>-100000</v>
      </c>
      <c r="Q70" s="11">
        <f t="shared" si="23"/>
        <v>2108104.6504638609</v>
      </c>
      <c r="R70" s="11">
        <f t="shared" si="24"/>
        <v>3603.5976931006171</v>
      </c>
      <c r="S70" s="739"/>
      <c r="T70" s="11">
        <f t="shared" si="25"/>
        <v>119546.80853674281</v>
      </c>
      <c r="V70" s="11">
        <f t="shared" si="13"/>
        <v>2227651.4590006038</v>
      </c>
      <c r="W70" s="11">
        <f t="shared" si="14"/>
        <v>119546.80853674281</v>
      </c>
      <c r="X70" s="11">
        <f t="shared" si="15"/>
        <v>0</v>
      </c>
      <c r="Y70" s="11">
        <f t="shared" si="16"/>
        <v>0</v>
      </c>
      <c r="Z70" s="11">
        <f t="shared" si="17"/>
        <v>0</v>
      </c>
      <c r="AA70" s="11">
        <f t="shared" si="18"/>
        <v>0</v>
      </c>
      <c r="AB70" s="11">
        <f t="shared" si="19"/>
        <v>0</v>
      </c>
      <c r="AC70" s="11">
        <v>0</v>
      </c>
      <c r="AG70" s="30" t="s">
        <v>1109</v>
      </c>
      <c r="AH70" s="30"/>
      <c r="AI70" s="21"/>
      <c r="AN70" s="30"/>
      <c r="AO70" s="30"/>
      <c r="AP70" s="21"/>
    </row>
    <row r="71" spans="1:42" s="11" customFormat="1" ht="12.75" x14ac:dyDescent="0.2">
      <c r="A71" s="9" t="s">
        <v>109</v>
      </c>
      <c r="B71" s="26">
        <v>3530</v>
      </c>
      <c r="C71" s="944">
        <v>317</v>
      </c>
      <c r="D71" s="11">
        <v>937894.54145797063</v>
      </c>
      <c r="E71" s="11">
        <v>-855.97200000000089</v>
      </c>
      <c r="F71" s="11">
        <v>-100000</v>
      </c>
      <c r="H71" s="11">
        <f t="shared" si="20"/>
        <v>837038.56945797068</v>
      </c>
      <c r="I71" s="11">
        <f t="shared" si="21"/>
        <v>2640.5002191103176</v>
      </c>
      <c r="J71" s="11">
        <f t="shared" si="22"/>
        <v>2600.8927158236629</v>
      </c>
      <c r="L71" s="21">
        <v>335</v>
      </c>
      <c r="M71" s="11">
        <v>1017312.0390484078</v>
      </c>
      <c r="N71" s="11">
        <v>-4903.3779999999988</v>
      </c>
      <c r="O71" s="11">
        <v>-100000</v>
      </c>
      <c r="Q71" s="11">
        <f t="shared" si="23"/>
        <v>912408.66104840778</v>
      </c>
      <c r="R71" s="11">
        <f t="shared" si="24"/>
        <v>2723.6079434280828</v>
      </c>
      <c r="S71" s="739"/>
      <c r="T71" s="11">
        <f t="shared" si="25"/>
        <v>0</v>
      </c>
      <c r="V71" s="11">
        <f t="shared" si="13"/>
        <v>871299.05980092706</v>
      </c>
      <c r="W71" s="11">
        <f t="shared" si="14"/>
        <v>0</v>
      </c>
      <c r="X71" s="11">
        <f t="shared" si="15"/>
        <v>-41109.601247480721</v>
      </c>
      <c r="Y71" s="11">
        <f t="shared" si="16"/>
        <v>-40904.053241243317</v>
      </c>
      <c r="Z71" s="11">
        <f t="shared" si="17"/>
        <v>-40698.505235005912</v>
      </c>
      <c r="AA71" s="11">
        <f t="shared" si="18"/>
        <v>-40492.957228768508</v>
      </c>
      <c r="AB71" s="11">
        <f t="shared" si="19"/>
        <v>-40287.409222531103</v>
      </c>
      <c r="AC71" s="11">
        <v>0</v>
      </c>
      <c r="AG71" s="30" t="s">
        <v>1111</v>
      </c>
      <c r="AH71" s="30"/>
      <c r="AI71" s="21"/>
      <c r="AN71" s="30"/>
      <c r="AO71" s="30"/>
      <c r="AP71" s="21"/>
    </row>
    <row r="72" spans="1:42" s="11" customFormat="1" ht="12.75" x14ac:dyDescent="0.2">
      <c r="A72" s="9" t="s">
        <v>67</v>
      </c>
      <c r="B72" s="26">
        <v>2459</v>
      </c>
      <c r="C72" s="944">
        <v>390</v>
      </c>
      <c r="D72" s="11">
        <v>1153371.0923493076</v>
      </c>
      <c r="E72" s="11">
        <v>-1014.8200000000015</v>
      </c>
      <c r="F72" s="11">
        <v>-100000</v>
      </c>
      <c r="H72" s="11">
        <f t="shared" si="20"/>
        <v>1052356.2723493075</v>
      </c>
      <c r="I72" s="11">
        <f t="shared" si="21"/>
        <v>2698.3494162802758</v>
      </c>
      <c r="J72" s="11">
        <f t="shared" si="22"/>
        <v>2657.8741750360718</v>
      </c>
      <c r="L72" s="21">
        <v>382</v>
      </c>
      <c r="M72" s="11">
        <v>1199249.9857442519</v>
      </c>
      <c r="N72" s="11">
        <v>-13200.074999999999</v>
      </c>
      <c r="O72" s="11">
        <v>-100000</v>
      </c>
      <c r="Q72" s="11">
        <f t="shared" si="23"/>
        <v>1086049.9107442519</v>
      </c>
      <c r="R72" s="11">
        <f t="shared" si="24"/>
        <v>2843.0625935713401</v>
      </c>
      <c r="S72" s="739"/>
      <c r="T72" s="11">
        <f t="shared" si="25"/>
        <v>0</v>
      </c>
      <c r="V72" s="11">
        <f t="shared" si="13"/>
        <v>1015307.9348637795</v>
      </c>
      <c r="W72" s="11">
        <f t="shared" si="14"/>
        <v>0</v>
      </c>
      <c r="X72" s="11">
        <f t="shared" si="15"/>
        <v>-70741.975880472455</v>
      </c>
      <c r="Y72" s="11">
        <f t="shared" si="16"/>
        <v>-70388.266001070093</v>
      </c>
      <c r="Z72" s="11">
        <f t="shared" si="17"/>
        <v>-70034.556121667731</v>
      </c>
      <c r="AA72" s="11">
        <f t="shared" si="18"/>
        <v>-69680.846242265368</v>
      </c>
      <c r="AB72" s="11">
        <f t="shared" si="19"/>
        <v>-69327.136362863006</v>
      </c>
      <c r="AC72" s="11">
        <v>0</v>
      </c>
      <c r="AG72" s="30" t="s">
        <v>1112</v>
      </c>
      <c r="AH72" s="30"/>
      <c r="AI72" s="21"/>
      <c r="AN72" s="30"/>
      <c r="AO72" s="30"/>
      <c r="AP72" s="21"/>
    </row>
    <row r="73" spans="1:42" s="11" customFormat="1" ht="12.75" x14ac:dyDescent="0.2">
      <c r="A73" s="9" t="s">
        <v>846</v>
      </c>
      <c r="B73" s="10">
        <v>4000</v>
      </c>
      <c r="C73" s="944">
        <v>229</v>
      </c>
      <c r="D73" s="11">
        <v>994660.93229386024</v>
      </c>
      <c r="E73" s="11">
        <v>-8627.5</v>
      </c>
      <c r="F73" s="11">
        <v>-100000</v>
      </c>
      <c r="H73" s="11">
        <f t="shared" si="20"/>
        <v>886033.43229386024</v>
      </c>
      <c r="I73" s="11">
        <f t="shared" si="21"/>
        <v>3869.1416257373808</v>
      </c>
      <c r="J73" s="11">
        <f t="shared" si="22"/>
        <v>3811.1045013513199</v>
      </c>
      <c r="L73" s="21">
        <v>213.75</v>
      </c>
      <c r="M73" s="11">
        <v>964371.87771857926</v>
      </c>
      <c r="N73" s="11">
        <v>-14078.108</v>
      </c>
      <c r="O73" s="11">
        <v>-100000</v>
      </c>
      <c r="Q73" s="11">
        <f t="shared" si="23"/>
        <v>850293.76971857925</v>
      </c>
      <c r="R73" s="11">
        <f t="shared" si="24"/>
        <v>3977.982548391014</v>
      </c>
      <c r="S73" s="739"/>
      <c r="T73" s="11">
        <f t="shared" si="25"/>
        <v>0</v>
      </c>
      <c r="V73" s="11">
        <f t="shared" si="13"/>
        <v>814623.58716384461</v>
      </c>
      <c r="W73" s="11">
        <f t="shared" si="14"/>
        <v>0</v>
      </c>
      <c r="X73" s="11">
        <f t="shared" si="15"/>
        <v>-35670.182554734638</v>
      </c>
      <c r="Y73" s="11">
        <f t="shared" si="16"/>
        <v>-35491.831641960969</v>
      </c>
      <c r="Z73" s="11">
        <f t="shared" si="17"/>
        <v>-35313.480729187293</v>
      </c>
      <c r="AA73" s="11">
        <f t="shared" si="18"/>
        <v>-35135.129816413624</v>
      </c>
      <c r="AB73" s="11">
        <f t="shared" si="19"/>
        <v>-34956.778903639948</v>
      </c>
      <c r="AC73" s="11">
        <v>0</v>
      </c>
      <c r="AE73" s="11" t="s">
        <v>1159</v>
      </c>
      <c r="AG73" s="30" t="s">
        <v>1114</v>
      </c>
      <c r="AH73" s="986"/>
      <c r="AI73" s="21"/>
      <c r="AN73" s="30"/>
      <c r="AO73" s="30"/>
      <c r="AP73" s="21"/>
    </row>
    <row r="74" spans="1:42" s="11" customFormat="1" ht="12.75" x14ac:dyDescent="0.2">
      <c r="A74" s="9"/>
      <c r="B74" s="26"/>
      <c r="C74" s="944"/>
      <c r="L74" s="21"/>
      <c r="AG74" s="30"/>
      <c r="AH74" s="30"/>
      <c r="AI74" s="21"/>
      <c r="AN74" s="30"/>
    </row>
    <row r="75" spans="1:42" s="11" customFormat="1" ht="12.75" x14ac:dyDescent="0.2">
      <c r="A75" s="1" t="s">
        <v>110</v>
      </c>
      <c r="B75" s="24" t="s">
        <v>110</v>
      </c>
      <c r="C75" s="987">
        <f>SUM(C2:C73)</f>
        <v>21885</v>
      </c>
      <c r="D75" s="29">
        <f t="shared" ref="D75:L75" si="26">SUM(D2:D74)</f>
        <v>81072568.6479121</v>
      </c>
      <c r="E75" s="29">
        <f t="shared" si="26"/>
        <v>-268204.47303999984</v>
      </c>
      <c r="F75" s="29">
        <f t="shared" si="26"/>
        <v>-7100000</v>
      </c>
      <c r="G75" s="29">
        <f t="shared" si="26"/>
        <v>0</v>
      </c>
      <c r="H75" s="29">
        <f t="shared" si="26"/>
        <v>73704364.174872115</v>
      </c>
      <c r="I75" s="29">
        <f t="shared" si="26"/>
        <v>239173.51274462391</v>
      </c>
      <c r="J75" s="29">
        <f t="shared" si="26"/>
        <v>235585.91005345454</v>
      </c>
      <c r="K75" s="29"/>
      <c r="L75" s="947">
        <f t="shared" si="26"/>
        <v>22253.416666666664</v>
      </c>
      <c r="M75" s="29">
        <f>SUM(M2:M72)</f>
        <v>81894937.637201354</v>
      </c>
      <c r="N75" s="29">
        <f>SUM(N2:N74)</f>
        <v>-1053547.8651999999</v>
      </c>
      <c r="O75" s="29">
        <f>SUM(O2:O74)</f>
        <v>-7200000</v>
      </c>
      <c r="P75" s="29">
        <f>SUM(P2:P74)</f>
        <v>0</v>
      </c>
      <c r="Q75" s="29">
        <f>SUM(Q2:Q74)</f>
        <v>74605761.649719924</v>
      </c>
      <c r="R75" s="29">
        <f>SUM(R2:R74)</f>
        <v>242703.22401610113</v>
      </c>
      <c r="S75" s="29"/>
      <c r="T75" s="29">
        <f t="shared" ref="T75:AD75" si="27">SUM(T2:T74)</f>
        <v>858815.37535881891</v>
      </c>
      <c r="V75" s="29">
        <f t="shared" si="27"/>
        <v>73548713.313811094</v>
      </c>
      <c r="W75" s="29">
        <f t="shared" si="27"/>
        <v>858815.37535881891</v>
      </c>
      <c r="X75" s="29">
        <f t="shared" si="27"/>
        <v>-1915863.711267635</v>
      </c>
      <c r="Y75" s="29">
        <f t="shared" si="27"/>
        <v>-1906284.3927112969</v>
      </c>
      <c r="Z75" s="29">
        <f t="shared" si="27"/>
        <v>-1896705.0741549591</v>
      </c>
      <c r="AA75" s="29">
        <f t="shared" si="27"/>
        <v>-1887125.7555986207</v>
      </c>
      <c r="AB75" s="29">
        <f t="shared" si="27"/>
        <v>-1877546.4370422831</v>
      </c>
      <c r="AC75" s="29">
        <f t="shared" si="27"/>
        <v>0</v>
      </c>
      <c r="AD75" s="29">
        <f t="shared" si="27"/>
        <v>0</v>
      </c>
      <c r="AG75" s="30"/>
      <c r="AH75" s="30"/>
      <c r="AI75" s="21"/>
      <c r="AN75" s="30"/>
    </row>
    <row r="76" spans="1:42" s="11" customFormat="1" ht="12.75" x14ac:dyDescent="0.2">
      <c r="A76" s="9"/>
      <c r="B76" s="26"/>
      <c r="C76" s="944"/>
      <c r="L76" s="21"/>
      <c r="AG76" s="30"/>
      <c r="AH76" s="30"/>
      <c r="AI76" s="21"/>
      <c r="AN76" s="30"/>
    </row>
    <row r="77" spans="1:42" s="11" customFormat="1" ht="12.75" x14ac:dyDescent="0.2">
      <c r="A77" s="9" t="s">
        <v>75</v>
      </c>
      <c r="B77" s="26">
        <v>5402</v>
      </c>
      <c r="C77" s="944">
        <v>1326</v>
      </c>
      <c r="D77" s="11">
        <v>5581026.966836025</v>
      </c>
      <c r="E77" s="11">
        <v>-39440</v>
      </c>
      <c r="F77" s="11">
        <v>-150000</v>
      </c>
      <c r="H77" s="11">
        <f t="shared" ref="H77:H89" si="28">SUM(D77:G77)</f>
        <v>5391586.966836025</v>
      </c>
      <c r="I77" s="11">
        <f t="shared" ref="I77:I88" si="29">SUM(H77/C77)</f>
        <v>4066.0535194841818</v>
      </c>
      <c r="J77" s="11">
        <f t="shared" ref="J77:J88" si="30">SUM(I77*0.985)</f>
        <v>4005.0627166919189</v>
      </c>
      <c r="L77" s="21">
        <v>1318</v>
      </c>
      <c r="M77" s="11">
        <v>5715567.0085498616</v>
      </c>
      <c r="N77" s="11">
        <v>-40228.799999999988</v>
      </c>
      <c r="O77" s="11">
        <v>-150000</v>
      </c>
      <c r="Q77" s="11">
        <f t="shared" ref="Q77:Q89" si="31">SUM(M77:P77)</f>
        <v>5525338.2085498618</v>
      </c>
      <c r="R77" s="11">
        <f t="shared" ref="R77:R89" si="32">SUM(Q77/L77)</f>
        <v>4192.2141187783473</v>
      </c>
      <c r="S77" s="739"/>
      <c r="T77" s="11">
        <f t="shared" ref="T77:T89" si="33">W77+AC77</f>
        <v>0</v>
      </c>
      <c r="V77" s="11">
        <f t="shared" ref="V77:V89" si="34">J77*L77</f>
        <v>5278672.6605999488</v>
      </c>
      <c r="W77" s="11">
        <f t="shared" ref="W77:W89" si="35">IF(V77&lt;Q77,0,V77-Q77)</f>
        <v>0</v>
      </c>
      <c r="X77" s="11">
        <f t="shared" ref="X77:X89" si="36">-IF(V77&lt;Q77,Q77-V77,0)</f>
        <v>-246665.54794991296</v>
      </c>
      <c r="Y77" s="11">
        <f t="shared" ref="Y77:Y89" si="37">-IF(V77&lt;Q77,(Q77-V77)/100*99.5,0)</f>
        <v>-245432.22021016342</v>
      </c>
      <c r="Z77" s="11">
        <f t="shared" ref="Z77:Z89" si="38">-IF(V77&lt;Q77,(Q77-V77)/100*99,0)</f>
        <v>-244198.89247041385</v>
      </c>
      <c r="AA77" s="11">
        <f t="shared" ref="AA77:AA89" si="39">-IF(V77&lt;Q77,(Q77-V77)/100*98.5,0)</f>
        <v>-242965.56473066428</v>
      </c>
      <c r="AB77" s="11">
        <f t="shared" ref="AB77:AB89" si="40">-IF(V77&lt;Q77,(Q77-V77)/100*98,0)</f>
        <v>-241732.23699091471</v>
      </c>
      <c r="AC77" s="11">
        <v>0</v>
      </c>
      <c r="AG77" s="30" t="s">
        <v>1117</v>
      </c>
      <c r="AH77" s="30"/>
      <c r="AI77" s="21"/>
      <c r="AN77" s="30"/>
      <c r="AO77" s="30"/>
      <c r="AP77" s="21"/>
    </row>
    <row r="78" spans="1:42" s="11" customFormat="1" ht="12.75" x14ac:dyDescent="0.2">
      <c r="A78" s="9" t="s">
        <v>68</v>
      </c>
      <c r="B78" s="26">
        <v>4608</v>
      </c>
      <c r="C78" s="944">
        <v>554</v>
      </c>
      <c r="D78" s="11">
        <v>3089194.8116468452</v>
      </c>
      <c r="E78" s="11">
        <v>-20538.45</v>
      </c>
      <c r="F78" s="11">
        <v>-150000</v>
      </c>
      <c r="H78" s="11">
        <f t="shared" si="28"/>
        <v>2918656.361646845</v>
      </c>
      <c r="I78" s="11">
        <f t="shared" si="29"/>
        <v>5268.3327827560379</v>
      </c>
      <c r="J78" s="11">
        <f t="shared" si="30"/>
        <v>5189.3077910146976</v>
      </c>
      <c r="L78" s="21">
        <v>555</v>
      </c>
      <c r="M78" s="11">
        <v>2942429.7094277046</v>
      </c>
      <c r="N78" s="11">
        <v>-16915.099999999991</v>
      </c>
      <c r="O78" s="11">
        <v>-150000</v>
      </c>
      <c r="Q78" s="11">
        <f t="shared" si="31"/>
        <v>2775514.6094277045</v>
      </c>
      <c r="R78" s="11">
        <f t="shared" si="32"/>
        <v>5000.9272241940625</v>
      </c>
      <c r="S78" s="739"/>
      <c r="T78" s="11">
        <f t="shared" si="33"/>
        <v>104551.21458545281</v>
      </c>
      <c r="V78" s="11">
        <f t="shared" si="34"/>
        <v>2880065.8240131573</v>
      </c>
      <c r="W78" s="11">
        <f t="shared" si="35"/>
        <v>104551.21458545281</v>
      </c>
      <c r="X78" s="11">
        <f t="shared" si="36"/>
        <v>0</v>
      </c>
      <c r="Y78" s="11">
        <f t="shared" si="37"/>
        <v>0</v>
      </c>
      <c r="Z78" s="11">
        <f t="shared" si="38"/>
        <v>0</v>
      </c>
      <c r="AA78" s="11">
        <f t="shared" si="39"/>
        <v>0</v>
      </c>
      <c r="AB78" s="11">
        <f t="shared" si="40"/>
        <v>0</v>
      </c>
      <c r="AC78" s="11">
        <v>0</v>
      </c>
      <c r="AG78" s="30" t="s">
        <v>1119</v>
      </c>
      <c r="AH78" s="30"/>
      <c r="AI78" s="21"/>
      <c r="AN78" s="30"/>
      <c r="AO78" s="30"/>
      <c r="AP78" s="21"/>
    </row>
    <row r="79" spans="1:42" s="11" customFormat="1" ht="12.75" x14ac:dyDescent="0.2">
      <c r="A79" s="9" t="s">
        <v>111</v>
      </c>
      <c r="B79" s="26">
        <v>4178</v>
      </c>
      <c r="C79" s="944">
        <v>1308</v>
      </c>
      <c r="D79" s="11">
        <v>6201457.6456649471</v>
      </c>
      <c r="E79" s="11">
        <v>598.56000000000859</v>
      </c>
      <c r="F79" s="11">
        <v>-150000</v>
      </c>
      <c r="H79" s="11">
        <f t="shared" si="28"/>
        <v>6052056.2056649467</v>
      </c>
      <c r="I79" s="11">
        <f t="shared" si="29"/>
        <v>4626.9542856765647</v>
      </c>
      <c r="J79" s="11">
        <f t="shared" si="30"/>
        <v>4557.549971391416</v>
      </c>
      <c r="L79" s="21">
        <v>1293</v>
      </c>
      <c r="M79" s="11">
        <v>6237405.1192818256</v>
      </c>
      <c r="N79" s="11">
        <v>-21220.691999999995</v>
      </c>
      <c r="O79" s="11">
        <v>-150000</v>
      </c>
      <c r="Q79" s="11">
        <f t="shared" si="31"/>
        <v>6066184.4272818258</v>
      </c>
      <c r="R79" s="11">
        <f t="shared" si="32"/>
        <v>4691.5579484004838</v>
      </c>
      <c r="S79" s="739"/>
      <c r="T79" s="11">
        <f t="shared" si="33"/>
        <v>0</v>
      </c>
      <c r="V79" s="11">
        <f t="shared" si="34"/>
        <v>5892912.1130091008</v>
      </c>
      <c r="W79" s="11">
        <f t="shared" si="35"/>
        <v>0</v>
      </c>
      <c r="X79" s="11">
        <f t="shared" si="36"/>
        <v>-173272.31427272502</v>
      </c>
      <c r="Y79" s="11">
        <f t="shared" si="37"/>
        <v>-172405.95270136138</v>
      </c>
      <c r="Z79" s="11">
        <f t="shared" si="38"/>
        <v>-171539.59112999777</v>
      </c>
      <c r="AA79" s="11">
        <f t="shared" si="39"/>
        <v>-170673.22955863414</v>
      </c>
      <c r="AB79" s="11">
        <f t="shared" si="40"/>
        <v>-169806.86798727053</v>
      </c>
      <c r="AC79" s="11">
        <v>0</v>
      </c>
      <c r="AG79" s="30" t="s">
        <v>1120</v>
      </c>
      <c r="AH79" s="30"/>
      <c r="AI79" s="21"/>
      <c r="AN79" s="30"/>
      <c r="AO79" s="30"/>
      <c r="AP79" s="21"/>
    </row>
    <row r="80" spans="1:42" s="11" customFormat="1" ht="12.75" x14ac:dyDescent="0.2">
      <c r="A80" s="9" t="s">
        <v>69</v>
      </c>
      <c r="B80" s="26">
        <v>4181</v>
      </c>
      <c r="C80" s="944">
        <v>1063</v>
      </c>
      <c r="D80" s="11">
        <v>4772060.1700059241</v>
      </c>
      <c r="E80" s="11">
        <v>-17945.199999999997</v>
      </c>
      <c r="F80" s="11">
        <v>-150000</v>
      </c>
      <c r="H80" s="11">
        <f t="shared" si="28"/>
        <v>4604114.9700059239</v>
      </c>
      <c r="I80" s="11">
        <f t="shared" si="29"/>
        <v>4331.2464440319136</v>
      </c>
      <c r="J80" s="11">
        <f t="shared" si="30"/>
        <v>4266.277747371435</v>
      </c>
      <c r="L80" s="21">
        <v>1065</v>
      </c>
      <c r="M80" s="11">
        <v>4933846.2848038301</v>
      </c>
      <c r="N80" s="11">
        <v>-18304.103999999992</v>
      </c>
      <c r="O80" s="11">
        <v>-150000</v>
      </c>
      <c r="Q80" s="11">
        <f t="shared" si="31"/>
        <v>4765542.1808038298</v>
      </c>
      <c r="R80" s="11">
        <f t="shared" si="32"/>
        <v>4474.6874937125167</v>
      </c>
      <c r="S80" s="739"/>
      <c r="T80" s="11">
        <f t="shared" si="33"/>
        <v>0</v>
      </c>
      <c r="V80" s="11">
        <f t="shared" si="34"/>
        <v>4543585.8009505784</v>
      </c>
      <c r="W80" s="11">
        <f t="shared" si="35"/>
        <v>0</v>
      </c>
      <c r="X80" s="11">
        <f t="shared" si="36"/>
        <v>-221956.37985325139</v>
      </c>
      <c r="Y80" s="11">
        <f t="shared" si="37"/>
        <v>-220846.59795398513</v>
      </c>
      <c r="Z80" s="11">
        <f t="shared" si="38"/>
        <v>-219736.81605471886</v>
      </c>
      <c r="AA80" s="11">
        <f t="shared" si="39"/>
        <v>-218627.03415545262</v>
      </c>
      <c r="AB80" s="11">
        <f t="shared" si="40"/>
        <v>-217517.25225618636</v>
      </c>
      <c r="AC80" s="11">
        <v>0</v>
      </c>
      <c r="AG80" s="30" t="s">
        <v>1126</v>
      </c>
      <c r="AH80" s="30"/>
      <c r="AI80" s="21"/>
      <c r="AN80" s="30"/>
      <c r="AO80" s="30"/>
      <c r="AP80" s="21"/>
    </row>
    <row r="81" spans="1:42" s="11" customFormat="1" ht="12.75" x14ac:dyDescent="0.2">
      <c r="A81" s="9" t="s">
        <v>70</v>
      </c>
      <c r="B81" s="26">
        <v>4182</v>
      </c>
      <c r="C81" s="944">
        <v>1398</v>
      </c>
      <c r="D81" s="11">
        <v>5916459.4702773616</v>
      </c>
      <c r="E81" s="11">
        <v>-98002.32</v>
      </c>
      <c r="F81" s="11">
        <v>-150000</v>
      </c>
      <c r="H81" s="11">
        <f t="shared" si="28"/>
        <v>5668457.1502773613</v>
      </c>
      <c r="I81" s="11">
        <f t="shared" si="29"/>
        <v>4054.690379311417</v>
      </c>
      <c r="J81" s="11">
        <f t="shared" si="30"/>
        <v>3993.8700236217455</v>
      </c>
      <c r="L81" s="21">
        <v>1428</v>
      </c>
      <c r="M81" s="11">
        <v>6266804.3313884102</v>
      </c>
      <c r="N81" s="11">
        <v>-101577.72</v>
      </c>
      <c r="O81" s="11">
        <v>-150000</v>
      </c>
      <c r="Q81" s="11">
        <f t="shared" si="31"/>
        <v>6015226.6113884104</v>
      </c>
      <c r="R81" s="11">
        <f t="shared" si="32"/>
        <v>4212.3435653980468</v>
      </c>
      <c r="S81" s="739"/>
      <c r="T81" s="11">
        <f t="shared" si="33"/>
        <v>0</v>
      </c>
      <c r="V81" s="11">
        <f t="shared" si="34"/>
        <v>5703246.393731853</v>
      </c>
      <c r="W81" s="11">
        <f t="shared" si="35"/>
        <v>0</v>
      </c>
      <c r="X81" s="11">
        <f t="shared" si="36"/>
        <v>-311980.21765655745</v>
      </c>
      <c r="Y81" s="11">
        <f t="shared" si="37"/>
        <v>-310420.31656827463</v>
      </c>
      <c r="Z81" s="11">
        <f t="shared" si="38"/>
        <v>-308860.41547999188</v>
      </c>
      <c r="AA81" s="11">
        <f t="shared" si="39"/>
        <v>-307300.51439170906</v>
      </c>
      <c r="AB81" s="11">
        <f t="shared" si="40"/>
        <v>-305740.6133034263</v>
      </c>
      <c r="AC81" s="11">
        <v>0</v>
      </c>
      <c r="AG81" s="30" t="s">
        <v>1128</v>
      </c>
      <c r="AH81" s="30"/>
      <c r="AI81" s="21"/>
      <c r="AN81" s="30"/>
      <c r="AO81" s="30"/>
      <c r="AP81" s="21"/>
    </row>
    <row r="82" spans="1:42" s="11" customFormat="1" ht="12.75" x14ac:dyDescent="0.2">
      <c r="A82" s="9" t="s">
        <v>71</v>
      </c>
      <c r="B82" s="38">
        <v>4001</v>
      </c>
      <c r="C82" s="944">
        <v>731</v>
      </c>
      <c r="D82" s="11">
        <v>4451520.6781036863</v>
      </c>
      <c r="E82" s="11">
        <v>-43137.5</v>
      </c>
      <c r="F82" s="11">
        <v>-150000</v>
      </c>
      <c r="H82" s="11">
        <f t="shared" si="28"/>
        <v>4258383.1781036863</v>
      </c>
      <c r="I82" s="11">
        <f t="shared" si="29"/>
        <v>5825.4215842731683</v>
      </c>
      <c r="J82" s="11">
        <f t="shared" si="30"/>
        <v>5738.0402605090703</v>
      </c>
      <c r="L82" s="21">
        <v>663</v>
      </c>
      <c r="M82" s="11">
        <v>4068844.139830552</v>
      </c>
      <c r="N82" s="11">
        <v>-44000.25</v>
      </c>
      <c r="O82" s="11">
        <v>-150000</v>
      </c>
      <c r="Q82" s="11">
        <f t="shared" si="31"/>
        <v>3874843.889830552</v>
      </c>
      <c r="R82" s="982">
        <f t="shared" si="32"/>
        <v>5844.4100902421596</v>
      </c>
      <c r="S82" s="739"/>
      <c r="T82" s="11">
        <f t="shared" si="33"/>
        <v>0</v>
      </c>
      <c r="V82" s="11">
        <f t="shared" si="34"/>
        <v>3804320.6927175135</v>
      </c>
      <c r="W82" s="11">
        <f t="shared" si="35"/>
        <v>0</v>
      </c>
      <c r="X82" s="11">
        <f t="shared" si="36"/>
        <v>-70523.197113038506</v>
      </c>
      <c r="Y82" s="11">
        <f t="shared" si="37"/>
        <v>-70170.581127473313</v>
      </c>
      <c r="Z82" s="11">
        <f t="shared" si="38"/>
        <v>-69817.96514190812</v>
      </c>
      <c r="AA82" s="11">
        <f t="shared" si="39"/>
        <v>-69465.349156342927</v>
      </c>
      <c r="AB82" s="11">
        <f t="shared" si="40"/>
        <v>-69112.733170777734</v>
      </c>
      <c r="AC82" s="11">
        <v>0</v>
      </c>
      <c r="AG82" s="30" t="s">
        <v>1129</v>
      </c>
      <c r="AH82" s="30"/>
      <c r="AI82" s="21"/>
      <c r="AN82" s="30"/>
      <c r="AO82" s="30"/>
      <c r="AP82" s="21"/>
    </row>
    <row r="83" spans="1:42" s="11" customFormat="1" ht="12.75" x14ac:dyDescent="0.2">
      <c r="A83" s="9" t="s">
        <v>112</v>
      </c>
      <c r="B83" s="26">
        <v>5406</v>
      </c>
      <c r="C83" s="944">
        <v>855</v>
      </c>
      <c r="D83" s="11">
        <v>4079913.4783697422</v>
      </c>
      <c r="E83" s="11">
        <v>-24743.160000000003</v>
      </c>
      <c r="F83" s="11">
        <v>-150000</v>
      </c>
      <c r="H83" s="11">
        <f t="shared" si="28"/>
        <v>3905170.318369742</v>
      </c>
      <c r="I83" s="11">
        <f t="shared" si="29"/>
        <v>4567.4506647599319</v>
      </c>
      <c r="J83" s="11">
        <f t="shared" si="30"/>
        <v>4498.9389047885325</v>
      </c>
      <c r="L83" s="21">
        <v>823</v>
      </c>
      <c r="M83" s="11">
        <v>3977345.2027654764</v>
      </c>
      <c r="N83" s="11">
        <v>-25645.859999999986</v>
      </c>
      <c r="O83" s="11">
        <v>-150000</v>
      </c>
      <c r="Q83" s="11">
        <f t="shared" si="31"/>
        <v>3801699.3427654766</v>
      </c>
      <c r="R83" s="11">
        <f t="shared" si="32"/>
        <v>4619.3187639920734</v>
      </c>
      <c r="S83" s="739"/>
      <c r="T83" s="11">
        <f t="shared" si="33"/>
        <v>0</v>
      </c>
      <c r="V83" s="11">
        <f t="shared" si="34"/>
        <v>3702626.7186409621</v>
      </c>
      <c r="W83" s="11">
        <f t="shared" si="35"/>
        <v>0</v>
      </c>
      <c r="X83" s="11">
        <f t="shared" si="36"/>
        <v>-99072.624124514405</v>
      </c>
      <c r="Y83" s="11">
        <f t="shared" si="37"/>
        <v>-98577.261003891836</v>
      </c>
      <c r="Z83" s="11">
        <f t="shared" si="38"/>
        <v>-98081.897883269252</v>
      </c>
      <c r="AA83" s="11">
        <f t="shared" si="39"/>
        <v>-97586.534762646683</v>
      </c>
      <c r="AB83" s="11">
        <f t="shared" si="40"/>
        <v>-97091.171642024114</v>
      </c>
      <c r="AC83" s="11">
        <v>0</v>
      </c>
      <c r="AG83" s="30" t="s">
        <v>1131</v>
      </c>
      <c r="AH83" s="30"/>
      <c r="AI83" s="21"/>
      <c r="AN83" s="30"/>
      <c r="AO83" s="30"/>
      <c r="AP83" s="21"/>
    </row>
    <row r="84" spans="1:42" s="11" customFormat="1" ht="12.75" x14ac:dyDescent="0.2">
      <c r="A84" s="9" t="s">
        <v>113</v>
      </c>
      <c r="B84" s="26">
        <v>5407</v>
      </c>
      <c r="C84" s="944">
        <v>1035</v>
      </c>
      <c r="D84" s="11">
        <v>5443993.9777882081</v>
      </c>
      <c r="E84" s="11">
        <v>-26926.380000000005</v>
      </c>
      <c r="F84" s="11">
        <v>-150000</v>
      </c>
      <c r="H84" s="11">
        <f t="shared" si="28"/>
        <v>5267067.5977882082</v>
      </c>
      <c r="I84" s="11">
        <f t="shared" si="29"/>
        <v>5088.9542007615537</v>
      </c>
      <c r="J84" s="11">
        <f t="shared" si="30"/>
        <v>5012.6198877501301</v>
      </c>
      <c r="L84" s="21">
        <v>1102</v>
      </c>
      <c r="M84" s="11">
        <v>5792700.0336507978</v>
      </c>
      <c r="N84" s="11">
        <v>-27908.729999999996</v>
      </c>
      <c r="O84" s="11">
        <v>-150000</v>
      </c>
      <c r="P84" s="1102"/>
      <c r="Q84" s="11">
        <f t="shared" si="31"/>
        <v>5614791.3036507973</v>
      </c>
      <c r="R84" s="11">
        <f t="shared" si="32"/>
        <v>5095.0919270878376</v>
      </c>
      <c r="S84" s="739"/>
      <c r="T84" s="11">
        <f t="shared" si="33"/>
        <v>0</v>
      </c>
      <c r="V84" s="11">
        <f t="shared" si="34"/>
        <v>5523907.1163006434</v>
      </c>
      <c r="W84" s="11">
        <f t="shared" si="35"/>
        <v>0</v>
      </c>
      <c r="X84" s="11">
        <f t="shared" si="36"/>
        <v>-90884.187350153923</v>
      </c>
      <c r="Y84" s="11">
        <f t="shared" si="37"/>
        <v>-90429.766413403151</v>
      </c>
      <c r="Z84" s="11">
        <f t="shared" si="38"/>
        <v>-89975.345476652379</v>
      </c>
      <c r="AA84" s="11">
        <f t="shared" si="39"/>
        <v>-89520.924539901607</v>
      </c>
      <c r="AB84" s="11">
        <f t="shared" si="40"/>
        <v>-89066.50360315085</v>
      </c>
      <c r="AC84" s="11">
        <v>0</v>
      </c>
      <c r="AG84" s="30" t="s">
        <v>1133</v>
      </c>
      <c r="AH84" s="30"/>
      <c r="AI84" s="21"/>
      <c r="AN84" s="30"/>
      <c r="AO84" s="30"/>
      <c r="AP84" s="21"/>
    </row>
    <row r="85" spans="1:42" s="11" customFormat="1" ht="12.75" x14ac:dyDescent="0.2">
      <c r="A85" s="9" t="s">
        <v>72</v>
      </c>
      <c r="B85" s="26">
        <v>4607</v>
      </c>
      <c r="C85" s="944">
        <v>1143</v>
      </c>
      <c r="D85" s="11">
        <v>5479902.1309634736</v>
      </c>
      <c r="E85" s="11">
        <v>-24650</v>
      </c>
      <c r="F85" s="11">
        <v>-150000</v>
      </c>
      <c r="H85" s="11">
        <f t="shared" si="28"/>
        <v>5305252.1309634736</v>
      </c>
      <c r="I85" s="11">
        <f t="shared" si="29"/>
        <v>4641.5154251648937</v>
      </c>
      <c r="J85" s="11">
        <f t="shared" si="30"/>
        <v>4571.8926937874203</v>
      </c>
      <c r="L85" s="21">
        <v>1133</v>
      </c>
      <c r="M85" s="11">
        <v>5512259.1886472022</v>
      </c>
      <c r="N85" s="11">
        <v>-25143</v>
      </c>
      <c r="O85" s="11">
        <v>-150000</v>
      </c>
      <c r="Q85" s="11">
        <f t="shared" si="31"/>
        <v>5337116.1886472022</v>
      </c>
      <c r="R85" s="11">
        <f t="shared" si="32"/>
        <v>4710.6056387000899</v>
      </c>
      <c r="S85" s="739"/>
      <c r="T85" s="11">
        <f t="shared" si="33"/>
        <v>0</v>
      </c>
      <c r="V85" s="11">
        <f t="shared" si="34"/>
        <v>5179954.4220611472</v>
      </c>
      <c r="W85" s="11">
        <f t="shared" si="35"/>
        <v>0</v>
      </c>
      <c r="X85" s="11">
        <f t="shared" si="36"/>
        <v>-157161.76658605505</v>
      </c>
      <c r="Y85" s="11">
        <f t="shared" si="37"/>
        <v>-156375.95775312476</v>
      </c>
      <c r="Z85" s="11">
        <f t="shared" si="38"/>
        <v>-155590.14892019451</v>
      </c>
      <c r="AA85" s="11">
        <f t="shared" si="39"/>
        <v>-154804.34008726422</v>
      </c>
      <c r="AB85" s="11">
        <f t="shared" si="40"/>
        <v>-154018.53125433394</v>
      </c>
      <c r="AC85" s="11">
        <v>0</v>
      </c>
      <c r="AG85" s="30" t="s">
        <v>1134</v>
      </c>
      <c r="AH85" s="30"/>
      <c r="AI85" s="21"/>
      <c r="AN85" s="30"/>
      <c r="AO85" s="30"/>
      <c r="AP85" s="21"/>
    </row>
    <row r="86" spans="1:42" s="11" customFormat="1" ht="12.75" x14ac:dyDescent="0.2">
      <c r="A86" s="9" t="s">
        <v>438</v>
      </c>
      <c r="B86" s="38">
        <v>4002</v>
      </c>
      <c r="C86" s="944">
        <v>778</v>
      </c>
      <c r="D86" s="11">
        <v>4145647.9256211072</v>
      </c>
      <c r="E86" s="11">
        <v>-44863</v>
      </c>
      <c r="F86" s="11">
        <v>-150000</v>
      </c>
      <c r="H86" s="11">
        <f t="shared" si="28"/>
        <v>3950784.9256211072</v>
      </c>
      <c r="I86" s="11">
        <f t="shared" si="29"/>
        <v>5078.1297244487241</v>
      </c>
      <c r="J86" s="11">
        <f t="shared" si="30"/>
        <v>5001.9577785819929</v>
      </c>
      <c r="L86" s="21">
        <v>769</v>
      </c>
      <c r="M86" s="11">
        <v>4099264.9398467718</v>
      </c>
      <c r="N86" s="11">
        <v>-5307.4899999999834</v>
      </c>
      <c r="O86" s="11">
        <v>-150000</v>
      </c>
      <c r="Q86" s="11">
        <f t="shared" si="31"/>
        <v>3943957.449846772</v>
      </c>
      <c r="R86" s="982">
        <f t="shared" si="32"/>
        <v>5128.6832897877403</v>
      </c>
      <c r="S86" s="739"/>
      <c r="T86" s="11">
        <f t="shared" si="33"/>
        <v>0</v>
      </c>
      <c r="V86" s="11">
        <f t="shared" si="34"/>
        <v>3846505.5317295524</v>
      </c>
      <c r="W86" s="11">
        <f t="shared" si="35"/>
        <v>0</v>
      </c>
      <c r="X86" s="11">
        <f t="shared" si="36"/>
        <v>-97451.918117219582</v>
      </c>
      <c r="Y86" s="11">
        <f t="shared" si="37"/>
        <v>-96964.658526633473</v>
      </c>
      <c r="Z86" s="11">
        <f t="shared" si="38"/>
        <v>-96477.398936047379</v>
      </c>
      <c r="AA86" s="11">
        <f t="shared" si="39"/>
        <v>-95990.139345461284</v>
      </c>
      <c r="AB86" s="11">
        <f t="shared" si="40"/>
        <v>-95502.87975487519</v>
      </c>
      <c r="AC86" s="11">
        <v>0</v>
      </c>
      <c r="AG86" s="30" t="s">
        <v>1137</v>
      </c>
      <c r="AH86" s="30"/>
      <c r="AI86" s="21"/>
      <c r="AN86" s="30"/>
      <c r="AO86" s="30"/>
      <c r="AP86" s="21"/>
    </row>
    <row r="87" spans="1:42" s="11" customFormat="1" ht="12.75" x14ac:dyDescent="0.2">
      <c r="A87" s="9" t="s">
        <v>74</v>
      </c>
      <c r="B87" s="26">
        <v>5412</v>
      </c>
      <c r="C87" s="944">
        <v>1257</v>
      </c>
      <c r="D87" s="11">
        <v>5473995.7221167302</v>
      </c>
      <c r="E87" s="11">
        <v>-21001.799999999988</v>
      </c>
      <c r="F87" s="11">
        <v>-150000</v>
      </c>
      <c r="H87" s="11">
        <f t="shared" si="28"/>
        <v>5302993.9221167304</v>
      </c>
      <c r="I87" s="11">
        <f t="shared" si="29"/>
        <v>4218.7700255503023</v>
      </c>
      <c r="J87" s="11">
        <f t="shared" si="30"/>
        <v>4155.4884751670479</v>
      </c>
      <c r="L87" s="21">
        <v>1254</v>
      </c>
      <c r="M87" s="11">
        <v>5585430.6444838131</v>
      </c>
      <c r="N87" s="11">
        <v>-21421.835999999996</v>
      </c>
      <c r="O87" s="11">
        <v>-150000</v>
      </c>
      <c r="Q87" s="11">
        <f t="shared" si="31"/>
        <v>5414008.808483813</v>
      </c>
      <c r="R87" s="11">
        <f t="shared" si="32"/>
        <v>4317.3913943252101</v>
      </c>
      <c r="S87" s="739"/>
      <c r="T87" s="11">
        <f t="shared" si="33"/>
        <v>0</v>
      </c>
      <c r="V87" s="11">
        <f t="shared" si="34"/>
        <v>5210982.5478594778</v>
      </c>
      <c r="W87" s="11">
        <f t="shared" si="35"/>
        <v>0</v>
      </c>
      <c r="X87" s="11">
        <f t="shared" si="36"/>
        <v>-203026.26062433515</v>
      </c>
      <c r="Y87" s="11">
        <f t="shared" si="37"/>
        <v>-202011.12932121346</v>
      </c>
      <c r="Z87" s="11">
        <f t="shared" si="38"/>
        <v>-200995.99801809181</v>
      </c>
      <c r="AA87" s="11">
        <f t="shared" si="39"/>
        <v>-199980.86671497012</v>
      </c>
      <c r="AB87" s="11">
        <f t="shared" si="40"/>
        <v>-198965.73541184844</v>
      </c>
      <c r="AC87" s="11">
        <v>0</v>
      </c>
      <c r="AG87" s="30" t="s">
        <v>1139</v>
      </c>
      <c r="AH87" s="30"/>
      <c r="AI87" s="21"/>
      <c r="AN87" s="30"/>
      <c r="AO87" s="30"/>
      <c r="AP87" s="21"/>
    </row>
    <row r="88" spans="1:42" s="11" customFormat="1" ht="12.75" x14ac:dyDescent="0.2">
      <c r="A88" s="9" t="s">
        <v>73</v>
      </c>
      <c r="B88" s="26">
        <v>5414</v>
      </c>
      <c r="C88" s="944">
        <v>1041</v>
      </c>
      <c r="D88" s="11">
        <v>4514933.8852053694</v>
      </c>
      <c r="E88" s="11">
        <v>-24354.199999999997</v>
      </c>
      <c r="F88" s="11">
        <v>-150000</v>
      </c>
      <c r="H88" s="11">
        <f t="shared" si="28"/>
        <v>4340579.6852053693</v>
      </c>
      <c r="I88" s="11">
        <f t="shared" si="29"/>
        <v>4169.6250578341687</v>
      </c>
      <c r="J88" s="11">
        <f t="shared" si="30"/>
        <v>4107.0806819666559</v>
      </c>
      <c r="L88" s="21">
        <v>1058</v>
      </c>
      <c r="M88" s="11">
        <v>4721233.0811345847</v>
      </c>
      <c r="N88" s="11">
        <v>-24841.284</v>
      </c>
      <c r="O88" s="11">
        <v>-150000</v>
      </c>
      <c r="Q88" s="11">
        <f t="shared" si="31"/>
        <v>4546391.7971345847</v>
      </c>
      <c r="R88" s="11">
        <f t="shared" si="32"/>
        <v>4297.1567080667155</v>
      </c>
      <c r="S88" s="739"/>
      <c r="T88" s="11">
        <f t="shared" si="33"/>
        <v>0</v>
      </c>
      <c r="V88" s="11">
        <f t="shared" si="34"/>
        <v>4345291.3615207216</v>
      </c>
      <c r="W88" s="11">
        <f t="shared" si="35"/>
        <v>0</v>
      </c>
      <c r="X88" s="11">
        <f t="shared" si="36"/>
        <v>-201100.43561386317</v>
      </c>
      <c r="Y88" s="11">
        <f t="shared" si="37"/>
        <v>-200094.93343579385</v>
      </c>
      <c r="Z88" s="11">
        <f t="shared" si="38"/>
        <v>-199089.43125772453</v>
      </c>
      <c r="AA88" s="11">
        <f t="shared" si="39"/>
        <v>-198083.92907965521</v>
      </c>
      <c r="AB88" s="11">
        <f t="shared" si="40"/>
        <v>-197078.42690158592</v>
      </c>
      <c r="AC88" s="11">
        <v>0</v>
      </c>
      <c r="AG88" s="30" t="s">
        <v>1141</v>
      </c>
      <c r="AH88" s="30"/>
      <c r="AI88" s="21"/>
      <c r="AN88" s="30"/>
      <c r="AO88" s="30"/>
      <c r="AP88" s="21"/>
    </row>
    <row r="89" spans="1:42" s="11" customFormat="1" ht="12.75" x14ac:dyDescent="0.2">
      <c r="A89" s="9" t="s">
        <v>1306</v>
      </c>
      <c r="B89" s="10">
        <v>4003</v>
      </c>
      <c r="C89" s="1101">
        <v>0</v>
      </c>
      <c r="D89" s="11">
        <v>748765.83913746721</v>
      </c>
      <c r="E89" s="11">
        <v>-25390</v>
      </c>
      <c r="F89" s="1025">
        <v>0</v>
      </c>
      <c r="H89" s="11">
        <f t="shared" si="28"/>
        <v>723375.83913746721</v>
      </c>
      <c r="I89" s="1025">
        <v>0</v>
      </c>
      <c r="J89" s="1025">
        <v>0</v>
      </c>
      <c r="L89" s="21">
        <v>200</v>
      </c>
      <c r="M89" s="11">
        <v>1090044.5959961035</v>
      </c>
      <c r="N89" s="11">
        <v>-25897.289999999994</v>
      </c>
      <c r="O89" s="11">
        <v>-150000</v>
      </c>
      <c r="Q89" s="11">
        <f t="shared" si="31"/>
        <v>914147.30599610345</v>
      </c>
      <c r="R89" s="11">
        <f t="shared" si="32"/>
        <v>4570.7365299805169</v>
      </c>
      <c r="S89" s="739"/>
      <c r="T89" s="11">
        <f t="shared" si="33"/>
        <v>0</v>
      </c>
      <c r="V89" s="11">
        <f t="shared" si="34"/>
        <v>0</v>
      </c>
      <c r="W89" s="11">
        <f t="shared" si="35"/>
        <v>0</v>
      </c>
      <c r="X89" s="11">
        <f t="shared" si="36"/>
        <v>-914147.30599610345</v>
      </c>
      <c r="Y89" s="11">
        <f t="shared" si="37"/>
        <v>-909576.56946612289</v>
      </c>
      <c r="Z89" s="11">
        <f t="shared" si="38"/>
        <v>-905005.83293614234</v>
      </c>
      <c r="AA89" s="11">
        <f t="shared" si="39"/>
        <v>-900435.09640616179</v>
      </c>
      <c r="AB89" s="11">
        <f t="shared" si="40"/>
        <v>-895864.35987618135</v>
      </c>
      <c r="AC89" s="11">
        <v>0</v>
      </c>
      <c r="AE89" s="11" t="s">
        <v>1159</v>
      </c>
      <c r="AG89" s="30">
        <v>8314003</v>
      </c>
      <c r="AH89" s="30"/>
      <c r="AI89" s="21"/>
      <c r="AN89" s="30"/>
      <c r="AO89" s="30"/>
      <c r="AP89" s="21"/>
    </row>
    <row r="90" spans="1:42" s="11" customFormat="1" ht="12.75" x14ac:dyDescent="0.2">
      <c r="A90" s="9" t="s">
        <v>846</v>
      </c>
      <c r="B90" s="26">
        <v>4000</v>
      </c>
      <c r="C90" s="984"/>
      <c r="D90" s="985"/>
      <c r="E90" s="985"/>
      <c r="F90" s="985"/>
      <c r="G90" s="985"/>
      <c r="H90" s="985"/>
      <c r="I90" s="985"/>
      <c r="J90" s="985"/>
      <c r="K90" s="985"/>
      <c r="L90" s="984">
        <v>0</v>
      </c>
      <c r="M90" s="985"/>
      <c r="N90" s="985"/>
      <c r="O90" s="985"/>
      <c r="P90" s="985"/>
      <c r="Q90" s="985"/>
      <c r="R90" s="985"/>
      <c r="S90" s="985"/>
      <c r="T90" s="985"/>
      <c r="U90" s="985"/>
      <c r="V90" s="985"/>
      <c r="W90" s="985"/>
      <c r="X90" s="985"/>
      <c r="Y90" s="985"/>
      <c r="Z90" s="985"/>
      <c r="AA90" s="985"/>
      <c r="AB90" s="985"/>
      <c r="AC90" s="985"/>
      <c r="AD90" s="985"/>
      <c r="AG90" s="30" t="s">
        <v>1114</v>
      </c>
      <c r="AH90" s="30"/>
      <c r="AI90" s="21"/>
      <c r="AN90" s="30"/>
      <c r="AO90" s="30"/>
      <c r="AP90" s="21"/>
    </row>
    <row r="91" spans="1:42" s="11" customFormat="1" ht="12.75" x14ac:dyDescent="0.2">
      <c r="A91" s="9" t="s">
        <v>569</v>
      </c>
      <c r="B91" s="10">
        <v>6905</v>
      </c>
      <c r="C91" s="944">
        <v>844</v>
      </c>
      <c r="D91" s="11">
        <v>3875756.2640123153</v>
      </c>
      <c r="E91" s="11">
        <v>-39193.5</v>
      </c>
      <c r="F91" s="11">
        <v>-150000</v>
      </c>
      <c r="H91" s="11">
        <f t="shared" ref="H91" si="41">SUM(D91:G91)</f>
        <v>3686562.7640123153</v>
      </c>
      <c r="I91" s="11">
        <f t="shared" ref="I91" si="42">SUM(H91/C91)</f>
        <v>4367.9653602041653</v>
      </c>
      <c r="J91" s="11">
        <f t="shared" ref="J91" si="43">SUM(I91*0.985)</f>
        <v>4302.4458798011028</v>
      </c>
      <c r="L91" s="21">
        <v>830</v>
      </c>
      <c r="M91" s="11">
        <v>3934414.8018673514</v>
      </c>
      <c r="N91" s="11">
        <v>-39977.369999999995</v>
      </c>
      <c r="O91" s="11">
        <v>-150000</v>
      </c>
      <c r="Q91" s="11">
        <f t="shared" ref="Q91" si="44">SUM(M91:P91)</f>
        <v>3744437.4318673513</v>
      </c>
      <c r="R91" s="11">
        <f t="shared" ref="R91" si="45">SUM(Q91/L91)</f>
        <v>4511.3703998401825</v>
      </c>
      <c r="S91" s="739"/>
      <c r="T91" s="11">
        <f t="shared" ref="T91" si="46">W91+AC91</f>
        <v>0</v>
      </c>
      <c r="V91" s="11">
        <f t="shared" ref="V91" si="47">J91*L91</f>
        <v>3571030.0802349155</v>
      </c>
      <c r="W91" s="11">
        <f t="shared" ref="W91" si="48">IF(V91&lt;Q91,0,V91-Q91)</f>
        <v>0</v>
      </c>
      <c r="X91" s="11">
        <f t="shared" ref="X91" si="49">-IF(V91&lt;Q91,Q91-V91,0)</f>
        <v>-173407.35163243581</v>
      </c>
      <c r="Y91" s="11">
        <f t="shared" ref="Y91" si="50">-IF(V91&lt;Q91,(Q91-V91)/100*99.5,0)</f>
        <v>-172540.31487427364</v>
      </c>
      <c r="Z91" s="11">
        <f t="shared" ref="Z91" si="51">-IF(V91&lt;Q91,(Q91-V91)/100*99,0)</f>
        <v>-171673.27811611144</v>
      </c>
      <c r="AA91" s="11">
        <f t="shared" ref="AA91" si="52">-IF(V91&lt;Q91,(Q91-V91)/100*98.5,0)</f>
        <v>-170806.24135794927</v>
      </c>
      <c r="AB91" s="11">
        <f t="shared" ref="AB91" si="53">-IF(V91&lt;Q91,(Q91-V91)/100*98,0)</f>
        <v>-169939.20459978707</v>
      </c>
      <c r="AC91" s="11">
        <v>0</v>
      </c>
      <c r="AE91" s="11" t="s">
        <v>1159</v>
      </c>
      <c r="AG91" s="30" t="s">
        <v>1124</v>
      </c>
      <c r="AH91" s="30"/>
      <c r="AI91" s="21"/>
      <c r="AN91" s="30"/>
      <c r="AO91" s="30"/>
      <c r="AP91" s="21"/>
    </row>
    <row r="92" spans="1:42" s="11" customFormat="1" ht="12.75" x14ac:dyDescent="0.2">
      <c r="A92" s="9"/>
      <c r="B92" s="26"/>
      <c r="C92" s="944"/>
      <c r="L92" s="21"/>
      <c r="AG92" s="30"/>
      <c r="AH92" s="30"/>
      <c r="AI92" s="21"/>
      <c r="AN92" s="30"/>
    </row>
    <row r="93" spans="1:42" s="11" customFormat="1" ht="12.75" x14ac:dyDescent="0.2">
      <c r="A93" s="1" t="s">
        <v>115</v>
      </c>
      <c r="B93" s="24" t="s">
        <v>115</v>
      </c>
      <c r="C93" s="987">
        <f>SUM(C77:C91)</f>
        <v>13333</v>
      </c>
      <c r="D93" s="29">
        <f t="shared" ref="D93:J93" si="54">SUM(D77:D92)</f>
        <v>63774628.965749197</v>
      </c>
      <c r="E93" s="29">
        <f t="shared" si="54"/>
        <v>-449586.94999999995</v>
      </c>
      <c r="F93" s="29">
        <f t="shared" si="54"/>
        <v>-1950000</v>
      </c>
      <c r="G93" s="29">
        <f t="shared" si="54"/>
        <v>0</v>
      </c>
      <c r="H93" s="29">
        <f t="shared" si="54"/>
        <v>61375042.015749209</v>
      </c>
      <c r="I93" s="29">
        <f t="shared" si="54"/>
        <v>60305.109454257021</v>
      </c>
      <c r="J93" s="29">
        <f t="shared" si="54"/>
        <v>59400.532812443162</v>
      </c>
      <c r="K93" s="29"/>
      <c r="L93" s="947">
        <f t="shared" ref="L93:R93" si="55">SUM(L77:L92)</f>
        <v>13491</v>
      </c>
      <c r="M93" s="29">
        <f t="shared" si="55"/>
        <v>64877589.081674293</v>
      </c>
      <c r="N93" s="29">
        <f t="shared" si="55"/>
        <v>-438389.5259999999</v>
      </c>
      <c r="O93" s="29">
        <f t="shared" si="55"/>
        <v>-2100000</v>
      </c>
      <c r="P93" s="29">
        <f t="shared" si="55"/>
        <v>0</v>
      </c>
      <c r="Q93" s="29">
        <f t="shared" si="55"/>
        <v>62339199.5556743</v>
      </c>
      <c r="R93" s="29">
        <f t="shared" si="55"/>
        <v>65666.495092505982</v>
      </c>
      <c r="S93" s="29"/>
      <c r="T93" s="29">
        <f>SUM(T77:T92)</f>
        <v>104551.21458545281</v>
      </c>
      <c r="V93" s="29">
        <f t="shared" ref="V93:AD93" si="56">SUM(V77:V92)</f>
        <v>59483101.26336956</v>
      </c>
      <c r="W93" s="29">
        <f t="shared" si="56"/>
        <v>104551.21458545281</v>
      </c>
      <c r="X93" s="29">
        <f t="shared" si="56"/>
        <v>-2960649.5068901656</v>
      </c>
      <c r="Y93" s="29">
        <f t="shared" si="56"/>
        <v>-2945846.259355715</v>
      </c>
      <c r="Z93" s="29">
        <f t="shared" si="56"/>
        <v>-2931043.0118212644</v>
      </c>
      <c r="AA93" s="29">
        <f t="shared" si="56"/>
        <v>-2916239.7642868133</v>
      </c>
      <c r="AB93" s="29">
        <f t="shared" si="56"/>
        <v>-2901436.5167523623</v>
      </c>
      <c r="AC93" s="29">
        <f t="shared" si="56"/>
        <v>0</v>
      </c>
      <c r="AD93" s="29">
        <f t="shared" si="56"/>
        <v>0</v>
      </c>
      <c r="AG93" s="30"/>
      <c r="AH93" s="30"/>
      <c r="AI93" s="21"/>
      <c r="AN93" s="30"/>
    </row>
    <row r="94" spans="1:42" s="11" customFormat="1" ht="12.75" x14ac:dyDescent="0.2">
      <c r="A94" s="1"/>
      <c r="B94" s="24"/>
      <c r="C94" s="987"/>
      <c r="D94" s="29"/>
      <c r="E94" s="29"/>
      <c r="F94" s="29"/>
      <c r="G94" s="29"/>
      <c r="H94" s="29"/>
      <c r="I94" s="29"/>
      <c r="J94" s="29"/>
      <c r="K94" s="29"/>
      <c r="L94" s="947"/>
      <c r="M94" s="29"/>
      <c r="N94" s="29"/>
      <c r="O94" s="29"/>
      <c r="P94" s="29"/>
      <c r="Q94" s="29"/>
      <c r="R94" s="29"/>
      <c r="S94" s="29"/>
      <c r="T94" s="29"/>
      <c r="V94" s="29"/>
      <c r="W94" s="29"/>
      <c r="X94" s="29"/>
      <c r="Y94" s="29"/>
      <c r="Z94" s="29"/>
      <c r="AA94" s="29"/>
      <c r="AB94" s="29"/>
      <c r="AC94" s="29"/>
      <c r="AD94" s="29"/>
      <c r="AG94" s="30"/>
      <c r="AH94" s="30"/>
      <c r="AI94" s="21"/>
      <c r="AN94" s="30"/>
    </row>
    <row r="95" spans="1:42" s="11" customFormat="1" ht="12.75" x14ac:dyDescent="0.2">
      <c r="A95" s="9" t="s">
        <v>114</v>
      </c>
      <c r="B95" s="26">
        <v>4177</v>
      </c>
      <c r="C95" s="944">
        <v>699.5</v>
      </c>
      <c r="D95" s="11">
        <v>4136452.4814668698</v>
      </c>
      <c r="E95" s="11">
        <v>-12244.900000000005</v>
      </c>
      <c r="F95" s="11">
        <v>-150000</v>
      </c>
      <c r="H95" s="11">
        <f t="shared" ref="H95" si="57">SUM(D95:G95)</f>
        <v>3974207.5814668699</v>
      </c>
      <c r="I95" s="11">
        <f t="shared" ref="I95" si="58">SUM(H95/C95)</f>
        <v>5681.4976146774407</v>
      </c>
      <c r="J95" s="11">
        <f t="shared" ref="J95" si="59">SUM(I95*0.985)</f>
        <v>5596.2751504572789</v>
      </c>
      <c r="L95" s="21">
        <v>748.625</v>
      </c>
      <c r="M95" s="11">
        <v>4331597.0365646491</v>
      </c>
      <c r="N95" s="11">
        <v>-18806.963999999993</v>
      </c>
      <c r="O95" s="11">
        <v>-150000</v>
      </c>
      <c r="Q95" s="11">
        <f t="shared" ref="Q95" si="60">SUM(M95:P95)</f>
        <v>4162790.0725646494</v>
      </c>
      <c r="R95" s="11">
        <f t="shared" ref="R95" si="61">SUM(Q95/L95)</f>
        <v>5560.5811622169304</v>
      </c>
      <c r="T95" s="11">
        <f t="shared" ref="T95" si="62">W95+AC95</f>
        <v>26721.411946430802</v>
      </c>
      <c r="V95" s="11">
        <f t="shared" ref="V95" si="63">J95*L95</f>
        <v>4189511.4845110802</v>
      </c>
      <c r="W95" s="11">
        <f t="shared" ref="W95" si="64">IF(V95&lt;Q95,0,V95-Q95)</f>
        <v>26721.411946430802</v>
      </c>
      <c r="X95" s="11">
        <f t="shared" ref="X95" si="65">-IF(V95&lt;Q95,Q95-V95,0)</f>
        <v>0</v>
      </c>
      <c r="Y95" s="11">
        <f t="shared" ref="Y95" si="66">-IF(V95&lt;Q95,(Q95-V95)/100*99.5,0)</f>
        <v>0</v>
      </c>
      <c r="Z95" s="11">
        <f t="shared" ref="Z95" si="67">-IF(V95&lt;Q95,(Q95-V95)/100*99,0)</f>
        <v>0</v>
      </c>
      <c r="AA95" s="11">
        <f t="shared" ref="AA95" si="68">-IF(V95&lt;Q95,(Q95-V95)/100*98.5,0)</f>
        <v>0</v>
      </c>
      <c r="AB95" s="11">
        <f t="shared" ref="AB95" si="69">-IF(V95&lt;Q95,(Q95-V95)/100*98,0)</f>
        <v>0</v>
      </c>
      <c r="AC95" s="11">
        <v>0</v>
      </c>
      <c r="AD95" s="30"/>
      <c r="AG95" s="30" t="s">
        <v>1143</v>
      </c>
      <c r="AH95" s="30"/>
      <c r="AI95" s="21"/>
      <c r="AN95" s="30"/>
      <c r="AO95" s="30"/>
      <c r="AP95" s="21"/>
    </row>
    <row r="96" spans="1:42" s="11" customFormat="1" ht="12.75" x14ac:dyDescent="0.2">
      <c r="A96" s="1"/>
      <c r="B96" s="1"/>
      <c r="C96" s="944"/>
      <c r="L96" s="21"/>
      <c r="AG96" s="30"/>
      <c r="AH96" s="30"/>
      <c r="AI96" s="21"/>
    </row>
    <row r="97" spans="1:42" s="11" customFormat="1" ht="12.75" x14ac:dyDescent="0.2">
      <c r="A97" s="1" t="s">
        <v>848</v>
      </c>
      <c r="B97" s="1" t="s">
        <v>849</v>
      </c>
      <c r="C97" s="987">
        <f>C95</f>
        <v>699.5</v>
      </c>
      <c r="D97" s="987">
        <f t="shared" ref="D97:AD97" si="70">D95</f>
        <v>4136452.4814668698</v>
      </c>
      <c r="E97" s="987">
        <f t="shared" si="70"/>
        <v>-12244.900000000005</v>
      </c>
      <c r="F97" s="987">
        <f t="shared" si="70"/>
        <v>-150000</v>
      </c>
      <c r="G97" s="987">
        <f t="shared" si="70"/>
        <v>0</v>
      </c>
      <c r="H97" s="987">
        <f t="shared" si="70"/>
        <v>3974207.5814668699</v>
      </c>
      <c r="I97" s="987">
        <f t="shared" si="70"/>
        <v>5681.4976146774407</v>
      </c>
      <c r="J97" s="987">
        <f t="shared" si="70"/>
        <v>5596.2751504572789</v>
      </c>
      <c r="K97" s="987"/>
      <c r="L97" s="987">
        <f t="shared" si="70"/>
        <v>748.625</v>
      </c>
      <c r="M97" s="987">
        <f t="shared" si="70"/>
        <v>4331597.0365646491</v>
      </c>
      <c r="N97" s="987">
        <f t="shared" si="70"/>
        <v>-18806.963999999993</v>
      </c>
      <c r="O97" s="987">
        <f t="shared" si="70"/>
        <v>-150000</v>
      </c>
      <c r="P97" s="987">
        <f t="shared" si="70"/>
        <v>0</v>
      </c>
      <c r="Q97" s="987">
        <f t="shared" si="70"/>
        <v>4162790.0725646494</v>
      </c>
      <c r="R97" s="987">
        <f t="shared" si="70"/>
        <v>5560.5811622169304</v>
      </c>
      <c r="S97" s="987"/>
      <c r="T97" s="987">
        <f t="shared" si="70"/>
        <v>26721.411946430802</v>
      </c>
      <c r="U97" s="24"/>
      <c r="V97" s="987">
        <f t="shared" si="70"/>
        <v>4189511.4845110802</v>
      </c>
      <c r="W97" s="987">
        <f t="shared" si="70"/>
        <v>26721.411946430802</v>
      </c>
      <c r="X97" s="987">
        <f t="shared" si="70"/>
        <v>0</v>
      </c>
      <c r="Y97" s="987">
        <f t="shared" si="70"/>
        <v>0</v>
      </c>
      <c r="Z97" s="987">
        <f t="shared" si="70"/>
        <v>0</v>
      </c>
      <c r="AA97" s="987">
        <f t="shared" si="70"/>
        <v>0</v>
      </c>
      <c r="AB97" s="987">
        <f t="shared" si="70"/>
        <v>0</v>
      </c>
      <c r="AC97" s="987">
        <f t="shared" si="70"/>
        <v>0</v>
      </c>
      <c r="AD97" s="987">
        <f t="shared" si="70"/>
        <v>0</v>
      </c>
      <c r="AG97" s="30"/>
      <c r="AH97" s="30"/>
      <c r="AI97" s="21"/>
    </row>
    <row r="98" spans="1:42" ht="12.75" x14ac:dyDescent="0.2">
      <c r="A98" s="1"/>
      <c r="B98" s="1"/>
      <c r="C98" s="944"/>
      <c r="S98" s="11"/>
      <c r="T98" s="11"/>
      <c r="AD98" s="11"/>
      <c r="AE98" s="11"/>
      <c r="AF98" s="11"/>
      <c r="AI98" s="21"/>
      <c r="AJ98" s="11"/>
      <c r="AK98" s="11"/>
      <c r="AL98" s="11"/>
      <c r="AM98" s="11"/>
      <c r="AN98" s="11"/>
      <c r="AO98" s="11"/>
      <c r="AP98" s="11"/>
    </row>
    <row r="99" spans="1:42" ht="15" x14ac:dyDescent="0.25">
      <c r="A99" s="1" t="s">
        <v>116</v>
      </c>
      <c r="B99" s="1" t="s">
        <v>503</v>
      </c>
      <c r="C99" s="988">
        <f>SUM(C75+C93+C97)</f>
        <v>35917.5</v>
      </c>
      <c r="D99" s="988">
        <f t="shared" ref="D99:AD99" si="71">SUM(D75+D93+D97)</f>
        <v>148983650.09512815</v>
      </c>
      <c r="E99" s="988">
        <f t="shared" si="71"/>
        <v>-730036.32303999981</v>
      </c>
      <c r="F99" s="988">
        <f t="shared" si="71"/>
        <v>-9200000</v>
      </c>
      <c r="G99" s="988">
        <f t="shared" si="71"/>
        <v>0</v>
      </c>
      <c r="H99" s="988">
        <f t="shared" si="71"/>
        <v>139053613.7720882</v>
      </c>
      <c r="I99" s="988">
        <f t="shared" si="71"/>
        <v>305160.11981355835</v>
      </c>
      <c r="J99" s="988">
        <f t="shared" si="71"/>
        <v>300582.71801635501</v>
      </c>
      <c r="K99" s="988"/>
      <c r="L99" s="988">
        <f t="shared" si="71"/>
        <v>36493.041666666664</v>
      </c>
      <c r="M99" s="988">
        <f t="shared" si="71"/>
        <v>151104123.75544029</v>
      </c>
      <c r="N99" s="988">
        <f t="shared" si="71"/>
        <v>-1510744.3551999996</v>
      </c>
      <c r="O99" s="988">
        <f t="shared" si="71"/>
        <v>-9450000</v>
      </c>
      <c r="P99" s="988">
        <f t="shared" si="71"/>
        <v>0</v>
      </c>
      <c r="Q99" s="988">
        <f t="shared" si="71"/>
        <v>141107751.27795887</v>
      </c>
      <c r="R99" s="988">
        <f t="shared" si="71"/>
        <v>313930.30027082405</v>
      </c>
      <c r="S99" s="988"/>
      <c r="T99" s="988">
        <f t="shared" si="71"/>
        <v>990088.00189070252</v>
      </c>
      <c r="U99" s="425"/>
      <c r="V99" s="988">
        <f t="shared" si="71"/>
        <v>137221326.06169173</v>
      </c>
      <c r="W99" s="988">
        <f t="shared" si="71"/>
        <v>990088.00189070252</v>
      </c>
      <c r="X99" s="988">
        <f t="shared" si="71"/>
        <v>-4876513.2181578008</v>
      </c>
      <c r="Y99" s="988">
        <f t="shared" si="71"/>
        <v>-4852130.6520670122</v>
      </c>
      <c r="Z99" s="988">
        <f t="shared" si="71"/>
        <v>-4827748.0859762235</v>
      </c>
      <c r="AA99" s="988">
        <f t="shared" si="71"/>
        <v>-4803365.5198854338</v>
      </c>
      <c r="AB99" s="988">
        <f t="shared" si="71"/>
        <v>-4778982.9537946451</v>
      </c>
      <c r="AC99" s="988">
        <f t="shared" si="71"/>
        <v>0</v>
      </c>
      <c r="AD99" s="988">
        <f t="shared" si="71"/>
        <v>0</v>
      </c>
      <c r="AE99" s="11"/>
      <c r="AF99" s="11"/>
      <c r="AH99" s="30">
        <f>SUM(AH2:AH98)</f>
        <v>0</v>
      </c>
      <c r="AI99" s="21"/>
      <c r="AJ99" s="11"/>
      <c r="AK99" s="11"/>
      <c r="AL99" s="11"/>
      <c r="AM99" s="11"/>
      <c r="AN99" s="11"/>
      <c r="AO99" s="11"/>
      <c r="AP99" s="11"/>
    </row>
    <row r="100" spans="1:42" ht="12.75" x14ac:dyDescent="0.2">
      <c r="B100" s="30"/>
      <c r="C100" s="21"/>
      <c r="H100" s="23"/>
      <c r="I100" s="23"/>
      <c r="J100" s="23"/>
      <c r="K100" s="23"/>
      <c r="L100" s="927"/>
    </row>
    <row r="101" spans="1:42" ht="12.75" x14ac:dyDescent="0.2">
      <c r="B101" s="30"/>
      <c r="C101" s="21">
        <f>C99-C91-C90-C73-C17</f>
        <v>34425.5</v>
      </c>
      <c r="D101" s="21">
        <f t="shared" ref="D101:W101" si="72">D99-D91-D90-D73-D17</f>
        <v>142551523.93695664</v>
      </c>
      <c r="E101" s="21">
        <f t="shared" si="72"/>
        <v>-675268.40303999977</v>
      </c>
      <c r="F101" s="21">
        <f t="shared" si="72"/>
        <v>-8850000</v>
      </c>
      <c r="G101" s="21">
        <f t="shared" si="72"/>
        <v>0</v>
      </c>
      <c r="H101" s="21">
        <f t="shared" si="72"/>
        <v>133026255.53391671</v>
      </c>
      <c r="I101" s="21">
        <f t="shared" si="72"/>
        <v>293451.02704750869</v>
      </c>
      <c r="J101" s="21">
        <f t="shared" si="72"/>
        <v>289049.26164179604</v>
      </c>
      <c r="K101" s="21"/>
      <c r="L101" s="21">
        <f t="shared" si="72"/>
        <v>35025.291666666664</v>
      </c>
      <c r="M101" s="21">
        <f t="shared" si="72"/>
        <v>144684511.21208742</v>
      </c>
      <c r="N101" s="21">
        <f t="shared" si="72"/>
        <v>-1440094.4971999996</v>
      </c>
      <c r="O101" s="21">
        <f t="shared" si="72"/>
        <v>-9100000</v>
      </c>
      <c r="P101" s="21">
        <f t="shared" si="72"/>
        <v>0</v>
      </c>
      <c r="Q101" s="21">
        <f t="shared" si="72"/>
        <v>135108788.59260598</v>
      </c>
      <c r="R101" s="21">
        <f t="shared" si="72"/>
        <v>302129.08061559533</v>
      </c>
      <c r="S101" s="21"/>
      <c r="T101" s="21">
        <f t="shared" si="72"/>
        <v>944279.34445326671</v>
      </c>
      <c r="V101" s="21">
        <f t="shared" si="72"/>
        <v>131385632.25308859</v>
      </c>
      <c r="W101" s="21">
        <f t="shared" si="72"/>
        <v>944279.34445326671</v>
      </c>
      <c r="AH101" s="30">
        <f>AH100+AH99</f>
        <v>0</v>
      </c>
    </row>
    <row r="102" spans="1:42" ht="12.75" x14ac:dyDescent="0.2">
      <c r="B102" s="30"/>
      <c r="C102" s="21"/>
      <c r="H102" s="23"/>
      <c r="I102" s="23"/>
      <c r="J102" s="23"/>
      <c r="K102" s="23"/>
      <c r="L102" s="927"/>
    </row>
    <row r="103" spans="1:42" ht="12.75" x14ac:dyDescent="0.2">
      <c r="B103" s="30"/>
      <c r="C103" s="21">
        <f>C99-C91-C90-C73</f>
        <v>34844.5</v>
      </c>
      <c r="H103" s="23"/>
      <c r="I103" s="23"/>
      <c r="J103" s="23"/>
      <c r="K103" s="23"/>
      <c r="AH103" s="30">
        <f>AH101-AH102</f>
        <v>0</v>
      </c>
    </row>
    <row r="104" spans="1:42" s="11" customFormat="1" ht="12.75" x14ac:dyDescent="0.2">
      <c r="A104" s="30"/>
      <c r="B104" s="30"/>
      <c r="C104" s="21"/>
      <c r="H104" s="23"/>
      <c r="I104" s="23"/>
      <c r="J104" s="23"/>
      <c r="K104" s="23"/>
      <c r="L104" s="927"/>
      <c r="S104" s="30"/>
      <c r="T104" s="30"/>
      <c r="AD104" s="30"/>
      <c r="AE104" s="30"/>
      <c r="AF104" s="30"/>
      <c r="AG104" s="30"/>
      <c r="AH104" s="30"/>
      <c r="AI104" s="30"/>
      <c r="AJ104" s="30"/>
      <c r="AK104" s="30"/>
      <c r="AL104" s="30"/>
      <c r="AM104" s="30"/>
      <c r="AN104" s="30"/>
      <c r="AO104" s="30"/>
      <c r="AP104" s="30"/>
    </row>
    <row r="105" spans="1:42" ht="12.75" x14ac:dyDescent="0.2">
      <c r="B105" s="30"/>
      <c r="C105" s="21"/>
      <c r="H105" s="23"/>
      <c r="I105" s="23"/>
      <c r="J105" s="23"/>
      <c r="K105" s="23"/>
      <c r="L105" s="927"/>
      <c r="M105" s="30"/>
      <c r="N105" s="30"/>
      <c r="O105" s="30"/>
      <c r="P105" s="30"/>
      <c r="Q105" s="30"/>
      <c r="R105" s="30"/>
    </row>
    <row r="106" spans="1:42" ht="12.75" x14ac:dyDescent="0.2">
      <c r="A106" s="9"/>
      <c r="B106" s="26"/>
      <c r="C106" s="944"/>
      <c r="S106" s="11"/>
      <c r="T106" s="11"/>
      <c r="AD106" s="11"/>
      <c r="AE106" s="11"/>
      <c r="AF106" s="11"/>
      <c r="AG106" s="11"/>
      <c r="AH106" s="11"/>
      <c r="AI106" s="11"/>
      <c r="AJ106" s="11"/>
      <c r="AK106" s="11"/>
      <c r="AL106" s="11"/>
      <c r="AM106" s="11"/>
      <c r="AN106" s="11"/>
      <c r="AO106" s="11"/>
      <c r="AP106" s="11"/>
    </row>
    <row r="107" spans="1:42" ht="12.75" x14ac:dyDescent="0.2">
      <c r="B107" s="30"/>
      <c r="C107" s="21"/>
      <c r="H107" s="23"/>
      <c r="I107" s="23"/>
      <c r="J107" s="23"/>
      <c r="K107" s="23"/>
      <c r="L107" s="927"/>
      <c r="M107" s="30"/>
      <c r="N107" s="30"/>
      <c r="O107" s="30"/>
      <c r="P107" s="30"/>
      <c r="Q107" s="30"/>
      <c r="R107" s="30"/>
    </row>
    <row r="108" spans="1:42" ht="12.75" x14ac:dyDescent="0.2">
      <c r="AH108" s="11"/>
    </row>
    <row r="109" spans="1:42" ht="12.75" x14ac:dyDescent="0.2">
      <c r="AH109" s="11"/>
    </row>
    <row r="110" spans="1:42" ht="12.75" x14ac:dyDescent="0.2">
      <c r="A110" s="59" t="s">
        <v>238</v>
      </c>
      <c r="B110" s="59">
        <v>206189</v>
      </c>
    </row>
    <row r="111" spans="1:42" ht="12.75" x14ac:dyDescent="0.2">
      <c r="A111" s="59" t="s">
        <v>1301</v>
      </c>
      <c r="B111" s="59">
        <v>2014</v>
      </c>
    </row>
    <row r="112" spans="1:42" ht="12.75" x14ac:dyDescent="0.2">
      <c r="A112" s="59" t="s">
        <v>10</v>
      </c>
      <c r="B112" s="59">
        <v>2012</v>
      </c>
    </row>
    <row r="113" spans="1:2" ht="12.75" x14ac:dyDescent="0.2">
      <c r="A113" s="59" t="s">
        <v>73</v>
      </c>
      <c r="B113" s="59">
        <v>5414</v>
      </c>
    </row>
    <row r="114" spans="1:2" ht="12.75" x14ac:dyDescent="0.2">
      <c r="A114" s="59" t="s">
        <v>846</v>
      </c>
      <c r="B114" s="59">
        <v>4000</v>
      </c>
    </row>
    <row r="115" spans="1:2" ht="12.75" x14ac:dyDescent="0.2">
      <c r="A115" s="59" t="s">
        <v>11</v>
      </c>
      <c r="B115" s="59">
        <v>2443</v>
      </c>
    </row>
    <row r="116" spans="1:2" ht="12.75" x14ac:dyDescent="0.2">
      <c r="A116" s="59" t="s">
        <v>94</v>
      </c>
      <c r="B116" s="59">
        <v>2442</v>
      </c>
    </row>
    <row r="117" spans="1:2" ht="12.75" x14ac:dyDescent="0.2">
      <c r="A117" s="59" t="s">
        <v>241</v>
      </c>
      <c r="B117" s="59" t="s">
        <v>242</v>
      </c>
    </row>
    <row r="118" spans="1:2" ht="12.75" x14ac:dyDescent="0.2">
      <c r="A118" s="59" t="s">
        <v>13</v>
      </c>
      <c r="B118" s="59">
        <v>2629</v>
      </c>
    </row>
    <row r="119" spans="1:2" ht="12.75" x14ac:dyDescent="0.2">
      <c r="A119" s="59" t="s">
        <v>14</v>
      </c>
      <c r="B119" s="59">
        <v>2509</v>
      </c>
    </row>
    <row r="120" spans="1:2" ht="12.75" x14ac:dyDescent="0.2">
      <c r="A120" s="59" t="s">
        <v>2</v>
      </c>
      <c r="B120" s="59">
        <v>1014</v>
      </c>
    </row>
    <row r="121" spans="1:2" ht="12.75" x14ac:dyDescent="0.2">
      <c r="A121" s="59" t="s">
        <v>15</v>
      </c>
      <c r="B121" s="59">
        <v>2005</v>
      </c>
    </row>
    <row r="122" spans="1:2" ht="12.75" x14ac:dyDescent="0.2">
      <c r="A122" s="59" t="s">
        <v>16</v>
      </c>
      <c r="B122" s="59">
        <v>2464</v>
      </c>
    </row>
    <row r="123" spans="1:2" ht="12.75" x14ac:dyDescent="0.2">
      <c r="A123" s="59" t="s">
        <v>706</v>
      </c>
      <c r="B123" s="59" t="s">
        <v>708</v>
      </c>
    </row>
    <row r="124" spans="1:2" ht="12.75" x14ac:dyDescent="0.2">
      <c r="A124" s="59" t="s">
        <v>17</v>
      </c>
      <c r="B124" s="59">
        <v>2004</v>
      </c>
    </row>
    <row r="125" spans="1:2" ht="12.75" x14ac:dyDescent="0.2">
      <c r="A125" s="59" t="s">
        <v>18</v>
      </c>
      <c r="B125" s="59">
        <v>2405</v>
      </c>
    </row>
    <row r="126" spans="1:2" ht="12.75" x14ac:dyDescent="0.2">
      <c r="A126" s="59" t="s">
        <v>243</v>
      </c>
      <c r="B126" s="59" t="s">
        <v>245</v>
      </c>
    </row>
    <row r="127" spans="1:2" ht="12.75" x14ac:dyDescent="0.2">
      <c r="A127" s="59" t="s">
        <v>250</v>
      </c>
      <c r="B127" s="59" t="s">
        <v>709</v>
      </c>
    </row>
    <row r="128" spans="1:2" ht="12.75" x14ac:dyDescent="0.2">
      <c r="A128" s="59" t="s">
        <v>246</v>
      </c>
      <c r="B128" s="59" t="s">
        <v>247</v>
      </c>
    </row>
    <row r="129" spans="1:2" ht="12.75" x14ac:dyDescent="0.2">
      <c r="A129" s="59" t="s">
        <v>248</v>
      </c>
      <c r="B129" s="59" t="s">
        <v>249</v>
      </c>
    </row>
    <row r="130" spans="1:2" ht="12.75" x14ac:dyDescent="0.2">
      <c r="A130" s="59" t="s">
        <v>19</v>
      </c>
      <c r="B130" s="59">
        <v>2011</v>
      </c>
    </row>
    <row r="131" spans="1:2" ht="12.75" x14ac:dyDescent="0.2">
      <c r="A131" s="59" t="s">
        <v>251</v>
      </c>
      <c r="B131" s="59" t="s">
        <v>252</v>
      </c>
    </row>
    <row r="132" spans="1:2" ht="12.75" x14ac:dyDescent="0.2">
      <c r="A132" s="59" t="s">
        <v>20</v>
      </c>
      <c r="B132" s="59">
        <v>5201</v>
      </c>
    </row>
    <row r="133" spans="1:2" ht="12.75" x14ac:dyDescent="0.2">
      <c r="A133" s="59" t="s">
        <v>253</v>
      </c>
      <c r="B133" s="59">
        <v>206124</v>
      </c>
    </row>
    <row r="134" spans="1:2" ht="12.75" x14ac:dyDescent="0.2">
      <c r="A134" s="59" t="s">
        <v>21</v>
      </c>
      <c r="B134" s="59">
        <v>2433</v>
      </c>
    </row>
    <row r="135" spans="1:2" ht="12.75" x14ac:dyDescent="0.2">
      <c r="A135" s="59" t="s">
        <v>22</v>
      </c>
      <c r="B135" s="59">
        <v>2432</v>
      </c>
    </row>
    <row r="136" spans="1:2" x14ac:dyDescent="0.25">
      <c r="A136" s="59" t="s">
        <v>256</v>
      </c>
      <c r="B136" s="59" t="s">
        <v>258</v>
      </c>
    </row>
    <row r="137" spans="1:2" x14ac:dyDescent="0.25">
      <c r="A137" s="59" t="s">
        <v>188</v>
      </c>
      <c r="B137" s="59">
        <v>2447</v>
      </c>
    </row>
    <row r="138" spans="1:2" x14ac:dyDescent="0.25">
      <c r="A138" s="59" t="s">
        <v>23</v>
      </c>
      <c r="B138" s="59">
        <v>2512</v>
      </c>
    </row>
    <row r="139" spans="1:2" x14ac:dyDescent="0.25">
      <c r="A139" s="59" t="s">
        <v>259</v>
      </c>
      <c r="B139" s="59">
        <v>206126</v>
      </c>
    </row>
    <row r="140" spans="1:2" x14ac:dyDescent="0.25">
      <c r="A140" s="59" t="s">
        <v>261</v>
      </c>
      <c r="B140" s="59">
        <v>206111</v>
      </c>
    </row>
    <row r="141" spans="1:2" x14ac:dyDescent="0.25">
      <c r="A141" s="59" t="s">
        <v>263</v>
      </c>
      <c r="B141" s="59">
        <v>206091</v>
      </c>
    </row>
    <row r="142" spans="1:2" x14ac:dyDescent="0.25">
      <c r="A142" s="59" t="s">
        <v>24</v>
      </c>
      <c r="B142" s="59">
        <v>2456</v>
      </c>
    </row>
    <row r="143" spans="1:2" x14ac:dyDescent="0.25">
      <c r="A143" s="59" t="s">
        <v>3</v>
      </c>
      <c r="B143" s="59">
        <v>1017</v>
      </c>
    </row>
    <row r="144" spans="1:2" x14ac:dyDescent="0.25">
      <c r="A144" s="59" t="s">
        <v>25</v>
      </c>
      <c r="B144" s="59">
        <v>2449</v>
      </c>
    </row>
    <row r="145" spans="1:2" x14ac:dyDescent="0.25">
      <c r="A145" s="59" t="s">
        <v>26</v>
      </c>
      <c r="B145" s="59">
        <v>2448</v>
      </c>
    </row>
    <row r="146" spans="1:2" x14ac:dyDescent="0.25">
      <c r="A146" s="59" t="s">
        <v>4</v>
      </c>
      <c r="B146" s="59">
        <v>1006</v>
      </c>
    </row>
    <row r="147" spans="1:2" x14ac:dyDescent="0.25">
      <c r="A147" s="59" t="s">
        <v>27</v>
      </c>
      <c r="B147" s="59">
        <v>2467</v>
      </c>
    </row>
    <row r="148" spans="1:2" x14ac:dyDescent="0.25">
      <c r="A148" s="59" t="s">
        <v>1373</v>
      </c>
      <c r="B148" s="59">
        <v>484300</v>
      </c>
    </row>
    <row r="149" spans="1:2" x14ac:dyDescent="0.25">
      <c r="A149" s="59" t="s">
        <v>75</v>
      </c>
      <c r="B149" s="59">
        <v>5402</v>
      </c>
    </row>
    <row r="150" spans="1:2" x14ac:dyDescent="0.25">
      <c r="A150" s="59" t="s">
        <v>28</v>
      </c>
      <c r="B150" s="59">
        <v>2455</v>
      </c>
    </row>
    <row r="151" spans="1:2" x14ac:dyDescent="0.25">
      <c r="A151" s="59" t="s">
        <v>29</v>
      </c>
      <c r="B151" s="59">
        <v>5203</v>
      </c>
    </row>
    <row r="152" spans="1:2" x14ac:dyDescent="0.25">
      <c r="A152" s="59" t="s">
        <v>30</v>
      </c>
      <c r="B152" s="59">
        <v>2451</v>
      </c>
    </row>
    <row r="153" spans="1:2" x14ac:dyDescent="0.25">
      <c r="A153" s="59" t="s">
        <v>265</v>
      </c>
      <c r="B153" s="59" t="s">
        <v>266</v>
      </c>
    </row>
    <row r="154" spans="1:2" x14ac:dyDescent="0.25">
      <c r="A154" s="59" t="s">
        <v>267</v>
      </c>
      <c r="B154" s="59">
        <v>206128</v>
      </c>
    </row>
    <row r="155" spans="1:2" x14ac:dyDescent="0.25">
      <c r="A155" s="59" t="s">
        <v>438</v>
      </c>
      <c r="B155" s="59">
        <v>4002</v>
      </c>
    </row>
    <row r="156" spans="1:2" x14ac:dyDescent="0.25">
      <c r="A156" s="59" t="s">
        <v>441</v>
      </c>
      <c r="B156" s="59">
        <v>2430</v>
      </c>
    </row>
    <row r="157" spans="1:2" x14ac:dyDescent="0.25">
      <c r="A157" s="59" t="s">
        <v>269</v>
      </c>
      <c r="B157" s="59" t="s">
        <v>710</v>
      </c>
    </row>
    <row r="158" spans="1:2" x14ac:dyDescent="0.25">
      <c r="A158" s="59" t="s">
        <v>711</v>
      </c>
      <c r="B158" s="59" t="s">
        <v>712</v>
      </c>
    </row>
    <row r="159" spans="1:2" x14ac:dyDescent="0.25">
      <c r="A159" s="59" t="s">
        <v>68</v>
      </c>
      <c r="B159" s="59">
        <v>4608</v>
      </c>
    </row>
    <row r="160" spans="1:2" x14ac:dyDescent="0.25">
      <c r="A160" s="59" t="s">
        <v>31</v>
      </c>
      <c r="B160" s="59">
        <v>2409</v>
      </c>
    </row>
    <row r="161" spans="1:2" x14ac:dyDescent="0.25">
      <c r="A161" s="59" t="s">
        <v>270</v>
      </c>
      <c r="B161" s="59" t="s">
        <v>271</v>
      </c>
    </row>
    <row r="162" spans="1:2" x14ac:dyDescent="0.25">
      <c r="A162" s="59" t="s">
        <v>1283</v>
      </c>
      <c r="B162" s="59" t="s">
        <v>714</v>
      </c>
    </row>
    <row r="163" spans="1:2" x14ac:dyDescent="0.25">
      <c r="A163" s="59" t="s">
        <v>525</v>
      </c>
      <c r="B163" s="59">
        <v>205921</v>
      </c>
    </row>
    <row r="164" spans="1:2" x14ac:dyDescent="0.25">
      <c r="A164" s="59" t="s">
        <v>1256</v>
      </c>
      <c r="B164" s="59" t="s">
        <v>719</v>
      </c>
    </row>
    <row r="165" spans="1:2" x14ac:dyDescent="0.25">
      <c r="A165" s="59" t="s">
        <v>1375</v>
      </c>
      <c r="B165" s="59">
        <v>398922</v>
      </c>
    </row>
    <row r="166" spans="1:2" x14ac:dyDescent="0.25">
      <c r="A166" s="59" t="s">
        <v>1374</v>
      </c>
      <c r="B166" s="59">
        <v>479804</v>
      </c>
    </row>
    <row r="167" spans="1:2" x14ac:dyDescent="0.25">
      <c r="A167" s="59" t="s">
        <v>524</v>
      </c>
      <c r="B167" s="59">
        <v>205999</v>
      </c>
    </row>
    <row r="168" spans="1:2" x14ac:dyDescent="0.25">
      <c r="A168" s="59" t="s">
        <v>523</v>
      </c>
      <c r="B168" s="59" t="s">
        <v>272</v>
      </c>
    </row>
    <row r="169" spans="1:2" x14ac:dyDescent="0.25">
      <c r="A169" s="59" t="s">
        <v>1257</v>
      </c>
      <c r="B169" s="59">
        <v>206065</v>
      </c>
    </row>
    <row r="170" spans="1:2" x14ac:dyDescent="0.25">
      <c r="A170" s="59" t="s">
        <v>1376</v>
      </c>
      <c r="B170" s="59">
        <v>314105</v>
      </c>
    </row>
    <row r="171" spans="1:2" x14ac:dyDescent="0.25">
      <c r="A171" s="59" t="s">
        <v>1400</v>
      </c>
      <c r="B171" s="59" t="s">
        <v>277</v>
      </c>
    </row>
    <row r="172" spans="1:2" x14ac:dyDescent="0.25">
      <c r="A172" s="59" t="s">
        <v>1377</v>
      </c>
      <c r="B172" s="59">
        <v>206076</v>
      </c>
    </row>
    <row r="173" spans="1:2" x14ac:dyDescent="0.25">
      <c r="A173" s="59" t="s">
        <v>561</v>
      </c>
      <c r="B173" s="59" t="s">
        <v>727</v>
      </c>
    </row>
    <row r="174" spans="1:2" x14ac:dyDescent="0.25">
      <c r="A174" s="59" t="s">
        <v>1399</v>
      </c>
      <c r="B174" s="59" t="s">
        <v>730</v>
      </c>
    </row>
    <row r="175" spans="1:2" x14ac:dyDescent="0.25">
      <c r="A175" s="59" t="s">
        <v>562</v>
      </c>
      <c r="B175" s="59" t="s">
        <v>275</v>
      </c>
    </row>
    <row r="176" spans="1:2" x14ac:dyDescent="0.25">
      <c r="A176" s="59" t="s">
        <v>1258</v>
      </c>
      <c r="B176" s="59" t="s">
        <v>724</v>
      </c>
    </row>
    <row r="177" spans="1:2" x14ac:dyDescent="0.25">
      <c r="A177" s="59" t="s">
        <v>1259</v>
      </c>
      <c r="B177" s="59">
        <v>205919</v>
      </c>
    </row>
    <row r="178" spans="1:2" x14ac:dyDescent="0.25">
      <c r="A178" s="59" t="s">
        <v>526</v>
      </c>
      <c r="B178" s="59" t="s">
        <v>276</v>
      </c>
    </row>
    <row r="179" spans="1:2" x14ac:dyDescent="0.25">
      <c r="A179" s="59" t="s">
        <v>1378</v>
      </c>
      <c r="B179" s="59">
        <v>477405</v>
      </c>
    </row>
    <row r="180" spans="1:2" x14ac:dyDescent="0.25">
      <c r="A180" s="59" t="s">
        <v>1260</v>
      </c>
      <c r="B180" s="59" t="s">
        <v>734</v>
      </c>
    </row>
    <row r="181" spans="1:2" x14ac:dyDescent="0.25">
      <c r="A181" s="59" t="s">
        <v>1379</v>
      </c>
      <c r="B181" s="59">
        <v>401536</v>
      </c>
    </row>
    <row r="182" spans="1:2" x14ac:dyDescent="0.25">
      <c r="A182" s="59" t="s">
        <v>1261</v>
      </c>
      <c r="B182" s="59" t="s">
        <v>736</v>
      </c>
    </row>
    <row r="183" spans="1:2" x14ac:dyDescent="0.25">
      <c r="A183" s="59" t="s">
        <v>1263</v>
      </c>
      <c r="B183" s="59" t="s">
        <v>739</v>
      </c>
    </row>
    <row r="184" spans="1:2" x14ac:dyDescent="0.25">
      <c r="A184" s="59" t="s">
        <v>1262</v>
      </c>
      <c r="B184" s="59">
        <v>205849</v>
      </c>
    </row>
    <row r="185" spans="1:2" x14ac:dyDescent="0.25">
      <c r="A185" s="59" t="s">
        <v>566</v>
      </c>
      <c r="B185" s="59" t="s">
        <v>273</v>
      </c>
    </row>
    <row r="186" spans="1:2" x14ac:dyDescent="0.25">
      <c r="A186" s="59" t="s">
        <v>1264</v>
      </c>
      <c r="B186" s="59" t="s">
        <v>741</v>
      </c>
    </row>
    <row r="187" spans="1:2" x14ac:dyDescent="0.25">
      <c r="A187" s="59" t="s">
        <v>1268</v>
      </c>
      <c r="B187" s="59">
        <v>205922</v>
      </c>
    </row>
    <row r="188" spans="1:2" x14ac:dyDescent="0.25">
      <c r="A188" s="59" t="s">
        <v>1267</v>
      </c>
      <c r="B188" s="59">
        <v>205881</v>
      </c>
    </row>
    <row r="189" spans="1:2" x14ac:dyDescent="0.25">
      <c r="A189" s="59" t="s">
        <v>1265</v>
      </c>
      <c r="B189" s="59" t="s">
        <v>744</v>
      </c>
    </row>
    <row r="190" spans="1:2" x14ac:dyDescent="0.25">
      <c r="A190" s="59" t="s">
        <v>527</v>
      </c>
      <c r="B190" s="59" t="s">
        <v>278</v>
      </c>
    </row>
    <row r="191" spans="1:2" x14ac:dyDescent="0.25">
      <c r="A191" s="59" t="s">
        <v>1266</v>
      </c>
      <c r="B191" s="59" t="s">
        <v>749</v>
      </c>
    </row>
    <row r="192" spans="1:2" x14ac:dyDescent="0.25">
      <c r="A192" s="59" t="s">
        <v>1380</v>
      </c>
      <c r="B192" s="59">
        <v>462623</v>
      </c>
    </row>
    <row r="193" spans="1:2" x14ac:dyDescent="0.25">
      <c r="A193" s="59" t="s">
        <v>750</v>
      </c>
      <c r="B193" s="59" t="s">
        <v>751</v>
      </c>
    </row>
    <row r="194" spans="1:2" x14ac:dyDescent="0.25">
      <c r="A194" s="59" t="s">
        <v>1269</v>
      </c>
      <c r="B194" s="59" t="s">
        <v>754</v>
      </c>
    </row>
    <row r="195" spans="1:2" x14ac:dyDescent="0.25">
      <c r="A195" s="59" t="s">
        <v>528</v>
      </c>
      <c r="B195" s="59">
        <v>2</v>
      </c>
    </row>
    <row r="196" spans="1:2" x14ac:dyDescent="0.25">
      <c r="A196" s="59" t="s">
        <v>1270</v>
      </c>
      <c r="B196" s="59" t="s">
        <v>621</v>
      </c>
    </row>
    <row r="197" spans="1:2" x14ac:dyDescent="0.25">
      <c r="A197" s="59" t="s">
        <v>1271</v>
      </c>
      <c r="B197" s="59" t="s">
        <v>639</v>
      </c>
    </row>
    <row r="198" spans="1:2" x14ac:dyDescent="0.25">
      <c r="A198" s="59" t="s">
        <v>1271</v>
      </c>
      <c r="B198" s="59">
        <v>205878</v>
      </c>
    </row>
    <row r="199" spans="1:2" x14ac:dyDescent="0.25">
      <c r="A199" s="59" t="s">
        <v>529</v>
      </c>
      <c r="B199" s="59">
        <v>205956</v>
      </c>
    </row>
    <row r="200" spans="1:2" x14ac:dyDescent="0.25">
      <c r="A200" s="59" t="s">
        <v>1273</v>
      </c>
      <c r="B200" s="59" t="s">
        <v>759</v>
      </c>
    </row>
    <row r="201" spans="1:2" x14ac:dyDescent="0.25">
      <c r="A201" s="59" t="s">
        <v>1382</v>
      </c>
      <c r="B201" s="59">
        <v>472319</v>
      </c>
    </row>
    <row r="202" spans="1:2" x14ac:dyDescent="0.25">
      <c r="A202" s="59" t="s">
        <v>1272</v>
      </c>
      <c r="B202" s="59">
        <v>260849</v>
      </c>
    </row>
    <row r="203" spans="1:2" x14ac:dyDescent="0.25">
      <c r="A203" s="59" t="s">
        <v>1383</v>
      </c>
      <c r="B203" s="59">
        <v>482805</v>
      </c>
    </row>
    <row r="204" spans="1:2" x14ac:dyDescent="0.25">
      <c r="A204" s="59" t="s">
        <v>1381</v>
      </c>
      <c r="B204" s="59">
        <v>447579</v>
      </c>
    </row>
    <row r="205" spans="1:2" x14ac:dyDescent="0.25">
      <c r="A205" s="59" t="s">
        <v>1274</v>
      </c>
      <c r="B205" s="59" t="s">
        <v>280</v>
      </c>
    </row>
    <row r="206" spans="1:2" x14ac:dyDescent="0.25">
      <c r="A206" s="59" t="s">
        <v>1275</v>
      </c>
      <c r="B206" s="59" t="s">
        <v>762</v>
      </c>
    </row>
    <row r="207" spans="1:2" x14ac:dyDescent="0.25">
      <c r="A207" s="59" t="s">
        <v>1277</v>
      </c>
      <c r="B207" s="59" t="s">
        <v>766</v>
      </c>
    </row>
    <row r="208" spans="1:2" x14ac:dyDescent="0.25">
      <c r="A208" s="59" t="s">
        <v>1276</v>
      </c>
      <c r="B208" s="59" t="s">
        <v>764</v>
      </c>
    </row>
    <row r="209" spans="1:2" x14ac:dyDescent="0.25">
      <c r="A209" s="59" t="s">
        <v>1279</v>
      </c>
      <c r="B209" s="59" t="s">
        <v>771</v>
      </c>
    </row>
    <row r="210" spans="1:2" x14ac:dyDescent="0.25">
      <c r="A210" s="437" t="s">
        <v>1278</v>
      </c>
      <c r="B210" s="529" t="s">
        <v>768</v>
      </c>
    </row>
    <row r="211" spans="1:2" x14ac:dyDescent="0.25">
      <c r="A211" s="437" t="s">
        <v>564</v>
      </c>
      <c r="B211" s="529" t="s">
        <v>281</v>
      </c>
    </row>
    <row r="212" spans="1:2" x14ac:dyDescent="0.25">
      <c r="A212" s="59" t="s">
        <v>1284</v>
      </c>
      <c r="B212" s="59" t="s">
        <v>774</v>
      </c>
    </row>
    <row r="213" spans="1:2" x14ac:dyDescent="0.25">
      <c r="A213" s="59" t="s">
        <v>1384</v>
      </c>
      <c r="B213" s="59">
        <v>484039</v>
      </c>
    </row>
    <row r="214" spans="1:2" x14ac:dyDescent="0.25">
      <c r="A214" s="59" t="s">
        <v>1285</v>
      </c>
      <c r="B214" s="59" t="s">
        <v>776</v>
      </c>
    </row>
    <row r="215" spans="1:2" x14ac:dyDescent="0.25">
      <c r="A215" s="59" t="s">
        <v>1385</v>
      </c>
      <c r="B215" s="59">
        <v>343478</v>
      </c>
    </row>
    <row r="216" spans="1:2" x14ac:dyDescent="0.25">
      <c r="A216" s="59" t="s">
        <v>532</v>
      </c>
      <c r="B216" s="59" t="s">
        <v>283</v>
      </c>
    </row>
    <row r="217" spans="1:2" x14ac:dyDescent="0.25">
      <c r="A217" s="59" t="s">
        <v>1280</v>
      </c>
      <c r="B217" s="59">
        <v>206031</v>
      </c>
    </row>
    <row r="218" spans="1:2" x14ac:dyDescent="0.25">
      <c r="A218" s="59" t="s">
        <v>531</v>
      </c>
      <c r="B218" s="59" t="s">
        <v>284</v>
      </c>
    </row>
    <row r="219" spans="1:2" x14ac:dyDescent="0.25">
      <c r="A219" s="59" t="s">
        <v>530</v>
      </c>
      <c r="B219" s="59" t="s">
        <v>282</v>
      </c>
    </row>
    <row r="220" spans="1:2" x14ac:dyDescent="0.25">
      <c r="A220" s="59" t="s">
        <v>1281</v>
      </c>
      <c r="B220" s="59" t="s">
        <v>781</v>
      </c>
    </row>
    <row r="221" spans="1:2" x14ac:dyDescent="0.25">
      <c r="A221" s="59" t="s">
        <v>1255</v>
      </c>
      <c r="B221" s="59" t="s">
        <v>285</v>
      </c>
    </row>
    <row r="222" spans="1:2" x14ac:dyDescent="0.25">
      <c r="A222" s="59" t="s">
        <v>1289</v>
      </c>
      <c r="B222" s="59">
        <v>260848</v>
      </c>
    </row>
    <row r="223" spans="1:2" x14ac:dyDescent="0.25">
      <c r="A223" s="59" t="s">
        <v>565</v>
      </c>
      <c r="B223" s="59">
        <v>206043</v>
      </c>
    </row>
    <row r="224" spans="1:2" x14ac:dyDescent="0.25">
      <c r="A224" s="59" t="s">
        <v>533</v>
      </c>
      <c r="B224" s="59" t="s">
        <v>286</v>
      </c>
    </row>
    <row r="225" spans="1:2" x14ac:dyDescent="0.25">
      <c r="A225" s="59" t="s">
        <v>533</v>
      </c>
      <c r="B225" s="59">
        <v>505502</v>
      </c>
    </row>
    <row r="226" spans="1:2" x14ac:dyDescent="0.25">
      <c r="A226" s="59" t="s">
        <v>563</v>
      </c>
      <c r="B226" s="59">
        <v>205978</v>
      </c>
    </row>
    <row r="227" spans="1:2" x14ac:dyDescent="0.25">
      <c r="A227" s="59" t="s">
        <v>1296</v>
      </c>
      <c r="B227" s="59">
        <v>435150</v>
      </c>
    </row>
    <row r="228" spans="1:2" x14ac:dyDescent="0.25">
      <c r="A228" s="59" t="s">
        <v>1288</v>
      </c>
      <c r="B228" s="59">
        <v>206067</v>
      </c>
    </row>
    <row r="229" spans="1:2" x14ac:dyDescent="0.25">
      <c r="A229" s="59" t="s">
        <v>534</v>
      </c>
      <c r="B229" s="59" t="s">
        <v>287</v>
      </c>
    </row>
    <row r="230" spans="1:2" x14ac:dyDescent="0.25">
      <c r="A230" s="59" t="s">
        <v>1282</v>
      </c>
      <c r="B230" s="59" t="s">
        <v>279</v>
      </c>
    </row>
    <row r="231" spans="1:2" x14ac:dyDescent="0.25">
      <c r="A231" s="59" t="s">
        <v>535</v>
      </c>
      <c r="B231" s="59" t="s">
        <v>288</v>
      </c>
    </row>
    <row r="232" spans="1:2" x14ac:dyDescent="0.25">
      <c r="A232" s="59" t="s">
        <v>1286</v>
      </c>
      <c r="B232" s="59" t="s">
        <v>793</v>
      </c>
    </row>
    <row r="233" spans="1:2" x14ac:dyDescent="0.25">
      <c r="A233" s="59" t="s">
        <v>1386</v>
      </c>
      <c r="B233" s="59">
        <v>414019</v>
      </c>
    </row>
    <row r="234" spans="1:2" x14ac:dyDescent="0.25">
      <c r="A234" s="59" t="s">
        <v>567</v>
      </c>
      <c r="B234" s="59" t="s">
        <v>274</v>
      </c>
    </row>
    <row r="235" spans="1:2" x14ac:dyDescent="0.25">
      <c r="A235" s="59" t="s">
        <v>1387</v>
      </c>
      <c r="B235" s="59">
        <v>458078</v>
      </c>
    </row>
    <row r="236" spans="1:2" x14ac:dyDescent="0.25">
      <c r="A236" s="59" t="s">
        <v>1287</v>
      </c>
      <c r="B236" s="59" t="s">
        <v>795</v>
      </c>
    </row>
    <row r="237" spans="1:2" x14ac:dyDescent="0.25">
      <c r="A237" s="59" t="s">
        <v>289</v>
      </c>
      <c r="B237" s="59" t="s">
        <v>290</v>
      </c>
    </row>
    <row r="238" spans="1:2" x14ac:dyDescent="0.25">
      <c r="A238" s="59" t="s">
        <v>1306</v>
      </c>
      <c r="B238" s="59">
        <v>4003</v>
      </c>
    </row>
    <row r="239" spans="1:2" x14ac:dyDescent="0.25">
      <c r="A239" s="59" t="s">
        <v>797</v>
      </c>
      <c r="B239" s="59" t="s">
        <v>798</v>
      </c>
    </row>
    <row r="240" spans="1:2" x14ac:dyDescent="0.25">
      <c r="A240" s="59" t="s">
        <v>291</v>
      </c>
      <c r="B240" s="59" t="s">
        <v>293</v>
      </c>
    </row>
    <row r="241" spans="1:2" x14ac:dyDescent="0.25">
      <c r="A241" s="59" t="s">
        <v>111</v>
      </c>
      <c r="B241" s="59">
        <v>4178</v>
      </c>
    </row>
    <row r="242" spans="1:2" x14ac:dyDescent="0.25">
      <c r="A242" s="59" t="s">
        <v>98</v>
      </c>
      <c r="B242" s="59">
        <v>3158</v>
      </c>
    </row>
    <row r="243" spans="1:2" x14ac:dyDescent="0.25">
      <c r="A243" s="59" t="s">
        <v>32</v>
      </c>
      <c r="B243" s="59">
        <v>2619</v>
      </c>
    </row>
    <row r="244" spans="1:2" x14ac:dyDescent="0.25">
      <c r="A244" s="59" t="s">
        <v>1388</v>
      </c>
      <c r="B244" s="59">
        <v>479542</v>
      </c>
    </row>
    <row r="245" spans="1:2" x14ac:dyDescent="0.25">
      <c r="A245" s="59" t="s">
        <v>1389</v>
      </c>
      <c r="B245" s="59" t="s">
        <v>1390</v>
      </c>
    </row>
    <row r="246" spans="1:2" x14ac:dyDescent="0.25">
      <c r="A246" s="59" t="s">
        <v>799</v>
      </c>
      <c r="B246" s="59" t="s">
        <v>800</v>
      </c>
    </row>
    <row r="247" spans="1:2" x14ac:dyDescent="0.25">
      <c r="A247" s="59" t="s">
        <v>1391</v>
      </c>
      <c r="B247" s="59">
        <v>487369</v>
      </c>
    </row>
    <row r="248" spans="1:2" x14ac:dyDescent="0.25">
      <c r="A248" s="59" t="s">
        <v>1392</v>
      </c>
      <c r="B248" s="59">
        <v>477763</v>
      </c>
    </row>
    <row r="249" spans="1:2" x14ac:dyDescent="0.25">
      <c r="A249" s="59" t="s">
        <v>294</v>
      </c>
      <c r="B249" s="59" t="s">
        <v>295</v>
      </c>
    </row>
    <row r="250" spans="1:2" x14ac:dyDescent="0.25">
      <c r="A250" s="59" t="s">
        <v>296</v>
      </c>
      <c r="B250" s="59">
        <v>258417</v>
      </c>
    </row>
    <row r="251" spans="1:2" x14ac:dyDescent="0.25">
      <c r="A251" s="59" t="s">
        <v>298</v>
      </c>
      <c r="B251" s="59" t="s">
        <v>300</v>
      </c>
    </row>
    <row r="252" spans="1:2" x14ac:dyDescent="0.25">
      <c r="A252" s="59" t="s">
        <v>301</v>
      </c>
      <c r="B252" s="59" t="s">
        <v>303</v>
      </c>
    </row>
    <row r="253" spans="1:2" x14ac:dyDescent="0.25">
      <c r="A253" s="59" t="s">
        <v>33</v>
      </c>
      <c r="B253" s="59">
        <v>2518</v>
      </c>
    </row>
    <row r="254" spans="1:2" x14ac:dyDescent="0.25">
      <c r="A254" s="59" t="s">
        <v>801</v>
      </c>
      <c r="B254" s="59" t="s">
        <v>802</v>
      </c>
    </row>
    <row r="255" spans="1:2" x14ac:dyDescent="0.25">
      <c r="A255" s="59" t="s">
        <v>304</v>
      </c>
      <c r="B255" s="59">
        <v>206106</v>
      </c>
    </row>
    <row r="256" spans="1:2" x14ac:dyDescent="0.25">
      <c r="A256" s="59" t="s">
        <v>306</v>
      </c>
      <c r="B256" s="59" t="s">
        <v>307</v>
      </c>
    </row>
    <row r="257" spans="1:2" x14ac:dyDescent="0.25">
      <c r="A257" s="59" t="s">
        <v>803</v>
      </c>
      <c r="B257" s="59" t="s">
        <v>804</v>
      </c>
    </row>
    <row r="258" spans="1:2" x14ac:dyDescent="0.25">
      <c r="A258" s="59" t="s">
        <v>34</v>
      </c>
      <c r="B258" s="59">
        <v>2457</v>
      </c>
    </row>
    <row r="259" spans="1:2" x14ac:dyDescent="0.25">
      <c r="A259" s="59" t="s">
        <v>99</v>
      </c>
      <c r="B259" s="59">
        <v>2010</v>
      </c>
    </row>
    <row r="260" spans="1:2" x14ac:dyDescent="0.25">
      <c r="A260" s="59" t="s">
        <v>35</v>
      </c>
      <c r="B260" s="59">
        <v>2002</v>
      </c>
    </row>
    <row r="261" spans="1:2" x14ac:dyDescent="0.25">
      <c r="A261" s="59" t="s">
        <v>36</v>
      </c>
      <c r="B261" s="59">
        <v>3544</v>
      </c>
    </row>
    <row r="262" spans="1:2" x14ac:dyDescent="0.25">
      <c r="A262" s="59" t="s">
        <v>5</v>
      </c>
      <c r="B262" s="59">
        <v>1008</v>
      </c>
    </row>
    <row r="263" spans="1:2" x14ac:dyDescent="0.25">
      <c r="A263" s="59" t="s">
        <v>308</v>
      </c>
      <c r="B263" s="59" t="s">
        <v>309</v>
      </c>
    </row>
    <row r="264" spans="1:2" x14ac:dyDescent="0.25">
      <c r="A264" s="59" t="s">
        <v>100</v>
      </c>
      <c r="B264" s="59">
        <v>2006</v>
      </c>
    </row>
    <row r="265" spans="1:2" x14ac:dyDescent="0.25">
      <c r="A265" s="59" t="s">
        <v>310</v>
      </c>
      <c r="B265" s="59" t="s">
        <v>311</v>
      </c>
    </row>
    <row r="266" spans="1:2" x14ac:dyDescent="0.25">
      <c r="A266" s="59" t="s">
        <v>312</v>
      </c>
      <c r="B266" s="59">
        <v>206133</v>
      </c>
    </row>
    <row r="267" spans="1:2" x14ac:dyDescent="0.25">
      <c r="A267" s="59" t="s">
        <v>806</v>
      </c>
      <c r="B267" s="59" t="s">
        <v>807</v>
      </c>
    </row>
    <row r="268" spans="1:2" x14ac:dyDescent="0.25">
      <c r="A268" s="59" t="s">
        <v>314</v>
      </c>
      <c r="B268" s="59" t="s">
        <v>316</v>
      </c>
    </row>
    <row r="269" spans="1:2" x14ac:dyDescent="0.25">
      <c r="A269" s="59" t="s">
        <v>317</v>
      </c>
      <c r="B269" s="59">
        <v>206134</v>
      </c>
    </row>
    <row r="270" spans="1:2" x14ac:dyDescent="0.25">
      <c r="A270" s="59" t="s">
        <v>321</v>
      </c>
      <c r="B270" s="59" t="s">
        <v>322</v>
      </c>
    </row>
    <row r="271" spans="1:2" x14ac:dyDescent="0.25">
      <c r="A271" s="59" t="s">
        <v>319</v>
      </c>
      <c r="B271" s="59" t="s">
        <v>320</v>
      </c>
    </row>
    <row r="272" spans="1:2" x14ac:dyDescent="0.25">
      <c r="A272" s="59" t="s">
        <v>323</v>
      </c>
      <c r="B272" s="59" t="s">
        <v>324</v>
      </c>
    </row>
    <row r="273" spans="1:2" x14ac:dyDescent="0.25">
      <c r="A273" s="59" t="s">
        <v>325</v>
      </c>
      <c r="B273" s="59">
        <v>206109</v>
      </c>
    </row>
    <row r="274" spans="1:2" x14ac:dyDescent="0.25">
      <c r="A274" s="59" t="s">
        <v>37</v>
      </c>
      <c r="B274" s="59">
        <v>2434</v>
      </c>
    </row>
    <row r="275" spans="1:2" x14ac:dyDescent="0.25">
      <c r="A275" s="59" t="s">
        <v>42</v>
      </c>
      <c r="B275" s="59">
        <v>2009</v>
      </c>
    </row>
    <row r="276" spans="1:2" x14ac:dyDescent="0.25">
      <c r="A276" s="59" t="s">
        <v>569</v>
      </c>
      <c r="B276" s="59">
        <v>6905</v>
      </c>
    </row>
    <row r="277" spans="1:2" x14ac:dyDescent="0.25">
      <c r="A277" s="59" t="s">
        <v>38</v>
      </c>
      <c r="B277" s="59">
        <v>2522</v>
      </c>
    </row>
    <row r="278" spans="1:2" x14ac:dyDescent="0.25">
      <c r="A278" s="59" t="s">
        <v>327</v>
      </c>
      <c r="B278" s="59">
        <v>206110</v>
      </c>
    </row>
    <row r="279" spans="1:2" x14ac:dyDescent="0.25">
      <c r="A279" s="59" t="s">
        <v>329</v>
      </c>
      <c r="B279" s="59">
        <v>206135</v>
      </c>
    </row>
    <row r="280" spans="1:2" x14ac:dyDescent="0.25">
      <c r="A280" s="59" t="s">
        <v>69</v>
      </c>
      <c r="B280" s="59">
        <v>4181</v>
      </c>
    </row>
    <row r="281" spans="1:2" x14ac:dyDescent="0.25">
      <c r="A281" s="59" t="s">
        <v>331</v>
      </c>
      <c r="B281" s="59">
        <v>509195</v>
      </c>
    </row>
    <row r="282" spans="1:2" x14ac:dyDescent="0.25">
      <c r="A282" s="59" t="s">
        <v>1393</v>
      </c>
      <c r="B282" s="59">
        <v>480857</v>
      </c>
    </row>
    <row r="283" spans="1:2" x14ac:dyDescent="0.25">
      <c r="A283" s="59" t="s">
        <v>333</v>
      </c>
      <c r="B283" s="59" t="s">
        <v>334</v>
      </c>
    </row>
    <row r="284" spans="1:2" x14ac:dyDescent="0.25">
      <c r="A284" s="59" t="s">
        <v>335</v>
      </c>
      <c r="B284" s="59" t="s">
        <v>336</v>
      </c>
    </row>
    <row r="285" spans="1:2" x14ac:dyDescent="0.25">
      <c r="A285" s="59" t="s">
        <v>1394</v>
      </c>
      <c r="B285" s="59">
        <v>492973</v>
      </c>
    </row>
    <row r="286" spans="1:2" x14ac:dyDescent="0.25">
      <c r="A286" s="59" t="s">
        <v>337</v>
      </c>
      <c r="B286" s="59" t="s">
        <v>339</v>
      </c>
    </row>
    <row r="287" spans="1:2" x14ac:dyDescent="0.25">
      <c r="A287" s="59" t="s">
        <v>340</v>
      </c>
      <c r="B287" s="59">
        <v>509199</v>
      </c>
    </row>
    <row r="288" spans="1:2" x14ac:dyDescent="0.25">
      <c r="A288" s="59" t="s">
        <v>342</v>
      </c>
      <c r="B288" s="59">
        <v>509197</v>
      </c>
    </row>
    <row r="289" spans="1:2" x14ac:dyDescent="0.25">
      <c r="A289" s="59" t="s">
        <v>808</v>
      </c>
      <c r="B289" s="59">
        <v>479383</v>
      </c>
    </row>
    <row r="290" spans="1:2" x14ac:dyDescent="0.25">
      <c r="A290" s="59" t="s">
        <v>347</v>
      </c>
      <c r="B290" s="59" t="s">
        <v>348</v>
      </c>
    </row>
    <row r="291" spans="1:2" x14ac:dyDescent="0.25">
      <c r="A291" s="59" t="s">
        <v>70</v>
      </c>
      <c r="B291" s="59">
        <v>4182</v>
      </c>
    </row>
    <row r="292" spans="1:2" x14ac:dyDescent="0.25">
      <c r="A292" s="59" t="s">
        <v>344</v>
      </c>
      <c r="B292" s="59" t="s">
        <v>346</v>
      </c>
    </row>
    <row r="293" spans="1:2" x14ac:dyDescent="0.25">
      <c r="A293" s="59" t="s">
        <v>6</v>
      </c>
      <c r="B293" s="59">
        <v>1005</v>
      </c>
    </row>
    <row r="294" spans="1:2" x14ac:dyDescent="0.25">
      <c r="A294" s="59" t="s">
        <v>809</v>
      </c>
      <c r="B294" s="59" t="s">
        <v>810</v>
      </c>
    </row>
    <row r="295" spans="1:2" x14ac:dyDescent="0.25">
      <c r="A295" s="59" t="s">
        <v>39</v>
      </c>
      <c r="B295" s="59">
        <v>2436</v>
      </c>
    </row>
    <row r="296" spans="1:2" x14ac:dyDescent="0.25">
      <c r="A296" s="59" t="s">
        <v>349</v>
      </c>
      <c r="B296" s="59">
        <v>206117</v>
      </c>
    </row>
    <row r="297" spans="1:2" x14ac:dyDescent="0.25">
      <c r="A297" s="59" t="s">
        <v>40</v>
      </c>
      <c r="B297" s="59">
        <v>2452</v>
      </c>
    </row>
    <row r="298" spans="1:2" x14ac:dyDescent="0.25">
      <c r="A298" s="59" t="s">
        <v>71</v>
      </c>
      <c r="B298" s="59">
        <v>4001</v>
      </c>
    </row>
    <row r="299" spans="1:2" x14ac:dyDescent="0.25">
      <c r="A299" s="59" t="s">
        <v>351</v>
      </c>
      <c r="B299" s="59">
        <v>206141</v>
      </c>
    </row>
    <row r="300" spans="1:2" x14ac:dyDescent="0.25">
      <c r="A300" s="59" t="s">
        <v>41</v>
      </c>
      <c r="B300" s="59">
        <v>2627</v>
      </c>
    </row>
    <row r="301" spans="1:2" x14ac:dyDescent="0.25">
      <c r="A301" s="59" t="s">
        <v>112</v>
      </c>
      <c r="B301" s="59">
        <v>5406</v>
      </c>
    </row>
    <row r="302" spans="1:2" x14ac:dyDescent="0.25">
      <c r="A302" s="59" t="s">
        <v>113</v>
      </c>
      <c r="B302" s="59">
        <v>5407</v>
      </c>
    </row>
    <row r="303" spans="1:2" x14ac:dyDescent="0.25">
      <c r="A303" s="59" t="s">
        <v>353</v>
      </c>
      <c r="B303" s="59" t="s">
        <v>355</v>
      </c>
    </row>
    <row r="304" spans="1:2" x14ac:dyDescent="0.25">
      <c r="A304" s="59" t="s">
        <v>356</v>
      </c>
      <c r="B304" s="59">
        <v>258404</v>
      </c>
    </row>
    <row r="305" spans="1:2" x14ac:dyDescent="0.25">
      <c r="A305" s="59" t="s">
        <v>101</v>
      </c>
      <c r="B305" s="59">
        <v>2473</v>
      </c>
    </row>
    <row r="306" spans="1:2" x14ac:dyDescent="0.25">
      <c r="A306" s="59" t="s">
        <v>44</v>
      </c>
      <c r="B306" s="59">
        <v>2471</v>
      </c>
    </row>
    <row r="307" spans="1:2" x14ac:dyDescent="0.25">
      <c r="A307" s="59" t="s">
        <v>358</v>
      </c>
      <c r="B307" s="59">
        <v>258405</v>
      </c>
    </row>
    <row r="308" spans="1:2" x14ac:dyDescent="0.25">
      <c r="A308" s="59" t="s">
        <v>360</v>
      </c>
      <c r="B308" s="59">
        <v>258406</v>
      </c>
    </row>
    <row r="309" spans="1:2" x14ac:dyDescent="0.25">
      <c r="A309" s="59" t="s">
        <v>1395</v>
      </c>
      <c r="B309" s="59">
        <v>206145</v>
      </c>
    </row>
    <row r="310" spans="1:2" x14ac:dyDescent="0.25">
      <c r="A310" s="59" t="s">
        <v>43</v>
      </c>
      <c r="B310" s="59">
        <v>2420</v>
      </c>
    </row>
    <row r="311" spans="1:2" x14ac:dyDescent="0.25">
      <c r="A311" s="59" t="s">
        <v>362</v>
      </c>
      <c r="B311" s="59">
        <v>206160</v>
      </c>
    </row>
    <row r="312" spans="1:2" x14ac:dyDescent="0.25">
      <c r="A312" s="59" t="s">
        <v>45</v>
      </c>
      <c r="B312" s="59">
        <v>2003</v>
      </c>
    </row>
    <row r="313" spans="1:2" x14ac:dyDescent="0.25">
      <c r="A313" s="59" t="s">
        <v>46</v>
      </c>
      <c r="B313" s="59">
        <v>2423</v>
      </c>
    </row>
    <row r="314" spans="1:2" x14ac:dyDescent="0.25">
      <c r="A314" s="59" t="s">
        <v>47</v>
      </c>
      <c r="B314" s="59">
        <v>2424</v>
      </c>
    </row>
    <row r="315" spans="1:2" x14ac:dyDescent="0.25">
      <c r="A315" s="59" t="s">
        <v>364</v>
      </c>
      <c r="B315" s="59" t="s">
        <v>366</v>
      </c>
    </row>
    <row r="316" spans="1:2" x14ac:dyDescent="0.25">
      <c r="A316" s="59" t="s">
        <v>367</v>
      </c>
      <c r="B316" s="59" t="s">
        <v>368</v>
      </c>
    </row>
    <row r="317" spans="1:2" x14ac:dyDescent="0.25">
      <c r="A317" s="59" t="s">
        <v>369</v>
      </c>
      <c r="B317" s="59" t="s">
        <v>371</v>
      </c>
    </row>
    <row r="318" spans="1:2" x14ac:dyDescent="0.25">
      <c r="A318" s="59" t="s">
        <v>811</v>
      </c>
      <c r="B318" s="59" t="s">
        <v>812</v>
      </c>
    </row>
    <row r="319" spans="1:2" x14ac:dyDescent="0.25">
      <c r="A319" s="59" t="s">
        <v>372</v>
      </c>
      <c r="B319" s="59">
        <v>206146</v>
      </c>
    </row>
    <row r="320" spans="1:2" x14ac:dyDescent="0.25">
      <c r="A320" s="59" t="s">
        <v>48</v>
      </c>
      <c r="B320" s="59">
        <v>2439</v>
      </c>
    </row>
    <row r="321" spans="1:2" x14ac:dyDescent="0.25">
      <c r="A321" s="59" t="s">
        <v>49</v>
      </c>
      <c r="B321" s="59">
        <v>2440</v>
      </c>
    </row>
    <row r="322" spans="1:2" x14ac:dyDescent="0.25">
      <c r="A322" s="59" t="s">
        <v>374</v>
      </c>
      <c r="B322" s="59" t="s">
        <v>375</v>
      </c>
    </row>
    <row r="323" spans="1:2" x14ac:dyDescent="0.25">
      <c r="A323" s="59" t="s">
        <v>813</v>
      </c>
      <c r="B323" s="59" t="s">
        <v>814</v>
      </c>
    </row>
    <row r="324" spans="1:2" x14ac:dyDescent="0.25">
      <c r="A324" s="59" t="s">
        <v>815</v>
      </c>
      <c r="B324" s="59" t="s">
        <v>816</v>
      </c>
    </row>
    <row r="325" spans="1:2" x14ac:dyDescent="0.25">
      <c r="A325" s="67" t="s">
        <v>377</v>
      </c>
      <c r="B325" s="67" t="s">
        <v>378</v>
      </c>
    </row>
    <row r="326" spans="1:2" x14ac:dyDescent="0.25">
      <c r="A326" s="105" t="s">
        <v>377</v>
      </c>
      <c r="B326" s="110" t="s">
        <v>817</v>
      </c>
    </row>
    <row r="327" spans="1:2" x14ac:dyDescent="0.25">
      <c r="A327" s="105" t="s">
        <v>102</v>
      </c>
      <c r="B327" s="110">
        <v>2462</v>
      </c>
    </row>
    <row r="328" spans="1:2" x14ac:dyDescent="0.25">
      <c r="A328" s="105" t="s">
        <v>50</v>
      </c>
      <c r="B328" s="110">
        <v>2463</v>
      </c>
    </row>
    <row r="329" spans="1:2" x14ac:dyDescent="0.25">
      <c r="A329" s="105" t="s">
        <v>51</v>
      </c>
      <c r="B329" s="67">
        <v>2505</v>
      </c>
    </row>
    <row r="330" spans="1:2" x14ac:dyDescent="0.25">
      <c r="A330" s="105" t="s">
        <v>1304</v>
      </c>
      <c r="B330" s="110">
        <v>2000</v>
      </c>
    </row>
    <row r="331" spans="1:2" x14ac:dyDescent="0.25">
      <c r="A331" s="105" t="s">
        <v>53</v>
      </c>
      <c r="B331" s="67">
        <v>2458</v>
      </c>
    </row>
    <row r="332" spans="1:2" x14ac:dyDescent="0.25">
      <c r="A332" s="105" t="s">
        <v>379</v>
      </c>
      <c r="B332" s="67" t="s">
        <v>381</v>
      </c>
    </row>
    <row r="333" spans="1:2" x14ac:dyDescent="0.25">
      <c r="A333" s="105" t="s">
        <v>54</v>
      </c>
      <c r="B333" s="67">
        <v>2001</v>
      </c>
    </row>
    <row r="334" spans="1:2" x14ac:dyDescent="0.25">
      <c r="A334" s="105" t="s">
        <v>382</v>
      </c>
      <c r="B334" s="67" t="s">
        <v>383</v>
      </c>
    </row>
    <row r="335" spans="1:2" x14ac:dyDescent="0.25">
      <c r="A335" s="105" t="s">
        <v>55</v>
      </c>
      <c r="B335" s="67">
        <v>2429</v>
      </c>
    </row>
    <row r="336" spans="1:2" x14ac:dyDescent="0.25">
      <c r="A336" s="105" t="s">
        <v>384</v>
      </c>
      <c r="B336" s="67">
        <v>113044</v>
      </c>
    </row>
    <row r="337" spans="1:2" x14ac:dyDescent="0.25">
      <c r="A337" s="105" t="s">
        <v>386</v>
      </c>
      <c r="B337" s="67" t="s">
        <v>388</v>
      </c>
    </row>
    <row r="338" spans="1:2" x14ac:dyDescent="0.25">
      <c r="A338" s="105" t="s">
        <v>72</v>
      </c>
      <c r="B338" s="67">
        <v>4607</v>
      </c>
    </row>
    <row r="339" spans="1:2" x14ac:dyDescent="0.25">
      <c r="A339" s="105" t="s">
        <v>818</v>
      </c>
      <c r="B339" s="67" t="s">
        <v>819</v>
      </c>
    </row>
    <row r="340" spans="1:2" x14ac:dyDescent="0.25">
      <c r="A340" s="105" t="s">
        <v>820</v>
      </c>
      <c r="B340" s="67" t="s">
        <v>821</v>
      </c>
    </row>
    <row r="341" spans="1:2" x14ac:dyDescent="0.25">
      <c r="A341" s="105" t="s">
        <v>56</v>
      </c>
      <c r="B341" s="67">
        <v>2444</v>
      </c>
    </row>
    <row r="342" spans="1:2" x14ac:dyDescent="0.25">
      <c r="A342" s="105" t="s">
        <v>57</v>
      </c>
      <c r="B342" s="67">
        <v>5209</v>
      </c>
    </row>
    <row r="343" spans="1:2" x14ac:dyDescent="0.25">
      <c r="A343" s="105" t="s">
        <v>389</v>
      </c>
      <c r="B343" s="67" t="s">
        <v>391</v>
      </c>
    </row>
    <row r="344" spans="1:2" x14ac:dyDescent="0.25">
      <c r="A344" s="105" t="s">
        <v>392</v>
      </c>
      <c r="B344" s="67" t="s">
        <v>394</v>
      </c>
    </row>
    <row r="345" spans="1:2" x14ac:dyDescent="0.25">
      <c r="A345" s="105" t="s">
        <v>58</v>
      </c>
      <c r="B345" s="67">
        <v>2469</v>
      </c>
    </row>
    <row r="346" spans="1:2" x14ac:dyDescent="0.25">
      <c r="A346" s="105" t="s">
        <v>395</v>
      </c>
      <c r="B346" s="110" t="s">
        <v>397</v>
      </c>
    </row>
    <row r="347" spans="1:2" x14ac:dyDescent="0.25">
      <c r="A347" s="105" t="s">
        <v>398</v>
      </c>
      <c r="B347" s="67" t="s">
        <v>399</v>
      </c>
    </row>
    <row r="348" spans="1:2" x14ac:dyDescent="0.25">
      <c r="A348" s="59" t="s">
        <v>59</v>
      </c>
      <c r="B348" s="59">
        <v>2466</v>
      </c>
    </row>
    <row r="349" spans="1:2" x14ac:dyDescent="0.25">
      <c r="A349" s="59" t="s">
        <v>60</v>
      </c>
      <c r="B349" s="59">
        <v>3543</v>
      </c>
    </row>
    <row r="350" spans="1:2" x14ac:dyDescent="0.25">
      <c r="A350" s="59" t="s">
        <v>400</v>
      </c>
      <c r="B350" s="59">
        <v>206152</v>
      </c>
    </row>
    <row r="351" spans="1:2" x14ac:dyDescent="0.25">
      <c r="A351" s="59" t="s">
        <v>402</v>
      </c>
      <c r="B351" s="59">
        <v>206153</v>
      </c>
    </row>
    <row r="352" spans="1:2" x14ac:dyDescent="0.25">
      <c r="A352" s="59" t="s">
        <v>62</v>
      </c>
      <c r="B352" s="59">
        <v>3531</v>
      </c>
    </row>
    <row r="353" spans="1:2" x14ac:dyDescent="0.25">
      <c r="A353" s="59" t="s">
        <v>63</v>
      </c>
      <c r="B353" s="59">
        <v>3526</v>
      </c>
    </row>
    <row r="354" spans="1:2" x14ac:dyDescent="0.25">
      <c r="A354" s="59" t="s">
        <v>104</v>
      </c>
      <c r="B354" s="59">
        <v>3535</v>
      </c>
    </row>
    <row r="355" spans="1:2" x14ac:dyDescent="0.25">
      <c r="A355" s="59" t="s">
        <v>64</v>
      </c>
      <c r="B355" s="59">
        <v>2008</v>
      </c>
    </row>
    <row r="356" spans="1:2" x14ac:dyDescent="0.25">
      <c r="A356" s="59" t="s">
        <v>105</v>
      </c>
      <c r="B356" s="59">
        <v>3542</v>
      </c>
    </row>
    <row r="357" spans="1:2" x14ac:dyDescent="0.25">
      <c r="A357" s="59" t="s">
        <v>404</v>
      </c>
      <c r="B357" s="59">
        <v>206154</v>
      </c>
    </row>
    <row r="358" spans="1:2" x14ac:dyDescent="0.25">
      <c r="A358" s="59" t="s">
        <v>106</v>
      </c>
      <c r="B358" s="59">
        <v>3528</v>
      </c>
    </row>
    <row r="359" spans="1:2" x14ac:dyDescent="0.25">
      <c r="A359" s="59" t="s">
        <v>406</v>
      </c>
      <c r="B359" s="59" t="s">
        <v>407</v>
      </c>
    </row>
    <row r="360" spans="1:2" x14ac:dyDescent="0.25">
      <c r="A360" s="59" t="s">
        <v>107</v>
      </c>
      <c r="B360" s="59">
        <v>3534</v>
      </c>
    </row>
    <row r="361" spans="1:2" x14ac:dyDescent="0.25">
      <c r="A361" s="59" t="s">
        <v>108</v>
      </c>
      <c r="B361" s="59">
        <v>3532</v>
      </c>
    </row>
    <row r="362" spans="1:2" x14ac:dyDescent="0.25">
      <c r="A362" s="59" t="s">
        <v>7</v>
      </c>
      <c r="B362" s="59">
        <v>1010</v>
      </c>
    </row>
    <row r="363" spans="1:2" x14ac:dyDescent="0.25">
      <c r="A363" s="59" t="s">
        <v>1396</v>
      </c>
      <c r="B363" s="59">
        <v>484523</v>
      </c>
    </row>
    <row r="364" spans="1:2" x14ac:dyDescent="0.25">
      <c r="A364" s="59" t="s">
        <v>408</v>
      </c>
      <c r="B364" s="59" t="s">
        <v>410</v>
      </c>
    </row>
    <row r="365" spans="1:2" x14ac:dyDescent="0.25">
      <c r="A365" s="59" t="s">
        <v>114</v>
      </c>
      <c r="B365" s="59">
        <v>4177</v>
      </c>
    </row>
    <row r="366" spans="1:2" x14ac:dyDescent="0.25">
      <c r="A366" s="59" t="s">
        <v>822</v>
      </c>
      <c r="B366" s="59" t="s">
        <v>824</v>
      </c>
    </row>
    <row r="367" spans="1:2" x14ac:dyDescent="0.25">
      <c r="A367" s="59" t="s">
        <v>411</v>
      </c>
      <c r="B367" s="59" t="s">
        <v>413</v>
      </c>
    </row>
    <row r="368" spans="1:2" x14ac:dyDescent="0.25">
      <c r="A368" s="59" t="s">
        <v>414</v>
      </c>
      <c r="B368" s="59">
        <v>206103</v>
      </c>
    </row>
    <row r="369" spans="1:2" x14ac:dyDescent="0.25">
      <c r="A369" s="59" t="s">
        <v>415</v>
      </c>
      <c r="B369" s="59" t="s">
        <v>417</v>
      </c>
    </row>
    <row r="370" spans="1:2" x14ac:dyDescent="0.25">
      <c r="A370" s="59" t="s">
        <v>418</v>
      </c>
      <c r="B370" s="59" t="s">
        <v>420</v>
      </c>
    </row>
    <row r="371" spans="1:2" x14ac:dyDescent="0.25">
      <c r="A371" s="59" t="s">
        <v>421</v>
      </c>
      <c r="B371" s="59">
        <v>258420</v>
      </c>
    </row>
    <row r="372" spans="1:2" x14ac:dyDescent="0.25">
      <c r="A372" s="59" t="s">
        <v>423</v>
      </c>
      <c r="B372" s="59">
        <v>258424</v>
      </c>
    </row>
    <row r="373" spans="1:2" x14ac:dyDescent="0.25">
      <c r="A373" s="59" t="s">
        <v>1397</v>
      </c>
      <c r="B373" s="59">
        <v>482634</v>
      </c>
    </row>
    <row r="374" spans="1:2" x14ac:dyDescent="0.25">
      <c r="A374" s="59" t="s">
        <v>425</v>
      </c>
      <c r="B374" s="59" t="s">
        <v>426</v>
      </c>
    </row>
    <row r="375" spans="1:2" x14ac:dyDescent="0.25">
      <c r="A375" s="59" t="s">
        <v>65</v>
      </c>
      <c r="B375" s="59">
        <v>3546</v>
      </c>
    </row>
    <row r="376" spans="1:2" x14ac:dyDescent="0.25">
      <c r="A376" s="59" t="s">
        <v>8</v>
      </c>
      <c r="B376" s="59">
        <v>1009</v>
      </c>
    </row>
    <row r="377" spans="1:2" x14ac:dyDescent="0.25">
      <c r="A377" s="59" t="s">
        <v>1398</v>
      </c>
      <c r="B377" s="59">
        <v>476554</v>
      </c>
    </row>
    <row r="378" spans="1:2" x14ac:dyDescent="0.25">
      <c r="A378" s="59" t="s">
        <v>66</v>
      </c>
      <c r="B378" s="59">
        <v>3530</v>
      </c>
    </row>
    <row r="379" spans="1:2" x14ac:dyDescent="0.25">
      <c r="A379" s="59" t="s">
        <v>74</v>
      </c>
      <c r="B379" s="59">
        <v>5412</v>
      </c>
    </row>
    <row r="380" spans="1:2" x14ac:dyDescent="0.25">
      <c r="A380" s="59" t="s">
        <v>432</v>
      </c>
      <c r="B380" s="59" t="s">
        <v>433</v>
      </c>
    </row>
    <row r="381" spans="1:2" x14ac:dyDescent="0.25">
      <c r="A381" s="59" t="s">
        <v>427</v>
      </c>
      <c r="B381" s="59" t="s">
        <v>429</v>
      </c>
    </row>
    <row r="382" spans="1:2" x14ac:dyDescent="0.25">
      <c r="A382" s="59" t="s">
        <v>9</v>
      </c>
      <c r="B382" s="59">
        <v>1015</v>
      </c>
    </row>
    <row r="383" spans="1:2" x14ac:dyDescent="0.25">
      <c r="A383" s="59" t="s">
        <v>430</v>
      </c>
      <c r="B383" s="59" t="s">
        <v>431</v>
      </c>
    </row>
    <row r="384" spans="1:2" x14ac:dyDescent="0.25">
      <c r="A384" s="59" t="s">
        <v>434</v>
      </c>
      <c r="B384" s="59">
        <v>509204</v>
      </c>
    </row>
    <row r="385" spans="1:2" x14ac:dyDescent="0.25">
      <c r="A385" s="59" t="s">
        <v>434</v>
      </c>
      <c r="B385" s="59" t="s">
        <v>825</v>
      </c>
    </row>
    <row r="386" spans="1:2" x14ac:dyDescent="0.25">
      <c r="A386" s="59" t="s">
        <v>67</v>
      </c>
      <c r="B386" s="59">
        <v>2459</v>
      </c>
    </row>
    <row r="387" spans="1:2" x14ac:dyDescent="0.25">
      <c r="A387" s="59" t="s">
        <v>96</v>
      </c>
      <c r="B387" s="59">
        <v>2007</v>
      </c>
    </row>
    <row r="388" spans="1:2" x14ac:dyDescent="0.25">
      <c r="A388" s="11"/>
      <c r="B388" s="2"/>
    </row>
    <row r="389" spans="1:2" x14ac:dyDescent="0.25">
      <c r="A389" s="11"/>
      <c r="B389" s="2"/>
    </row>
  </sheetData>
  <sheetProtection password="EF5C" sheet="1" objects="1" scenarios="1"/>
  <pageMargins left="0.7" right="0.7" top="0.75" bottom="0.75" header="0.3" footer="0.3"/>
  <pageSetup paperSize="9" orientation="portrait"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50"/>
  </sheetPr>
  <dimension ref="A1:CN398"/>
  <sheetViews>
    <sheetView workbookViewId="0">
      <pane xSplit="2" ySplit="6" topLeftCell="C7" activePane="bottomRight" state="frozen"/>
      <selection activeCell="C118" sqref="C118"/>
      <selection pane="topRight" activeCell="C118" sqref="C118"/>
      <selection pane="bottomLeft" activeCell="C118" sqref="C118"/>
      <selection pane="bottomRight" activeCell="E23" sqref="E23"/>
    </sheetView>
  </sheetViews>
  <sheetFormatPr defaultColWidth="9.109375" defaultRowHeight="13.2" x14ac:dyDescent="0.25"/>
  <cols>
    <col min="1" max="1" width="52.44140625" style="11" customWidth="1"/>
    <col min="2" max="2" width="17.109375" style="2" customWidth="1"/>
    <col min="3" max="5" width="9.109375" style="30" customWidth="1"/>
    <col min="6" max="7" width="11" style="30" customWidth="1"/>
    <col min="8" max="16" width="9.109375" style="30" customWidth="1"/>
    <col min="17" max="17" width="10.5546875" style="30" customWidth="1"/>
    <col min="18" max="18" width="11.44140625" style="30" customWidth="1"/>
    <col min="19" max="22" width="9.109375" style="30" customWidth="1"/>
    <col min="23" max="24" width="11" style="30" customWidth="1"/>
    <col min="25" max="33" width="9.109375" style="30" customWidth="1"/>
    <col min="34" max="34" width="10.5546875" style="30" customWidth="1"/>
    <col min="35" max="51" width="9.109375" style="30" customWidth="1"/>
    <col min="52" max="16384" width="9.109375" style="30"/>
  </cols>
  <sheetData>
    <row r="1" spans="1:92" ht="12.75" x14ac:dyDescent="0.2">
      <c r="A1" s="1"/>
      <c r="B1" s="739"/>
      <c r="S1" s="1096"/>
    </row>
    <row r="2" spans="1:92" ht="12.75" x14ac:dyDescent="0.2">
      <c r="A2" s="1"/>
      <c r="B2" s="739"/>
      <c r="S2" s="1096"/>
    </row>
    <row r="3" spans="1:92" ht="12.75" x14ac:dyDescent="0.2">
      <c r="A3" s="1"/>
      <c r="B3" s="739"/>
      <c r="C3" s="56"/>
      <c r="S3" s="1096"/>
      <c r="T3" s="30" t="s">
        <v>1183</v>
      </c>
    </row>
    <row r="4" spans="1:92" ht="12.75" x14ac:dyDescent="0.2">
      <c r="A4" s="56" t="s">
        <v>1184</v>
      </c>
      <c r="B4" s="2" t="s">
        <v>854</v>
      </c>
      <c r="C4" s="739">
        <v>0.11996825711963002</v>
      </c>
      <c r="D4" s="739">
        <v>9.6990121973435081E-2</v>
      </c>
      <c r="E4" s="739">
        <v>8.6334900283922683E-2</v>
      </c>
      <c r="H4" s="1018">
        <v>0.35251785880652542</v>
      </c>
      <c r="I4" s="1018"/>
      <c r="J4" s="1018">
        <v>1</v>
      </c>
      <c r="K4" s="1018"/>
      <c r="L4" s="1018">
        <v>0.352517575306113</v>
      </c>
      <c r="M4" s="1018"/>
      <c r="N4" s="1018">
        <v>0.40054506899453624</v>
      </c>
      <c r="O4" s="1018"/>
      <c r="P4" s="1018">
        <v>1</v>
      </c>
      <c r="S4" s="1096"/>
      <c r="T4" s="739">
        <v>0.11996825711963002</v>
      </c>
      <c r="U4" s="739">
        <v>9.6990121973435081E-2</v>
      </c>
      <c r="V4" s="739">
        <v>8.6334900283922683E-2</v>
      </c>
      <c r="Y4" s="1018">
        <v>0.35251785880652542</v>
      </c>
      <c r="Z4" s="1018"/>
      <c r="AA4" s="1018">
        <v>1</v>
      </c>
      <c r="AB4" s="1018"/>
      <c r="AC4" s="1018">
        <v>0.352517575306113</v>
      </c>
      <c r="AD4" s="1018"/>
      <c r="AE4" s="1018">
        <v>0.40054506899453624</v>
      </c>
      <c r="AF4" s="1018"/>
      <c r="AG4" s="1018">
        <v>1</v>
      </c>
    </row>
    <row r="5" spans="1:92" ht="12.75" x14ac:dyDescent="0.2">
      <c r="A5" s="1"/>
      <c r="B5" s="2" t="s">
        <v>500</v>
      </c>
      <c r="C5" s="11">
        <v>2553.0217000000002</v>
      </c>
      <c r="D5" s="11">
        <v>3576.1624000000002</v>
      </c>
      <c r="E5" s="11">
        <v>4003.8288000000002</v>
      </c>
      <c r="S5" s="1096"/>
      <c r="T5" s="11">
        <v>2442.0651000000003</v>
      </c>
      <c r="U5" s="11">
        <v>3465.2058000000002</v>
      </c>
      <c r="V5" s="11">
        <v>3892.8722000000002</v>
      </c>
    </row>
    <row r="6" spans="1:92" ht="38.25" x14ac:dyDescent="0.2">
      <c r="A6" s="13" t="s">
        <v>118</v>
      </c>
      <c r="B6" s="6" t="s">
        <v>119</v>
      </c>
      <c r="C6" s="5" t="s">
        <v>1185</v>
      </c>
      <c r="D6" s="5" t="s">
        <v>1186</v>
      </c>
      <c r="E6" s="5" t="s">
        <v>1187</v>
      </c>
      <c r="F6" s="1019" t="s">
        <v>1188</v>
      </c>
      <c r="G6" s="727" t="s">
        <v>829</v>
      </c>
      <c r="H6" s="1019" t="s">
        <v>1189</v>
      </c>
      <c r="I6" s="727" t="s">
        <v>1190</v>
      </c>
      <c r="J6" s="1019" t="s">
        <v>1191</v>
      </c>
      <c r="K6" s="727" t="s">
        <v>1192</v>
      </c>
      <c r="L6" s="1019" t="s">
        <v>1193</v>
      </c>
      <c r="M6" s="727" t="s">
        <v>187</v>
      </c>
      <c r="N6" s="1019" t="s">
        <v>1194</v>
      </c>
      <c r="O6" s="727" t="s">
        <v>1195</v>
      </c>
      <c r="P6" s="1019" t="s">
        <v>1196</v>
      </c>
      <c r="Q6" s="1020" t="s">
        <v>1197</v>
      </c>
      <c r="R6" s="30" t="s">
        <v>1198</v>
      </c>
      <c r="S6" s="1096"/>
      <c r="T6" s="5" t="s">
        <v>1185</v>
      </c>
      <c r="U6" s="5" t="s">
        <v>1186</v>
      </c>
      <c r="V6" s="5" t="s">
        <v>1187</v>
      </c>
      <c r="W6" s="1019" t="s">
        <v>1188</v>
      </c>
      <c r="X6" s="727" t="s">
        <v>829</v>
      </c>
      <c r="Y6" s="1019" t="s">
        <v>1189</v>
      </c>
      <c r="Z6" s="727" t="s">
        <v>1190</v>
      </c>
      <c r="AA6" s="1019" t="s">
        <v>1191</v>
      </c>
      <c r="AB6" s="727" t="s">
        <v>1192</v>
      </c>
      <c r="AC6" s="1019" t="s">
        <v>1193</v>
      </c>
      <c r="AD6" s="727" t="s">
        <v>187</v>
      </c>
      <c r="AE6" s="1019" t="s">
        <v>1194</v>
      </c>
      <c r="AF6" s="727" t="s">
        <v>1195</v>
      </c>
      <c r="AG6" s="1019" t="s">
        <v>1196</v>
      </c>
      <c r="AH6" s="1020" t="s">
        <v>1197</v>
      </c>
    </row>
    <row r="7" spans="1:92" ht="12.75" x14ac:dyDescent="0.2">
      <c r="A7" s="9" t="s">
        <v>1301</v>
      </c>
      <c r="B7" s="10">
        <v>2014</v>
      </c>
      <c r="C7" s="11">
        <v>32.75</v>
      </c>
      <c r="D7" s="11">
        <v>0</v>
      </c>
      <c r="E7" s="11">
        <v>0</v>
      </c>
      <c r="F7" s="1021">
        <f>$C$4*$C$5*$C7+$D$4*$D$5*$D7+$E$4*$E$5*$E7</f>
        <v>10030.721212406235</v>
      </c>
      <c r="G7" s="11">
        <v>7211.0210299319724</v>
      </c>
      <c r="H7" s="1021">
        <f>H$4*G7</f>
        <v>2542.0136932804444</v>
      </c>
      <c r="I7" s="11">
        <v>0</v>
      </c>
      <c r="J7" s="1021">
        <f>J$4*I7</f>
        <v>0</v>
      </c>
      <c r="K7" s="11">
        <v>0</v>
      </c>
      <c r="L7" s="1021">
        <f>L$4*K7</f>
        <v>0</v>
      </c>
      <c r="M7" s="11">
        <v>22420.225560000003</v>
      </c>
      <c r="N7" s="1021">
        <f>N$4*M7</f>
        <v>8980.3107938032663</v>
      </c>
      <c r="O7" s="11">
        <v>0</v>
      </c>
      <c r="P7" s="1021">
        <f>P$4*O7</f>
        <v>0</v>
      </c>
      <c r="Q7" s="1021">
        <f>P7+N7+L7+J7+H7+F7</f>
        <v>21553.045699489947</v>
      </c>
      <c r="R7" s="11">
        <v>0</v>
      </c>
      <c r="S7" s="1096" t="s">
        <v>1318</v>
      </c>
      <c r="T7" s="11">
        <v>0</v>
      </c>
      <c r="U7" s="11">
        <v>0</v>
      </c>
      <c r="V7" s="11">
        <v>0</v>
      </c>
      <c r="W7" s="1021">
        <f>T$4*T$5*T7+U$4*U$5*U7+V$4*V$5*V7</f>
        <v>0</v>
      </c>
      <c r="X7" s="11">
        <v>0</v>
      </c>
      <c r="Y7" s="1021">
        <f>Y$4*X7</f>
        <v>0</v>
      </c>
      <c r="Z7" s="11">
        <v>0</v>
      </c>
      <c r="AA7" s="1021">
        <v>0</v>
      </c>
      <c r="AB7" s="11">
        <v>0</v>
      </c>
      <c r="AC7" s="1021">
        <f>AC$4*AB7</f>
        <v>0</v>
      </c>
      <c r="AD7" s="11">
        <v>0</v>
      </c>
      <c r="AE7" s="1021">
        <f>AE$4*AD7</f>
        <v>0</v>
      </c>
      <c r="AF7" s="11">
        <v>0</v>
      </c>
      <c r="AG7" s="1021">
        <f>AG$4*AF7</f>
        <v>0</v>
      </c>
      <c r="AH7" s="1021">
        <v>0</v>
      </c>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row>
    <row r="8" spans="1:92" ht="12.75" x14ac:dyDescent="0.2">
      <c r="A8" s="9" t="s">
        <v>10</v>
      </c>
      <c r="B8" s="10">
        <v>2012</v>
      </c>
      <c r="C8" s="11">
        <v>366</v>
      </c>
      <c r="D8" s="11">
        <v>0</v>
      </c>
      <c r="E8" s="11">
        <v>0</v>
      </c>
      <c r="F8" s="1021">
        <f>$C$4*$C$5*$C8+$D$4*$D$5*$D8+$E$4*$E$5*$E8</f>
        <v>112099.05232795977</v>
      </c>
      <c r="G8" s="11">
        <v>399185.0824999942</v>
      </c>
      <c r="H8" s="1021">
        <f>H$4*G8</f>
        <v>140719.87055040416</v>
      </c>
      <c r="I8" s="11">
        <v>4185.4420749295768</v>
      </c>
      <c r="J8" s="1021">
        <f>J$4*I8</f>
        <v>4185.4420749295768</v>
      </c>
      <c r="K8" s="11">
        <v>0</v>
      </c>
      <c r="L8" s="1021">
        <f>L$4*K8</f>
        <v>0</v>
      </c>
      <c r="M8" s="11">
        <v>59037.430278594387</v>
      </c>
      <c r="N8" s="1021">
        <f>N$4*M8</f>
        <v>23647.15158419971</v>
      </c>
      <c r="O8" s="11">
        <v>0</v>
      </c>
      <c r="P8" s="1021">
        <f>P$4*O8</f>
        <v>0</v>
      </c>
      <c r="Q8" s="1021">
        <f>P8+N8+L8+J8+H8+F8</f>
        <v>280651.51653749321</v>
      </c>
      <c r="R8" s="11">
        <v>334362.21433027537</v>
      </c>
      <c r="S8" s="1096">
        <v>8312012</v>
      </c>
      <c r="T8" s="11">
        <v>323</v>
      </c>
      <c r="U8" s="11">
        <v>0</v>
      </c>
      <c r="V8" s="11">
        <v>0</v>
      </c>
      <c r="W8" s="1021">
        <f>T$4*T$5*T8+U$4*U$5*U8+V$4*V$5*V8</f>
        <v>94629.404903755028</v>
      </c>
      <c r="X8" s="11">
        <v>441770.90251336654</v>
      </c>
      <c r="Y8" s="1021">
        <f>Y$4*X8</f>
        <v>155732.13263703824</v>
      </c>
      <c r="Z8" s="11">
        <v>2847.485303583062</v>
      </c>
      <c r="AA8" s="1021">
        <f>AA$4*Z8</f>
        <v>2847.485303583062</v>
      </c>
      <c r="AB8" s="11">
        <v>0</v>
      </c>
      <c r="AC8" s="1021">
        <f>AC$4*AB8</f>
        <v>0</v>
      </c>
      <c r="AD8" s="11">
        <v>40525.107814285591</v>
      </c>
      <c r="AE8" s="1021">
        <f>AE$4*AD8</f>
        <v>16232.132105484041</v>
      </c>
      <c r="AF8" s="11">
        <v>18834.976000000061</v>
      </c>
      <c r="AG8" s="1021">
        <f>AG$4*AF8</f>
        <v>18834.976000000061</v>
      </c>
      <c r="AH8" s="1021">
        <f>AG8+AE8+AC8+AA8+Y8+W8</f>
        <v>288276.13094986044</v>
      </c>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row>
    <row r="9" spans="1:92" ht="12.75" x14ac:dyDescent="0.2">
      <c r="A9" s="9" t="s">
        <v>11</v>
      </c>
      <c r="B9" s="10">
        <v>2443</v>
      </c>
      <c r="C9" s="11">
        <v>264</v>
      </c>
      <c r="D9" s="11">
        <v>0</v>
      </c>
      <c r="E9" s="11">
        <v>0</v>
      </c>
      <c r="F9" s="1021">
        <f t="shared" ref="F9:F72" si="0">C$4*C$5*C9+D$4*D$5*D9+E$4*E$5*E9</f>
        <v>80858.332826725076</v>
      </c>
      <c r="G9" s="11">
        <v>126291.27000792125</v>
      </c>
      <c r="H9" s="1021">
        <f t="shared" ref="H9:H72" si="1">H$4*G9</f>
        <v>44519.928089149165</v>
      </c>
      <c r="I9" s="11">
        <v>0</v>
      </c>
      <c r="J9" s="1021">
        <f t="shared" ref="J9:J72" si="2">J$4*I9</f>
        <v>0</v>
      </c>
      <c r="K9" s="11">
        <v>0</v>
      </c>
      <c r="L9" s="1021">
        <f t="shared" ref="L9:L72" si="3">L$4*K9</f>
        <v>0</v>
      </c>
      <c r="M9" s="11">
        <v>23505.474090173306</v>
      </c>
      <c r="N9" s="1021">
        <f t="shared" ref="N9:N72" si="4">N$4*M9</f>
        <v>9415.0017411977515</v>
      </c>
      <c r="O9" s="11">
        <v>0</v>
      </c>
      <c r="P9" s="1021">
        <f t="shared" ref="P9:P72" si="5">P$4*O9</f>
        <v>0</v>
      </c>
      <c r="Q9" s="1021">
        <f t="shared" ref="Q9:Q72" si="6">P9+N9+L9+J9+H9+F9</f>
        <v>134793.26265707199</v>
      </c>
      <c r="R9" s="11">
        <v>130489.48325974768</v>
      </c>
      <c r="S9" s="1096" t="s">
        <v>1032</v>
      </c>
      <c r="T9" s="11">
        <v>259</v>
      </c>
      <c r="U9" s="11">
        <v>0</v>
      </c>
      <c r="V9" s="11">
        <v>0</v>
      </c>
      <c r="W9" s="1021">
        <f t="shared" ref="W9:W72" si="7">T$4*T$5*T9+U$4*U$5*U9+V$4*V$5*V9</f>
        <v>75879.306099295834</v>
      </c>
      <c r="X9" s="11">
        <v>121315.97960236929</v>
      </c>
      <c r="Y9" s="1021">
        <f t="shared" ref="Y9:Y72" si="8">Y$4*X9</f>
        <v>42766.049368443339</v>
      </c>
      <c r="Z9" s="11">
        <v>1298.0856492592593</v>
      </c>
      <c r="AA9" s="1021">
        <f t="shared" ref="AA9:AA72" si="9">AA$4*Z9</f>
        <v>1298.0856492592593</v>
      </c>
      <c r="AB9" s="11">
        <v>0</v>
      </c>
      <c r="AC9" s="1021">
        <f t="shared" ref="AC9:AC72" si="10">AC$4*AB9</f>
        <v>0</v>
      </c>
      <c r="AD9" s="11">
        <v>7470.8445235954987</v>
      </c>
      <c r="AE9" s="1021">
        <f t="shared" ref="AE9:AE72" si="11">AE$4*AD9</f>
        <v>2992.4099351510122</v>
      </c>
      <c r="AF9" s="11">
        <v>0</v>
      </c>
      <c r="AG9" s="1021">
        <f t="shared" ref="AG9:AG72" si="12">AG$4*AF9</f>
        <v>0</v>
      </c>
      <c r="AH9" s="1021">
        <f t="shared" ref="AH9:AH72" si="13">AG9+AE9+AC9+AA9+Y9+W9</f>
        <v>122935.85105214945</v>
      </c>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row>
    <row r="10" spans="1:92" ht="12.75" x14ac:dyDescent="0.2">
      <c r="A10" s="9" t="s">
        <v>94</v>
      </c>
      <c r="B10" s="10">
        <v>2442</v>
      </c>
      <c r="C10" s="11">
        <v>320</v>
      </c>
      <c r="D10" s="11">
        <v>0</v>
      </c>
      <c r="E10" s="11">
        <v>0</v>
      </c>
      <c r="F10" s="1021">
        <f t="shared" si="0"/>
        <v>98010.100396030393</v>
      </c>
      <c r="G10" s="11">
        <v>208515.89286819525</v>
      </c>
      <c r="H10" s="1021">
        <f t="shared" si="1"/>
        <v>73505.576081027029</v>
      </c>
      <c r="I10" s="11">
        <v>1349.0010716510903</v>
      </c>
      <c r="J10" s="1021">
        <f t="shared" si="2"/>
        <v>1349.0010716510903</v>
      </c>
      <c r="K10" s="11">
        <v>0</v>
      </c>
      <c r="L10" s="1021">
        <f t="shared" si="3"/>
        <v>0</v>
      </c>
      <c r="M10" s="11">
        <v>3700.470486486483</v>
      </c>
      <c r="N10" s="1021">
        <f t="shared" si="4"/>
        <v>1482.2052063219735</v>
      </c>
      <c r="O10" s="11">
        <v>0</v>
      </c>
      <c r="P10" s="1021">
        <f t="shared" si="5"/>
        <v>0</v>
      </c>
      <c r="Q10" s="1021">
        <f t="shared" si="6"/>
        <v>174346.88275503047</v>
      </c>
      <c r="R10" s="11">
        <v>165621.59763243323</v>
      </c>
      <c r="S10" s="1096" t="s">
        <v>1033</v>
      </c>
      <c r="T10" s="11">
        <v>294</v>
      </c>
      <c r="U10" s="11">
        <v>0</v>
      </c>
      <c r="V10" s="11">
        <v>0</v>
      </c>
      <c r="W10" s="1021">
        <f t="shared" si="7"/>
        <v>86133.266382984453</v>
      </c>
      <c r="X10" s="11">
        <v>191853.84313059773</v>
      </c>
      <c r="Y10" s="1021">
        <f t="shared" si="8"/>
        <v>67631.905984201323</v>
      </c>
      <c r="Z10" s="11">
        <v>0</v>
      </c>
      <c r="AA10" s="1021">
        <f t="shared" si="9"/>
        <v>0</v>
      </c>
      <c r="AB10" s="11">
        <v>0</v>
      </c>
      <c r="AC10" s="1021">
        <f t="shared" si="10"/>
        <v>0</v>
      </c>
      <c r="AD10" s="11">
        <v>5755.2292823529524</v>
      </c>
      <c r="AE10" s="1021">
        <f t="shared" si="11"/>
        <v>2305.2287099794385</v>
      </c>
      <c r="AF10" s="11">
        <v>0</v>
      </c>
      <c r="AG10" s="1021">
        <f t="shared" si="12"/>
        <v>0</v>
      </c>
      <c r="AH10" s="1021">
        <f t="shared" si="13"/>
        <v>156070.40107716521</v>
      </c>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row>
    <row r="11" spans="1:92" ht="12.75" x14ac:dyDescent="0.2">
      <c r="A11" s="9" t="s">
        <v>13</v>
      </c>
      <c r="B11" s="10">
        <v>2629</v>
      </c>
      <c r="C11" s="11">
        <v>478.5</v>
      </c>
      <c r="D11" s="11">
        <v>0</v>
      </c>
      <c r="E11" s="11">
        <v>0</v>
      </c>
      <c r="F11" s="1021">
        <f t="shared" si="0"/>
        <v>146555.72824843921</v>
      </c>
      <c r="G11" s="11">
        <v>368444.46995795658</v>
      </c>
      <c r="H11" s="1021">
        <f t="shared" si="1"/>
        <v>129883.25563868403</v>
      </c>
      <c r="I11" s="11">
        <v>1478.3429017123287</v>
      </c>
      <c r="J11" s="1021">
        <f t="shared" si="2"/>
        <v>1478.3429017123287</v>
      </c>
      <c r="K11" s="11">
        <v>0</v>
      </c>
      <c r="L11" s="1021">
        <f t="shared" si="3"/>
        <v>0</v>
      </c>
      <c r="M11" s="11">
        <v>220966.44377570314</v>
      </c>
      <c r="N11" s="1021">
        <f t="shared" si="4"/>
        <v>88507.019467616323</v>
      </c>
      <c r="O11" s="11">
        <v>10347.62616308991</v>
      </c>
      <c r="P11" s="1021">
        <f t="shared" si="5"/>
        <v>10347.62616308991</v>
      </c>
      <c r="Q11" s="1021">
        <f t="shared" si="6"/>
        <v>376771.97241954179</v>
      </c>
      <c r="R11" s="11">
        <v>367337.84724002075</v>
      </c>
      <c r="S11" s="1096" t="s">
        <v>1034</v>
      </c>
      <c r="T11" s="11">
        <v>401</v>
      </c>
      <c r="U11" s="11">
        <v>0</v>
      </c>
      <c r="V11" s="11">
        <v>0</v>
      </c>
      <c r="W11" s="1021">
        <f t="shared" si="7"/>
        <v>117481.08782168968</v>
      </c>
      <c r="X11" s="11">
        <v>326948.89678145153</v>
      </c>
      <c r="Y11" s="1021">
        <f t="shared" si="8"/>
        <v>115255.32503255298</v>
      </c>
      <c r="Z11" s="11">
        <v>0</v>
      </c>
      <c r="AA11" s="1021">
        <f t="shared" si="9"/>
        <v>0</v>
      </c>
      <c r="AB11" s="11">
        <v>0</v>
      </c>
      <c r="AC11" s="1021">
        <f t="shared" si="10"/>
        <v>0</v>
      </c>
      <c r="AD11" s="11">
        <v>185092.6278072726</v>
      </c>
      <c r="AE11" s="1021">
        <f t="shared" si="11"/>
        <v>74137.939375444024</v>
      </c>
      <c r="AF11" s="11">
        <v>30096.60264039418</v>
      </c>
      <c r="AG11" s="1021">
        <f t="shared" si="12"/>
        <v>30096.60264039418</v>
      </c>
      <c r="AH11" s="1021">
        <f t="shared" si="13"/>
        <v>336970.95487008087</v>
      </c>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row>
    <row r="12" spans="1:92" ht="12.75" x14ac:dyDescent="0.2">
      <c r="A12" s="9" t="s">
        <v>14</v>
      </c>
      <c r="B12" s="10">
        <v>2509</v>
      </c>
      <c r="C12" s="11">
        <v>206</v>
      </c>
      <c r="D12" s="11">
        <v>0</v>
      </c>
      <c r="E12" s="11">
        <v>0</v>
      </c>
      <c r="F12" s="1021">
        <f t="shared" si="0"/>
        <v>63094.002129944565</v>
      </c>
      <c r="G12" s="11">
        <v>90778.817933388636</v>
      </c>
      <c r="H12" s="1021">
        <f t="shared" si="1"/>
        <v>32001.154522865574</v>
      </c>
      <c r="I12" s="11">
        <v>4140.0392108910892</v>
      </c>
      <c r="J12" s="1021">
        <f t="shared" si="2"/>
        <v>4140.0392108910892</v>
      </c>
      <c r="K12" s="11">
        <v>0</v>
      </c>
      <c r="L12" s="1021">
        <f t="shared" si="3"/>
        <v>0</v>
      </c>
      <c r="M12" s="11">
        <v>32751.691449180336</v>
      </c>
      <c r="N12" s="1021">
        <f t="shared" si="4"/>
        <v>13118.5285111997</v>
      </c>
      <c r="O12" s="11">
        <v>26872.832000000024</v>
      </c>
      <c r="P12" s="1021">
        <f t="shared" si="5"/>
        <v>26872.832000000024</v>
      </c>
      <c r="Q12" s="1021">
        <f t="shared" si="6"/>
        <v>139226.55637490095</v>
      </c>
      <c r="R12" s="11">
        <v>113573.48429105413</v>
      </c>
      <c r="S12" s="1096" t="s">
        <v>1035</v>
      </c>
      <c r="T12" s="11">
        <v>188</v>
      </c>
      <c r="U12" s="11">
        <v>0</v>
      </c>
      <c r="V12" s="11">
        <v>0</v>
      </c>
      <c r="W12" s="1021">
        <f t="shared" si="7"/>
        <v>55078.415238098904</v>
      </c>
      <c r="X12" s="11">
        <v>98138.481181471579</v>
      </c>
      <c r="Y12" s="1021">
        <f t="shared" si="8"/>
        <v>34595.567252616849</v>
      </c>
      <c r="Z12" s="11">
        <v>3975.07405625</v>
      </c>
      <c r="AA12" s="1021">
        <f t="shared" si="9"/>
        <v>3975.07405625</v>
      </c>
      <c r="AB12" s="11">
        <v>0</v>
      </c>
      <c r="AC12" s="1021">
        <f t="shared" si="10"/>
        <v>0</v>
      </c>
      <c r="AD12" s="11">
        <v>22840.697229629579</v>
      </c>
      <c r="AE12" s="1021">
        <f t="shared" si="11"/>
        <v>9148.7286477252928</v>
      </c>
      <c r="AF12" s="11">
        <v>12236.735999999961</v>
      </c>
      <c r="AG12" s="1021">
        <f t="shared" si="12"/>
        <v>12236.735999999961</v>
      </c>
      <c r="AH12" s="1021">
        <f t="shared" si="13"/>
        <v>115034.52119469101</v>
      </c>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row>
    <row r="13" spans="1:92" ht="12.75" x14ac:dyDescent="0.2">
      <c r="A13" s="9" t="s">
        <v>15</v>
      </c>
      <c r="B13" s="10">
        <v>2005</v>
      </c>
      <c r="C13" s="11">
        <v>319</v>
      </c>
      <c r="D13" s="11">
        <v>0</v>
      </c>
      <c r="E13" s="11">
        <v>0</v>
      </c>
      <c r="F13" s="1021">
        <f t="shared" si="0"/>
        <v>97703.818832292804</v>
      </c>
      <c r="G13" s="11">
        <v>263884.48153845547</v>
      </c>
      <c r="H13" s="1021">
        <f t="shared" si="1"/>
        <v>93023.992404206409</v>
      </c>
      <c r="I13" s="11">
        <v>1332.3337262345678</v>
      </c>
      <c r="J13" s="1021">
        <f t="shared" si="2"/>
        <v>1332.3337262345678</v>
      </c>
      <c r="K13" s="11">
        <v>0</v>
      </c>
      <c r="L13" s="1021">
        <f t="shared" si="3"/>
        <v>0</v>
      </c>
      <c r="M13" s="11">
        <v>30903.292324528211</v>
      </c>
      <c r="N13" s="1021">
        <f t="shared" si="4"/>
        <v>12378.161356286475</v>
      </c>
      <c r="O13" s="11">
        <v>25313.247999999905</v>
      </c>
      <c r="P13" s="1021">
        <f t="shared" si="5"/>
        <v>25313.247999999905</v>
      </c>
      <c r="Q13" s="1021">
        <f t="shared" si="6"/>
        <v>229751.55431902016</v>
      </c>
      <c r="R13" s="11">
        <v>239694.33441559225</v>
      </c>
      <c r="S13" s="1096" t="s">
        <v>1036</v>
      </c>
      <c r="T13" s="11">
        <v>300</v>
      </c>
      <c r="U13" s="11">
        <v>0</v>
      </c>
      <c r="V13" s="11">
        <v>0</v>
      </c>
      <c r="W13" s="1021">
        <f t="shared" si="7"/>
        <v>87891.088145902511</v>
      </c>
      <c r="X13" s="11">
        <v>265695.97487399937</v>
      </c>
      <c r="Y13" s="1021">
        <f t="shared" si="8"/>
        <v>93662.576156094641</v>
      </c>
      <c r="Z13" s="11">
        <v>2706.4333999999999</v>
      </c>
      <c r="AA13" s="1021">
        <f t="shared" si="9"/>
        <v>2706.4333999999999</v>
      </c>
      <c r="AB13" s="11">
        <v>0</v>
      </c>
      <c r="AC13" s="1021">
        <f t="shared" si="10"/>
        <v>0</v>
      </c>
      <c r="AD13" s="11">
        <v>17668.997489878544</v>
      </c>
      <c r="AE13" s="1021">
        <f t="shared" si="11"/>
        <v>7077.2298186476892</v>
      </c>
      <c r="AF13" s="11">
        <v>8397.7599999998802</v>
      </c>
      <c r="AG13" s="1021">
        <f t="shared" si="12"/>
        <v>8397.7599999998802</v>
      </c>
      <c r="AH13" s="1021">
        <f t="shared" si="13"/>
        <v>199735.08752064471</v>
      </c>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row>
    <row r="14" spans="1:92" ht="12.75" x14ac:dyDescent="0.2">
      <c r="A14" s="9" t="s">
        <v>16</v>
      </c>
      <c r="B14" s="10">
        <v>2464</v>
      </c>
      <c r="C14" s="11">
        <v>201</v>
      </c>
      <c r="D14" s="11">
        <v>0</v>
      </c>
      <c r="E14" s="11">
        <v>0</v>
      </c>
      <c r="F14" s="1021">
        <f t="shared" si="0"/>
        <v>61562.594311256587</v>
      </c>
      <c r="G14" s="11">
        <v>88354.652537874877</v>
      </c>
      <c r="H14" s="1021">
        <f t="shared" si="1"/>
        <v>31146.592928246188</v>
      </c>
      <c r="I14" s="11">
        <v>1394.8541369230768</v>
      </c>
      <c r="J14" s="1021">
        <f t="shared" si="2"/>
        <v>1394.8541369230768</v>
      </c>
      <c r="K14" s="11">
        <v>0</v>
      </c>
      <c r="L14" s="1021">
        <f t="shared" si="3"/>
        <v>0</v>
      </c>
      <c r="M14" s="11">
        <v>2023.5587505882281</v>
      </c>
      <c r="N14" s="1021">
        <f t="shared" si="4"/>
        <v>810.52647936885933</v>
      </c>
      <c r="O14" s="11">
        <v>0</v>
      </c>
      <c r="P14" s="1021">
        <f t="shared" si="5"/>
        <v>0</v>
      </c>
      <c r="Q14" s="1021">
        <f t="shared" si="6"/>
        <v>94914.56785579471</v>
      </c>
      <c r="R14" s="11">
        <v>93565.488320779317</v>
      </c>
      <c r="S14" s="1096" t="s">
        <v>1037</v>
      </c>
      <c r="T14" s="11">
        <v>186</v>
      </c>
      <c r="U14" s="11">
        <v>0</v>
      </c>
      <c r="V14" s="11">
        <v>0</v>
      </c>
      <c r="W14" s="1021">
        <f t="shared" si="7"/>
        <v>54492.474650459553</v>
      </c>
      <c r="X14" s="11">
        <v>94618.452167525829</v>
      </c>
      <c r="Y14" s="1021">
        <f t="shared" si="8"/>
        <v>33354.694161683852</v>
      </c>
      <c r="Z14" s="11">
        <v>1471.9199192982453</v>
      </c>
      <c r="AA14" s="1021">
        <f t="shared" si="9"/>
        <v>1471.9199192982453</v>
      </c>
      <c r="AB14" s="11">
        <v>0</v>
      </c>
      <c r="AC14" s="1021">
        <f t="shared" si="10"/>
        <v>0</v>
      </c>
      <c r="AD14" s="11">
        <v>1026.8805600000005</v>
      </c>
      <c r="AE14" s="1021">
        <f t="shared" si="11"/>
        <v>411.31194475434819</v>
      </c>
      <c r="AF14" s="11">
        <v>0</v>
      </c>
      <c r="AG14" s="1021">
        <f t="shared" si="12"/>
        <v>0</v>
      </c>
      <c r="AH14" s="1021">
        <f t="shared" si="13"/>
        <v>89730.400676196004</v>
      </c>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row>
    <row r="15" spans="1:92" ht="12.75" x14ac:dyDescent="0.2">
      <c r="A15" s="9" t="s">
        <v>17</v>
      </c>
      <c r="B15" s="10">
        <v>2004</v>
      </c>
      <c r="C15" s="11">
        <v>254</v>
      </c>
      <c r="D15" s="11">
        <v>0</v>
      </c>
      <c r="E15" s="11">
        <v>0</v>
      </c>
      <c r="F15" s="1021">
        <f t="shared" si="0"/>
        <v>77795.517189349121</v>
      </c>
      <c r="G15" s="11">
        <v>288229.74842416274</v>
      </c>
      <c r="H15" s="1021">
        <f t="shared" si="1"/>
        <v>101606.13375882934</v>
      </c>
      <c r="I15" s="11">
        <v>2613.8178083650191</v>
      </c>
      <c r="J15" s="1021">
        <f t="shared" si="2"/>
        <v>2613.8178083650191</v>
      </c>
      <c r="K15" s="11">
        <v>0</v>
      </c>
      <c r="L15" s="1021">
        <f t="shared" si="3"/>
        <v>0</v>
      </c>
      <c r="M15" s="11">
        <v>11909.938915068491</v>
      </c>
      <c r="N15" s="1021">
        <f t="shared" si="4"/>
        <v>4770.4673044568208</v>
      </c>
      <c r="O15" s="11">
        <v>0</v>
      </c>
      <c r="P15" s="1021">
        <f t="shared" si="5"/>
        <v>0</v>
      </c>
      <c r="Q15" s="1021">
        <f t="shared" si="6"/>
        <v>186785.93606100031</v>
      </c>
      <c r="R15" s="11">
        <v>218269.49679057422</v>
      </c>
      <c r="S15" s="1096" t="s">
        <v>1038</v>
      </c>
      <c r="T15" s="11">
        <v>265</v>
      </c>
      <c r="U15" s="11">
        <v>0</v>
      </c>
      <c r="V15" s="11">
        <v>0</v>
      </c>
      <c r="W15" s="1021">
        <f t="shared" si="7"/>
        <v>77637.127862213878</v>
      </c>
      <c r="X15" s="11">
        <v>346597.0785961824</v>
      </c>
      <c r="Y15" s="1021">
        <f t="shared" si="8"/>
        <v>122181.66001532321</v>
      </c>
      <c r="Z15" s="11">
        <v>2903.6633643724695</v>
      </c>
      <c r="AA15" s="1021">
        <f t="shared" si="9"/>
        <v>2903.6633643724695</v>
      </c>
      <c r="AB15" s="11">
        <v>0</v>
      </c>
      <c r="AC15" s="1021">
        <f t="shared" si="10"/>
        <v>0</v>
      </c>
      <c r="AD15" s="11">
        <v>3135.0616175115142</v>
      </c>
      <c r="AE15" s="1021">
        <f t="shared" si="11"/>
        <v>1255.7334718882719</v>
      </c>
      <c r="AF15" s="11">
        <v>8997.6000000000513</v>
      </c>
      <c r="AG15" s="1021">
        <f t="shared" si="12"/>
        <v>8997.6000000000513</v>
      </c>
      <c r="AH15" s="1021">
        <f t="shared" si="13"/>
        <v>212975.78471379788</v>
      </c>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row>
    <row r="16" spans="1:92" ht="12.75" x14ac:dyDescent="0.2">
      <c r="A16" s="9" t="s">
        <v>18</v>
      </c>
      <c r="B16" s="10">
        <v>2405</v>
      </c>
      <c r="C16" s="11">
        <v>198</v>
      </c>
      <c r="D16" s="11">
        <v>0</v>
      </c>
      <c r="E16" s="11">
        <v>0</v>
      </c>
      <c r="F16" s="1021">
        <f t="shared" si="0"/>
        <v>60643.749620043804</v>
      </c>
      <c r="G16" s="11">
        <v>176959.17575349135</v>
      </c>
      <c r="H16" s="1021">
        <f t="shared" si="1"/>
        <v>62381.26973278838</v>
      </c>
      <c r="I16" s="11">
        <v>0</v>
      </c>
      <c r="J16" s="1021">
        <f t="shared" si="2"/>
        <v>0</v>
      </c>
      <c r="K16" s="11">
        <v>0</v>
      </c>
      <c r="L16" s="1021">
        <f t="shared" si="3"/>
        <v>0</v>
      </c>
      <c r="M16" s="11">
        <v>44793.238220689651</v>
      </c>
      <c r="N16" s="1021">
        <f t="shared" si="4"/>
        <v>17941.710693594832</v>
      </c>
      <c r="O16" s="11">
        <v>0</v>
      </c>
      <c r="P16" s="1021">
        <f t="shared" si="5"/>
        <v>0</v>
      </c>
      <c r="Q16" s="1021">
        <f t="shared" si="6"/>
        <v>140966.73004642699</v>
      </c>
      <c r="R16" s="11">
        <v>142223.28852168363</v>
      </c>
      <c r="S16" s="1096" t="s">
        <v>1039</v>
      </c>
      <c r="T16" s="11">
        <v>196</v>
      </c>
      <c r="U16" s="11">
        <v>0</v>
      </c>
      <c r="V16" s="11">
        <v>0</v>
      </c>
      <c r="W16" s="1021">
        <f t="shared" si="7"/>
        <v>57422.177588656305</v>
      </c>
      <c r="X16" s="11">
        <v>191359.1351975131</v>
      </c>
      <c r="Y16" s="1021">
        <f t="shared" si="8"/>
        <v>67457.512602895731</v>
      </c>
      <c r="Z16" s="11">
        <v>1403.335837037037</v>
      </c>
      <c r="AA16" s="1021">
        <f t="shared" si="9"/>
        <v>1403.335837037037</v>
      </c>
      <c r="AB16" s="11">
        <v>0</v>
      </c>
      <c r="AC16" s="1021">
        <f t="shared" si="10"/>
        <v>0</v>
      </c>
      <c r="AD16" s="11">
        <v>39233.643228070214</v>
      </c>
      <c r="AE16" s="1021">
        <f t="shared" si="11"/>
        <v>15714.842333694403</v>
      </c>
      <c r="AF16" s="11">
        <v>7915.5123960396832</v>
      </c>
      <c r="AG16" s="1021">
        <f t="shared" si="12"/>
        <v>7915.5123960396832</v>
      </c>
      <c r="AH16" s="1021">
        <f t="shared" si="13"/>
        <v>149913.38075832315</v>
      </c>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row>
    <row r="17" spans="1:92" ht="12.75" x14ac:dyDescent="0.2">
      <c r="A17" s="9" t="s">
        <v>95</v>
      </c>
      <c r="B17" s="10">
        <v>2011</v>
      </c>
      <c r="C17" s="11">
        <v>211</v>
      </c>
      <c r="D17" s="11">
        <v>0</v>
      </c>
      <c r="E17" s="11">
        <v>0</v>
      </c>
      <c r="F17" s="1021">
        <f t="shared" si="0"/>
        <v>64625.409948632543</v>
      </c>
      <c r="G17" s="11">
        <v>130698.91602844889</v>
      </c>
      <c r="H17" s="1021">
        <f t="shared" si="1"/>
        <v>46073.702026682666</v>
      </c>
      <c r="I17" s="11">
        <v>0</v>
      </c>
      <c r="J17" s="1021">
        <f t="shared" si="2"/>
        <v>0</v>
      </c>
      <c r="K17" s="11">
        <v>0</v>
      </c>
      <c r="L17" s="1021">
        <f t="shared" si="3"/>
        <v>0</v>
      </c>
      <c r="M17" s="11">
        <v>10317.704674285706</v>
      </c>
      <c r="N17" s="1021">
        <f t="shared" si="4"/>
        <v>4132.7057306270171</v>
      </c>
      <c r="O17" s="11">
        <v>0</v>
      </c>
      <c r="P17" s="1021">
        <f t="shared" si="5"/>
        <v>0</v>
      </c>
      <c r="Q17" s="1021">
        <f t="shared" si="6"/>
        <v>114831.81770594223</v>
      </c>
      <c r="R17" s="11">
        <v>116700.52482715667</v>
      </c>
      <c r="S17" s="1096">
        <v>8312011</v>
      </c>
      <c r="T17" s="11">
        <v>209</v>
      </c>
      <c r="U17" s="11">
        <v>0</v>
      </c>
      <c r="V17" s="11">
        <v>0</v>
      </c>
      <c r="W17" s="1021">
        <f t="shared" si="7"/>
        <v>61230.791408312078</v>
      </c>
      <c r="X17" s="11">
        <v>127518.86069797153</v>
      </c>
      <c r="Y17" s="1021">
        <f t="shared" si="8"/>
        <v>44952.675730696508</v>
      </c>
      <c r="Z17" s="11">
        <v>0</v>
      </c>
      <c r="AA17" s="1021">
        <f t="shared" si="9"/>
        <v>0</v>
      </c>
      <c r="AB17" s="11">
        <v>0</v>
      </c>
      <c r="AC17" s="1021">
        <f t="shared" si="10"/>
        <v>0</v>
      </c>
      <c r="AD17" s="11">
        <v>12988.987344134086</v>
      </c>
      <c r="AE17" s="1021">
        <f t="shared" si="11"/>
        <v>5202.6748319253456</v>
      </c>
      <c r="AF17" s="11">
        <v>0</v>
      </c>
      <c r="AG17" s="1021">
        <f t="shared" si="12"/>
        <v>0</v>
      </c>
      <c r="AH17" s="1021">
        <f t="shared" si="13"/>
        <v>111386.14197093394</v>
      </c>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row>
    <row r="18" spans="1:92" ht="12.75" x14ac:dyDescent="0.2">
      <c r="A18" s="9" t="s">
        <v>20</v>
      </c>
      <c r="B18" s="10">
        <v>5201</v>
      </c>
      <c r="C18" s="11">
        <v>414</v>
      </c>
      <c r="D18" s="11">
        <v>0</v>
      </c>
      <c r="E18" s="11">
        <v>0</v>
      </c>
      <c r="F18" s="1021">
        <f t="shared" si="0"/>
        <v>126800.56738736432</v>
      </c>
      <c r="G18" s="11">
        <v>80000.334190160327</v>
      </c>
      <c r="H18" s="1021">
        <f t="shared" si="1"/>
        <v>28201.546512521785</v>
      </c>
      <c r="I18" s="11">
        <v>3963.9036353773581</v>
      </c>
      <c r="J18" s="1021">
        <f t="shared" si="2"/>
        <v>3963.9036353773581</v>
      </c>
      <c r="K18" s="11">
        <v>0</v>
      </c>
      <c r="L18" s="1021">
        <f t="shared" si="3"/>
        <v>0</v>
      </c>
      <c r="M18" s="11">
        <v>6004.6405627118702</v>
      </c>
      <c r="N18" s="1021">
        <f t="shared" si="4"/>
        <v>2405.1291684788171</v>
      </c>
      <c r="O18" s="11">
        <v>0</v>
      </c>
      <c r="P18" s="1021">
        <f t="shared" si="5"/>
        <v>0</v>
      </c>
      <c r="Q18" s="1021">
        <f t="shared" si="6"/>
        <v>161371.14670374227</v>
      </c>
      <c r="R18" s="11">
        <v>162487.17465963989</v>
      </c>
      <c r="S18" s="1096" t="s">
        <v>1042</v>
      </c>
      <c r="T18" s="11">
        <v>392</v>
      </c>
      <c r="U18" s="11">
        <v>0</v>
      </c>
      <c r="V18" s="11">
        <v>0</v>
      </c>
      <c r="W18" s="1021">
        <f t="shared" si="7"/>
        <v>114844.35517731261</v>
      </c>
      <c r="X18" s="11">
        <v>81880.593081454688</v>
      </c>
      <c r="Y18" s="1021">
        <f t="shared" si="8"/>
        <v>28864.371350882804</v>
      </c>
      <c r="Z18" s="11">
        <v>0</v>
      </c>
      <c r="AA18" s="1021">
        <f t="shared" si="9"/>
        <v>0</v>
      </c>
      <c r="AB18" s="11">
        <v>0</v>
      </c>
      <c r="AC18" s="1021">
        <f t="shared" si="10"/>
        <v>0</v>
      </c>
      <c r="AD18" s="11">
        <v>0</v>
      </c>
      <c r="AE18" s="1021">
        <f t="shared" si="11"/>
        <v>0</v>
      </c>
      <c r="AF18" s="11">
        <v>0</v>
      </c>
      <c r="AG18" s="1021">
        <f t="shared" si="12"/>
        <v>0</v>
      </c>
      <c r="AH18" s="1021">
        <f t="shared" si="13"/>
        <v>143708.7265281954</v>
      </c>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row>
    <row r="19" spans="1:92" ht="12.75" x14ac:dyDescent="0.2">
      <c r="A19" s="9" t="s">
        <v>96</v>
      </c>
      <c r="B19" s="10">
        <v>2007</v>
      </c>
      <c r="C19" s="11">
        <v>343</v>
      </c>
      <c r="D19" s="11">
        <v>0</v>
      </c>
      <c r="E19" s="11">
        <v>0</v>
      </c>
      <c r="F19" s="1021">
        <f t="shared" si="0"/>
        <v>105054.57636199507</v>
      </c>
      <c r="G19" s="11">
        <v>308068.82472155173</v>
      </c>
      <c r="H19" s="1021">
        <f t="shared" si="1"/>
        <v>108599.76245588421</v>
      </c>
      <c r="I19" s="11">
        <v>4477.3632935691321</v>
      </c>
      <c r="J19" s="1021">
        <f t="shared" si="2"/>
        <v>4477.3632935691321</v>
      </c>
      <c r="K19" s="11">
        <v>0</v>
      </c>
      <c r="L19" s="1021">
        <f t="shared" si="3"/>
        <v>0</v>
      </c>
      <c r="M19" s="11">
        <v>39135.559119999903</v>
      </c>
      <c r="N19" s="1021">
        <f t="shared" si="4"/>
        <v>15675.555227860114</v>
      </c>
      <c r="O19" s="11">
        <v>34430.815999999955</v>
      </c>
      <c r="P19" s="1021">
        <f t="shared" si="5"/>
        <v>34430.815999999955</v>
      </c>
      <c r="Q19" s="1021">
        <f t="shared" si="6"/>
        <v>268238.0733393085</v>
      </c>
      <c r="R19" s="11">
        <v>237450.84971876146</v>
      </c>
      <c r="S19" s="1096" t="s">
        <v>1043</v>
      </c>
      <c r="T19" s="11">
        <v>259</v>
      </c>
      <c r="U19" s="11">
        <v>0</v>
      </c>
      <c r="V19" s="11">
        <v>0</v>
      </c>
      <c r="W19" s="1021">
        <f t="shared" si="7"/>
        <v>75879.306099295834</v>
      </c>
      <c r="X19" s="11">
        <v>275514.37990837148</v>
      </c>
      <c r="Y19" s="1021">
        <f t="shared" si="8"/>
        <v>97123.739275706699</v>
      </c>
      <c r="Z19" s="11">
        <v>2826.4768169354838</v>
      </c>
      <c r="AA19" s="1021">
        <f t="shared" si="9"/>
        <v>2826.4768169354838</v>
      </c>
      <c r="AB19" s="11">
        <v>0</v>
      </c>
      <c r="AC19" s="1021">
        <f t="shared" si="10"/>
        <v>0</v>
      </c>
      <c r="AD19" s="11">
        <v>34566.935058715688</v>
      </c>
      <c r="AE19" s="1021">
        <f t="shared" si="11"/>
        <v>13845.615388022929</v>
      </c>
      <c r="AF19" s="11">
        <v>0</v>
      </c>
      <c r="AG19" s="1021">
        <f t="shared" si="12"/>
        <v>0</v>
      </c>
      <c r="AH19" s="1021">
        <f t="shared" si="13"/>
        <v>189675.13757996092</v>
      </c>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row>
    <row r="20" spans="1:92" ht="12.75" x14ac:dyDescent="0.2">
      <c r="A20" s="9" t="s">
        <v>21</v>
      </c>
      <c r="B20" s="10">
        <v>2433</v>
      </c>
      <c r="C20" s="11">
        <v>166</v>
      </c>
      <c r="D20" s="11">
        <v>0</v>
      </c>
      <c r="E20" s="11">
        <v>0</v>
      </c>
      <c r="F20" s="1021">
        <f t="shared" si="0"/>
        <v>50842.739580440764</v>
      </c>
      <c r="G20" s="11">
        <v>99690.890345167136</v>
      </c>
      <c r="H20" s="1021">
        <f t="shared" si="1"/>
        <v>35142.819206994434</v>
      </c>
      <c r="I20" s="11">
        <v>0</v>
      </c>
      <c r="J20" s="1021">
        <f t="shared" si="2"/>
        <v>0</v>
      </c>
      <c r="K20" s="11">
        <v>0</v>
      </c>
      <c r="L20" s="1021">
        <f t="shared" si="3"/>
        <v>0</v>
      </c>
      <c r="M20" s="11">
        <v>9612.5285503759351</v>
      </c>
      <c r="N20" s="1021">
        <f t="shared" si="4"/>
        <v>3850.2509114222785</v>
      </c>
      <c r="O20" s="11">
        <v>0</v>
      </c>
      <c r="P20" s="1021">
        <f t="shared" si="5"/>
        <v>0</v>
      </c>
      <c r="Q20" s="1021">
        <f t="shared" si="6"/>
        <v>89835.809698857483</v>
      </c>
      <c r="R20" s="11">
        <v>102552.25210235985</v>
      </c>
      <c r="S20" s="1096" t="s">
        <v>1045</v>
      </c>
      <c r="T20" s="11">
        <v>169</v>
      </c>
      <c r="U20" s="11">
        <v>0</v>
      </c>
      <c r="V20" s="11">
        <v>0</v>
      </c>
      <c r="W20" s="1021">
        <f t="shared" si="7"/>
        <v>49511.97965552508</v>
      </c>
      <c r="X20" s="11">
        <v>124310.8926920931</v>
      </c>
      <c r="Y20" s="1021">
        <f t="shared" si="8"/>
        <v>43821.80971814441</v>
      </c>
      <c r="Z20" s="11">
        <v>0</v>
      </c>
      <c r="AA20" s="1021">
        <f t="shared" si="9"/>
        <v>0</v>
      </c>
      <c r="AB20" s="11">
        <v>0</v>
      </c>
      <c r="AC20" s="1021">
        <f t="shared" si="10"/>
        <v>0</v>
      </c>
      <c r="AD20" s="11">
        <v>11387.323795275595</v>
      </c>
      <c r="AE20" s="1021">
        <f t="shared" si="11"/>
        <v>4561.1363952417878</v>
      </c>
      <c r="AF20" s="11">
        <v>0</v>
      </c>
      <c r="AG20" s="1021">
        <f t="shared" si="12"/>
        <v>0</v>
      </c>
      <c r="AH20" s="1021">
        <f t="shared" si="13"/>
        <v>97894.925768911286</v>
      </c>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row>
    <row r="21" spans="1:92" ht="12.75" x14ac:dyDescent="0.2">
      <c r="A21" s="9" t="s">
        <v>22</v>
      </c>
      <c r="B21" s="10">
        <v>2432</v>
      </c>
      <c r="C21" s="11">
        <v>204</v>
      </c>
      <c r="D21" s="11">
        <v>0</v>
      </c>
      <c r="E21" s="11">
        <v>0</v>
      </c>
      <c r="F21" s="1021">
        <f t="shared" si="0"/>
        <v>62481.439002469378</v>
      </c>
      <c r="G21" s="11">
        <v>148093.32569059875</v>
      </c>
      <c r="H21" s="1021">
        <f t="shared" si="1"/>
        <v>52205.542075987272</v>
      </c>
      <c r="I21" s="11">
        <v>1117.636464777328</v>
      </c>
      <c r="J21" s="1021">
        <f t="shared" si="2"/>
        <v>1117.636464777328</v>
      </c>
      <c r="K21" s="11">
        <v>0</v>
      </c>
      <c r="L21" s="1021">
        <f t="shared" si="3"/>
        <v>0</v>
      </c>
      <c r="M21" s="11">
        <v>5091.6161100000054</v>
      </c>
      <c r="N21" s="1021">
        <f t="shared" si="4"/>
        <v>2039.4217260736443</v>
      </c>
      <c r="O21" s="11">
        <v>0</v>
      </c>
      <c r="P21" s="1021">
        <f t="shared" si="5"/>
        <v>0</v>
      </c>
      <c r="Q21" s="1021">
        <f t="shared" si="6"/>
        <v>117844.03926930763</v>
      </c>
      <c r="R21" s="11">
        <v>122531.29431216154</v>
      </c>
      <c r="S21" s="1096" t="s">
        <v>1046</v>
      </c>
      <c r="T21" s="11">
        <v>199</v>
      </c>
      <c r="U21" s="11">
        <v>0</v>
      </c>
      <c r="V21" s="11">
        <v>0</v>
      </c>
      <c r="W21" s="1021">
        <f t="shared" si="7"/>
        <v>58301.088470115326</v>
      </c>
      <c r="X21" s="11">
        <v>161063.39271293581</v>
      </c>
      <c r="Y21" s="1021">
        <f t="shared" si="8"/>
        <v>56777.722331278659</v>
      </c>
      <c r="Z21" s="11">
        <v>2262.9422126050417</v>
      </c>
      <c r="AA21" s="1021">
        <f t="shared" si="9"/>
        <v>2262.9422126050417</v>
      </c>
      <c r="AB21" s="11">
        <v>0</v>
      </c>
      <c r="AC21" s="1021">
        <f t="shared" si="10"/>
        <v>0</v>
      </c>
      <c r="AD21" s="11">
        <v>737.19058961038968</v>
      </c>
      <c r="AE21" s="1021">
        <f t="shared" si="11"/>
        <v>295.27805557761639</v>
      </c>
      <c r="AF21" s="11">
        <v>0</v>
      </c>
      <c r="AG21" s="1021">
        <f t="shared" si="12"/>
        <v>0</v>
      </c>
      <c r="AH21" s="1021">
        <f t="shared" si="13"/>
        <v>117637.03106957665</v>
      </c>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row>
    <row r="22" spans="1:92" ht="12.75" x14ac:dyDescent="0.2">
      <c r="A22" s="9" t="s">
        <v>188</v>
      </c>
      <c r="B22" s="10">
        <v>2447</v>
      </c>
      <c r="C22" s="11">
        <v>424</v>
      </c>
      <c r="D22" s="11">
        <v>0</v>
      </c>
      <c r="E22" s="11">
        <v>0</v>
      </c>
      <c r="F22" s="1021">
        <f t="shared" si="0"/>
        <v>129863.38302474027</v>
      </c>
      <c r="G22" s="11">
        <v>257835.62975311987</v>
      </c>
      <c r="H22" s="1021">
        <f t="shared" si="1"/>
        <v>90891.66412460187</v>
      </c>
      <c r="I22" s="11">
        <v>0</v>
      </c>
      <c r="J22" s="1021">
        <f t="shared" si="2"/>
        <v>0</v>
      </c>
      <c r="K22" s="11">
        <v>0</v>
      </c>
      <c r="L22" s="1021">
        <f t="shared" si="3"/>
        <v>0</v>
      </c>
      <c r="M22" s="11">
        <v>20615.405181818176</v>
      </c>
      <c r="N22" s="1021">
        <f t="shared" si="4"/>
        <v>8257.3988909016807</v>
      </c>
      <c r="O22" s="11">
        <v>0</v>
      </c>
      <c r="P22" s="1021">
        <f t="shared" si="5"/>
        <v>0</v>
      </c>
      <c r="Q22" s="1021">
        <f t="shared" si="6"/>
        <v>229012.44604024381</v>
      </c>
      <c r="R22" s="11">
        <v>243310.38153282946</v>
      </c>
      <c r="S22" s="1096" t="s">
        <v>1047</v>
      </c>
      <c r="T22" s="11">
        <v>402</v>
      </c>
      <c r="U22" s="11">
        <v>0</v>
      </c>
      <c r="V22" s="11">
        <v>0</v>
      </c>
      <c r="W22" s="1021">
        <f t="shared" si="7"/>
        <v>117774.05811550935</v>
      </c>
      <c r="X22" s="11">
        <v>259346.43139420176</v>
      </c>
      <c r="Y22" s="1021">
        <f t="shared" si="8"/>
        <v>91424.248684197446</v>
      </c>
      <c r="Z22" s="11">
        <v>2850.5730234335842</v>
      </c>
      <c r="AA22" s="1021">
        <f t="shared" si="9"/>
        <v>2850.5730234335842</v>
      </c>
      <c r="AB22" s="11">
        <v>0</v>
      </c>
      <c r="AC22" s="1021">
        <f t="shared" si="10"/>
        <v>0</v>
      </c>
      <c r="AD22" s="11">
        <v>21370.825689473681</v>
      </c>
      <c r="AE22" s="1021">
        <f t="shared" si="11"/>
        <v>8559.9788502604424</v>
      </c>
      <c r="AF22" s="11">
        <v>0</v>
      </c>
      <c r="AG22" s="1021">
        <f t="shared" si="12"/>
        <v>0</v>
      </c>
      <c r="AH22" s="1021">
        <f t="shared" si="13"/>
        <v>220608.85867340083</v>
      </c>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row>
    <row r="23" spans="1:92" ht="12.75" x14ac:dyDescent="0.2">
      <c r="A23" s="9" t="s">
        <v>23</v>
      </c>
      <c r="B23" s="10">
        <v>2512</v>
      </c>
      <c r="C23" s="11">
        <v>213</v>
      </c>
      <c r="D23" s="11">
        <v>0</v>
      </c>
      <c r="E23" s="11">
        <v>0</v>
      </c>
      <c r="F23" s="1021">
        <f t="shared" si="0"/>
        <v>65237.97307610773</v>
      </c>
      <c r="G23" s="11">
        <v>33629.350642660735</v>
      </c>
      <c r="H23" s="1021">
        <f t="shared" si="1"/>
        <v>11854.946681604612</v>
      </c>
      <c r="I23" s="11">
        <v>0</v>
      </c>
      <c r="J23" s="1021">
        <f t="shared" si="2"/>
        <v>0</v>
      </c>
      <c r="K23" s="11">
        <v>0</v>
      </c>
      <c r="L23" s="1021">
        <f t="shared" si="3"/>
        <v>0</v>
      </c>
      <c r="M23" s="11">
        <v>19920.360590163971</v>
      </c>
      <c r="N23" s="1021">
        <f t="shared" si="4"/>
        <v>7979.0022069832685</v>
      </c>
      <c r="O23" s="11">
        <v>0</v>
      </c>
      <c r="P23" s="1021">
        <f t="shared" si="5"/>
        <v>0</v>
      </c>
      <c r="Q23" s="1021">
        <f t="shared" si="6"/>
        <v>85071.921964695619</v>
      </c>
      <c r="R23" s="11">
        <v>86281.282050340538</v>
      </c>
      <c r="S23" s="1096" t="s">
        <v>1048</v>
      </c>
      <c r="T23" s="11">
        <v>208</v>
      </c>
      <c r="U23" s="11">
        <v>0</v>
      </c>
      <c r="V23" s="11">
        <v>0</v>
      </c>
      <c r="W23" s="1021">
        <f t="shared" si="7"/>
        <v>60937.821114492406</v>
      </c>
      <c r="X23" s="11">
        <v>43302.137080411623</v>
      </c>
      <c r="Y23" s="1021">
        <f t="shared" si="8"/>
        <v>15264.776645333353</v>
      </c>
      <c r="Z23" s="11">
        <v>0</v>
      </c>
      <c r="AA23" s="1021">
        <f t="shared" si="9"/>
        <v>0</v>
      </c>
      <c r="AB23" s="11">
        <v>0</v>
      </c>
      <c r="AC23" s="1021">
        <f t="shared" si="10"/>
        <v>0</v>
      </c>
      <c r="AD23" s="11">
        <v>20881.816974301684</v>
      </c>
      <c r="AE23" s="1021">
        <f t="shared" si="11"/>
        <v>8364.1088207029461</v>
      </c>
      <c r="AF23" s="11">
        <v>0</v>
      </c>
      <c r="AG23" s="1021">
        <f t="shared" si="12"/>
        <v>0</v>
      </c>
      <c r="AH23" s="1021">
        <f t="shared" si="13"/>
        <v>84566.706580528698</v>
      </c>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row>
    <row r="24" spans="1:92" ht="12.75" x14ac:dyDescent="0.2">
      <c r="A24" s="9" t="s">
        <v>24</v>
      </c>
      <c r="B24" s="10">
        <v>2456</v>
      </c>
      <c r="C24" s="11">
        <v>176</v>
      </c>
      <c r="D24" s="11">
        <v>0</v>
      </c>
      <c r="E24" s="11">
        <v>0</v>
      </c>
      <c r="F24" s="1021">
        <f t="shared" si="0"/>
        <v>53905.555217816713</v>
      </c>
      <c r="G24" s="11">
        <v>23940.486559784444</v>
      </c>
      <c r="H24" s="1021">
        <f t="shared" si="1"/>
        <v>8439.4490608416127</v>
      </c>
      <c r="I24" s="11">
        <v>1338.0120179775281</v>
      </c>
      <c r="J24" s="1021">
        <f t="shared" si="2"/>
        <v>1338.0120179775281</v>
      </c>
      <c r="K24" s="11">
        <v>0</v>
      </c>
      <c r="L24" s="1021">
        <f t="shared" si="3"/>
        <v>0</v>
      </c>
      <c r="M24" s="11">
        <v>34050.764076521715</v>
      </c>
      <c r="N24" s="1021">
        <f t="shared" si="4"/>
        <v>13638.865646347067</v>
      </c>
      <c r="O24" s="11">
        <v>0</v>
      </c>
      <c r="P24" s="1021">
        <f t="shared" si="5"/>
        <v>0</v>
      </c>
      <c r="Q24" s="1021">
        <f t="shared" si="6"/>
        <v>77321.881942982916</v>
      </c>
      <c r="R24" s="11">
        <v>75597.439101186086</v>
      </c>
      <c r="S24" s="1096" t="s">
        <v>1049</v>
      </c>
      <c r="T24" s="11">
        <v>178</v>
      </c>
      <c r="U24" s="11">
        <v>0</v>
      </c>
      <c r="V24" s="11">
        <v>0</v>
      </c>
      <c r="W24" s="1021">
        <f t="shared" si="7"/>
        <v>52148.712299902152</v>
      </c>
      <c r="X24" s="11">
        <v>19136.909022791246</v>
      </c>
      <c r="Y24" s="1021">
        <f t="shared" si="8"/>
        <v>6746.1021928896471</v>
      </c>
      <c r="Z24" s="11">
        <v>1360.8619920903955</v>
      </c>
      <c r="AA24" s="1021">
        <f t="shared" si="9"/>
        <v>1360.8619920903955</v>
      </c>
      <c r="AB24" s="11">
        <v>0</v>
      </c>
      <c r="AC24" s="1021">
        <f t="shared" si="10"/>
        <v>0</v>
      </c>
      <c r="AD24" s="11">
        <v>28398.758989830552</v>
      </c>
      <c r="AE24" s="1021">
        <f t="shared" si="11"/>
        <v>11374.982878940884</v>
      </c>
      <c r="AF24" s="11">
        <v>0</v>
      </c>
      <c r="AG24" s="1021">
        <f t="shared" si="12"/>
        <v>0</v>
      </c>
      <c r="AH24" s="1021">
        <f t="shared" si="13"/>
        <v>71630.65936382307</v>
      </c>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row>
    <row r="25" spans="1:92" ht="12.75" x14ac:dyDescent="0.2">
      <c r="A25" s="9" t="s">
        <v>25</v>
      </c>
      <c r="B25" s="10">
        <v>2449</v>
      </c>
      <c r="C25" s="11">
        <v>267</v>
      </c>
      <c r="D25" s="11">
        <v>0</v>
      </c>
      <c r="E25" s="11">
        <v>0</v>
      </c>
      <c r="F25" s="1021">
        <f t="shared" si="0"/>
        <v>81777.17751793786</v>
      </c>
      <c r="G25" s="11">
        <v>84617.718087593108</v>
      </c>
      <c r="H25" s="1021">
        <f t="shared" si="1"/>
        <v>29829.25679733252</v>
      </c>
      <c r="I25" s="11">
        <v>0</v>
      </c>
      <c r="J25" s="1021">
        <f t="shared" si="2"/>
        <v>0</v>
      </c>
      <c r="K25" s="11">
        <v>0</v>
      </c>
      <c r="L25" s="1021">
        <f t="shared" si="3"/>
        <v>0</v>
      </c>
      <c r="M25" s="11">
        <v>7658.5784782122901</v>
      </c>
      <c r="N25" s="1021">
        <f t="shared" si="4"/>
        <v>3067.6058449556122</v>
      </c>
      <c r="O25" s="11">
        <v>0</v>
      </c>
      <c r="P25" s="1021">
        <f t="shared" si="5"/>
        <v>0</v>
      </c>
      <c r="Q25" s="1021">
        <f t="shared" si="6"/>
        <v>114674.040160226</v>
      </c>
      <c r="R25" s="11">
        <v>125113.57491137051</v>
      </c>
      <c r="S25" s="1096" t="s">
        <v>1050</v>
      </c>
      <c r="T25" s="11">
        <v>268</v>
      </c>
      <c r="U25" s="11">
        <v>0</v>
      </c>
      <c r="V25" s="11">
        <v>0</v>
      </c>
      <c r="W25" s="1021">
        <f t="shared" si="7"/>
        <v>78516.038743672907</v>
      </c>
      <c r="X25" s="11">
        <v>121491.33610126089</v>
      </c>
      <c r="Y25" s="1021">
        <f t="shared" si="8"/>
        <v>42827.865665960409</v>
      </c>
      <c r="Z25" s="11">
        <v>0</v>
      </c>
      <c r="AA25" s="1021">
        <f t="shared" si="9"/>
        <v>0</v>
      </c>
      <c r="AB25" s="11">
        <v>0</v>
      </c>
      <c r="AC25" s="1021">
        <f t="shared" si="10"/>
        <v>0</v>
      </c>
      <c r="AD25" s="11">
        <v>5153.6327730337189</v>
      </c>
      <c r="AE25" s="1021">
        <f t="shared" si="11"/>
        <v>2064.2621946472941</v>
      </c>
      <c r="AF25" s="11">
        <v>0</v>
      </c>
      <c r="AG25" s="1021">
        <f t="shared" si="12"/>
        <v>0</v>
      </c>
      <c r="AH25" s="1021">
        <f t="shared" si="13"/>
        <v>123408.16660428062</v>
      </c>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row>
    <row r="26" spans="1:92" ht="12.75" x14ac:dyDescent="0.2">
      <c r="A26" s="9" t="s">
        <v>26</v>
      </c>
      <c r="B26" s="10">
        <v>2448</v>
      </c>
      <c r="C26" s="11">
        <v>345</v>
      </c>
      <c r="D26" s="11">
        <v>0</v>
      </c>
      <c r="E26" s="11">
        <v>0</v>
      </c>
      <c r="F26" s="1021">
        <f t="shared" si="0"/>
        <v>105667.13948947027</v>
      </c>
      <c r="G26" s="11">
        <v>160029.38842957764</v>
      </c>
      <c r="H26" s="1021">
        <f t="shared" si="1"/>
        <v>56413.217355312459</v>
      </c>
      <c r="I26" s="11">
        <v>0</v>
      </c>
      <c r="J26" s="1021">
        <f t="shared" si="2"/>
        <v>0</v>
      </c>
      <c r="K26" s="11">
        <v>0</v>
      </c>
      <c r="L26" s="1021">
        <f t="shared" si="3"/>
        <v>0</v>
      </c>
      <c r="M26" s="11">
        <v>3452.9609473684095</v>
      </c>
      <c r="N26" s="1021">
        <f t="shared" si="4"/>
        <v>1383.0664808991187</v>
      </c>
      <c r="O26" s="11">
        <v>0</v>
      </c>
      <c r="P26" s="1021">
        <f t="shared" si="5"/>
        <v>0</v>
      </c>
      <c r="Q26" s="1021">
        <f t="shared" si="6"/>
        <v>163463.42332568186</v>
      </c>
      <c r="R26" s="11">
        <v>167165.0901143699</v>
      </c>
      <c r="S26" s="1096" t="s">
        <v>1051</v>
      </c>
      <c r="T26" s="11">
        <v>311</v>
      </c>
      <c r="U26" s="11">
        <v>0</v>
      </c>
      <c r="V26" s="11">
        <v>0</v>
      </c>
      <c r="W26" s="1021">
        <f t="shared" si="7"/>
        <v>91113.761377918927</v>
      </c>
      <c r="X26" s="11">
        <v>165501.39554376242</v>
      </c>
      <c r="Y26" s="1021">
        <f t="shared" si="8"/>
        <v>58342.197586578957</v>
      </c>
      <c r="Z26" s="11">
        <v>0</v>
      </c>
      <c r="AA26" s="1021">
        <f t="shared" si="9"/>
        <v>0</v>
      </c>
      <c r="AB26" s="11">
        <v>0</v>
      </c>
      <c r="AC26" s="1021">
        <f t="shared" si="10"/>
        <v>0</v>
      </c>
      <c r="AD26" s="11">
        <v>6009.4596212903161</v>
      </c>
      <c r="AE26" s="1021">
        <f t="shared" si="11"/>
        <v>2407.0594186296094</v>
      </c>
      <c r="AF26" s="11">
        <v>0</v>
      </c>
      <c r="AG26" s="1021">
        <f t="shared" si="12"/>
        <v>0</v>
      </c>
      <c r="AH26" s="1021">
        <f t="shared" si="13"/>
        <v>151863.01838312749</v>
      </c>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row>
    <row r="27" spans="1:92" ht="12.75" x14ac:dyDescent="0.2">
      <c r="A27" s="9" t="s">
        <v>97</v>
      </c>
      <c r="B27" s="10">
        <v>2467</v>
      </c>
      <c r="C27" s="11">
        <v>338</v>
      </c>
      <c r="D27" s="11">
        <v>0</v>
      </c>
      <c r="E27" s="11">
        <v>0</v>
      </c>
      <c r="F27" s="1021">
        <f t="shared" si="0"/>
        <v>103523.1685433071</v>
      </c>
      <c r="G27" s="11">
        <v>152725.87612343498</v>
      </c>
      <c r="H27" s="1021">
        <f t="shared" si="1"/>
        <v>53838.598835383942</v>
      </c>
      <c r="I27" s="11">
        <v>0</v>
      </c>
      <c r="J27" s="1021">
        <f t="shared" si="2"/>
        <v>0</v>
      </c>
      <c r="K27" s="11">
        <v>0</v>
      </c>
      <c r="L27" s="1021">
        <f t="shared" si="3"/>
        <v>0</v>
      </c>
      <c r="M27" s="11">
        <v>13452.931367441848</v>
      </c>
      <c r="N27" s="1021">
        <f t="shared" si="4"/>
        <v>5388.505322750756</v>
      </c>
      <c r="O27" s="11">
        <v>0</v>
      </c>
      <c r="P27" s="1021">
        <f t="shared" si="5"/>
        <v>0</v>
      </c>
      <c r="Q27" s="1021">
        <f t="shared" si="6"/>
        <v>162750.27270144178</v>
      </c>
      <c r="R27" s="11">
        <v>168706.96040328743</v>
      </c>
      <c r="S27" s="1096" t="s">
        <v>1052</v>
      </c>
      <c r="T27" s="11">
        <v>362</v>
      </c>
      <c r="U27" s="11">
        <v>0</v>
      </c>
      <c r="V27" s="11">
        <v>0</v>
      </c>
      <c r="W27" s="1021">
        <f t="shared" si="7"/>
        <v>106055.24636272236</v>
      </c>
      <c r="X27" s="11">
        <v>170808.45263230253</v>
      </c>
      <c r="Y27" s="1021">
        <f t="shared" si="8"/>
        <v>60213.029987995113</v>
      </c>
      <c r="Z27" s="11">
        <v>0</v>
      </c>
      <c r="AA27" s="1021">
        <f t="shared" si="9"/>
        <v>0</v>
      </c>
      <c r="AB27" s="11">
        <v>0</v>
      </c>
      <c r="AC27" s="1021">
        <f t="shared" si="10"/>
        <v>0</v>
      </c>
      <c r="AD27" s="11">
        <v>6054.2469498371402</v>
      </c>
      <c r="AE27" s="1021">
        <f t="shared" si="11"/>
        <v>2424.9987622324779</v>
      </c>
      <c r="AF27" s="11">
        <v>0</v>
      </c>
      <c r="AG27" s="1021">
        <f t="shared" si="12"/>
        <v>0</v>
      </c>
      <c r="AH27" s="1021">
        <f t="shared" si="13"/>
        <v>168693.27511294995</v>
      </c>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row>
    <row r="28" spans="1:92" ht="12.75" x14ac:dyDescent="0.2">
      <c r="A28" s="9" t="s">
        <v>28</v>
      </c>
      <c r="B28" s="10">
        <v>2455</v>
      </c>
      <c r="C28" s="11">
        <v>354</v>
      </c>
      <c r="D28" s="11">
        <v>0</v>
      </c>
      <c r="E28" s="11">
        <v>0</v>
      </c>
      <c r="F28" s="1021">
        <f t="shared" si="0"/>
        <v>108423.67356310862</v>
      </c>
      <c r="G28" s="11">
        <v>71937.37267533991</v>
      </c>
      <c r="H28" s="1021">
        <f t="shared" si="1"/>
        <v>25359.208583677875</v>
      </c>
      <c r="I28" s="11">
        <v>0</v>
      </c>
      <c r="J28" s="1021">
        <f t="shared" si="2"/>
        <v>0</v>
      </c>
      <c r="K28" s="11">
        <v>0</v>
      </c>
      <c r="L28" s="1021">
        <f t="shared" si="3"/>
        <v>0</v>
      </c>
      <c r="M28" s="11">
        <v>22007.717984615396</v>
      </c>
      <c r="N28" s="1021">
        <f t="shared" si="4"/>
        <v>8815.0829185600705</v>
      </c>
      <c r="O28" s="11">
        <v>0</v>
      </c>
      <c r="P28" s="1021">
        <f t="shared" si="5"/>
        <v>0</v>
      </c>
      <c r="Q28" s="1021">
        <f t="shared" si="6"/>
        <v>142597.96506534657</v>
      </c>
      <c r="R28" s="11">
        <v>140777.14409167229</v>
      </c>
      <c r="S28" s="1096" t="s">
        <v>1053</v>
      </c>
      <c r="T28" s="11">
        <v>355</v>
      </c>
      <c r="U28" s="11">
        <v>0</v>
      </c>
      <c r="V28" s="11">
        <v>0</v>
      </c>
      <c r="W28" s="1021">
        <f t="shared" si="7"/>
        <v>104004.45430598463</v>
      </c>
      <c r="X28" s="11">
        <v>69584.029163722123</v>
      </c>
      <c r="Y28" s="1021">
        <f t="shared" si="8"/>
        <v>24529.612967926143</v>
      </c>
      <c r="Z28" s="11">
        <v>2676.2781532033428</v>
      </c>
      <c r="AA28" s="1021">
        <f t="shared" si="9"/>
        <v>2676.2781532033428</v>
      </c>
      <c r="AB28" s="11">
        <v>0</v>
      </c>
      <c r="AC28" s="1021">
        <f t="shared" si="10"/>
        <v>0</v>
      </c>
      <c r="AD28" s="11">
        <v>15189.274949999999</v>
      </c>
      <c r="AE28" s="1021">
        <f t="shared" si="11"/>
        <v>6083.989182824731</v>
      </c>
      <c r="AF28" s="11">
        <v>0</v>
      </c>
      <c r="AG28" s="1021">
        <f t="shared" si="12"/>
        <v>0</v>
      </c>
      <c r="AH28" s="1021">
        <f t="shared" si="13"/>
        <v>137294.33460993884</v>
      </c>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row>
    <row r="29" spans="1:92" ht="12.75" x14ac:dyDescent="0.2">
      <c r="A29" s="9" t="s">
        <v>29</v>
      </c>
      <c r="B29" s="10">
        <v>5203</v>
      </c>
      <c r="C29" s="11">
        <v>491</v>
      </c>
      <c r="D29" s="11">
        <v>0</v>
      </c>
      <c r="E29" s="11">
        <v>0</v>
      </c>
      <c r="F29" s="1021">
        <f t="shared" si="0"/>
        <v>150384.24779515914</v>
      </c>
      <c r="G29" s="11">
        <v>121311.81771140057</v>
      </c>
      <c r="H29" s="1021">
        <f t="shared" si="1"/>
        <v>42764.582227550454</v>
      </c>
      <c r="I29" s="11">
        <v>1375.6302271221532</v>
      </c>
      <c r="J29" s="1021">
        <f t="shared" si="2"/>
        <v>1375.6302271221532</v>
      </c>
      <c r="K29" s="11">
        <v>0</v>
      </c>
      <c r="L29" s="1021">
        <f t="shared" si="3"/>
        <v>0</v>
      </c>
      <c r="M29" s="11">
        <v>6873.8698699386514</v>
      </c>
      <c r="N29" s="1021">
        <f t="shared" si="4"/>
        <v>2753.2946813140411</v>
      </c>
      <c r="O29" s="11">
        <v>0</v>
      </c>
      <c r="P29" s="1021">
        <f t="shared" si="5"/>
        <v>0</v>
      </c>
      <c r="Q29" s="1021">
        <f t="shared" si="6"/>
        <v>197277.75493114578</v>
      </c>
      <c r="R29" s="11">
        <v>201072.15890292911</v>
      </c>
      <c r="S29" s="1096" t="s">
        <v>1054</v>
      </c>
      <c r="T29" s="11">
        <v>480</v>
      </c>
      <c r="U29" s="11">
        <v>0</v>
      </c>
      <c r="V29" s="11">
        <v>0</v>
      </c>
      <c r="W29" s="1021">
        <f t="shared" si="7"/>
        <v>140625.74103344401</v>
      </c>
      <c r="X29" s="11">
        <v>126820.54155920394</v>
      </c>
      <c r="Y29" s="1021">
        <f t="shared" si="8"/>
        <v>44706.505763134541</v>
      </c>
      <c r="Z29" s="11">
        <v>1350.4033596673596</v>
      </c>
      <c r="AA29" s="1021">
        <f t="shared" si="9"/>
        <v>1350.4033596673596</v>
      </c>
      <c r="AB29" s="11">
        <v>0</v>
      </c>
      <c r="AC29" s="1021">
        <f t="shared" si="10"/>
        <v>0</v>
      </c>
      <c r="AD29" s="11">
        <v>2610.7132881355928</v>
      </c>
      <c r="AE29" s="1021">
        <f t="shared" si="11"/>
        <v>1045.7083341212235</v>
      </c>
      <c r="AF29" s="11">
        <v>0</v>
      </c>
      <c r="AG29" s="1021">
        <f t="shared" si="12"/>
        <v>0</v>
      </c>
      <c r="AH29" s="1021">
        <f t="shared" si="13"/>
        <v>187728.35849036713</v>
      </c>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row>
    <row r="30" spans="1:92" x14ac:dyDescent="0.25">
      <c r="A30" s="9" t="s">
        <v>30</v>
      </c>
      <c r="B30" s="10">
        <v>2451</v>
      </c>
      <c r="C30" s="11">
        <v>508</v>
      </c>
      <c r="D30" s="11">
        <v>0</v>
      </c>
      <c r="E30" s="11">
        <v>0</v>
      </c>
      <c r="F30" s="1021">
        <f t="shared" si="0"/>
        <v>155591.03437869824</v>
      </c>
      <c r="G30" s="11">
        <v>151327.83646503178</v>
      </c>
      <c r="H30" s="1021">
        <f t="shared" si="1"/>
        <v>53345.764888477039</v>
      </c>
      <c r="I30" s="11">
        <v>0</v>
      </c>
      <c r="J30" s="1021">
        <f t="shared" si="2"/>
        <v>0</v>
      </c>
      <c r="K30" s="11">
        <v>0</v>
      </c>
      <c r="L30" s="1021">
        <f t="shared" si="3"/>
        <v>0</v>
      </c>
      <c r="M30" s="11">
        <v>9141.1563869158999</v>
      </c>
      <c r="N30" s="1021">
        <f t="shared" si="4"/>
        <v>3661.4451156870746</v>
      </c>
      <c r="O30" s="11">
        <v>0</v>
      </c>
      <c r="P30" s="1021">
        <f t="shared" si="5"/>
        <v>0</v>
      </c>
      <c r="Q30" s="1021">
        <f t="shared" si="6"/>
        <v>212598.24438286235</v>
      </c>
      <c r="R30" s="11">
        <v>203356.34083025879</v>
      </c>
      <c r="S30" s="1096" t="s">
        <v>1056</v>
      </c>
      <c r="T30" s="11">
        <v>473</v>
      </c>
      <c r="U30" s="11">
        <v>0</v>
      </c>
      <c r="V30" s="11">
        <v>0</v>
      </c>
      <c r="W30" s="1021">
        <f t="shared" si="7"/>
        <v>138574.94897670628</v>
      </c>
      <c r="X30" s="11">
        <v>161771.0790795983</v>
      </c>
      <c r="Y30" s="1021">
        <f t="shared" si="8"/>
        <v>57027.194413961093</v>
      </c>
      <c r="Z30" s="11">
        <v>0</v>
      </c>
      <c r="AA30" s="1021">
        <f t="shared" si="9"/>
        <v>0</v>
      </c>
      <c r="AB30" s="11">
        <v>0</v>
      </c>
      <c r="AC30" s="1021">
        <f t="shared" si="10"/>
        <v>0</v>
      </c>
      <c r="AD30" s="11">
        <v>4216.2717437500141</v>
      </c>
      <c r="AE30" s="1021">
        <f t="shared" si="11"/>
        <v>1688.8068565000631</v>
      </c>
      <c r="AF30" s="11">
        <v>0</v>
      </c>
      <c r="AG30" s="1021">
        <f t="shared" si="12"/>
        <v>0</v>
      </c>
      <c r="AH30" s="1021">
        <f t="shared" si="13"/>
        <v>197290.95024716744</v>
      </c>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row>
    <row r="31" spans="1:92" x14ac:dyDescent="0.25">
      <c r="A31" s="9" t="s">
        <v>31</v>
      </c>
      <c r="B31" s="10">
        <v>2409</v>
      </c>
      <c r="C31" s="11">
        <v>544</v>
      </c>
      <c r="D31" s="11">
        <v>0</v>
      </c>
      <c r="E31" s="11">
        <v>0</v>
      </c>
      <c r="F31" s="1021">
        <f t="shared" si="0"/>
        <v>166617.17067325168</v>
      </c>
      <c r="G31" s="11">
        <v>304623.65539205808</v>
      </c>
      <c r="H31" s="1021">
        <f t="shared" si="1"/>
        <v>107385.27874062519</v>
      </c>
      <c r="I31" s="11">
        <v>0</v>
      </c>
      <c r="J31" s="1021">
        <f t="shared" si="2"/>
        <v>0</v>
      </c>
      <c r="K31" s="11">
        <v>0</v>
      </c>
      <c r="L31" s="1021">
        <f t="shared" si="3"/>
        <v>0</v>
      </c>
      <c r="M31" s="11">
        <v>179601.63763370289</v>
      </c>
      <c r="N31" s="1021">
        <f t="shared" si="4"/>
        <v>71938.550337523222</v>
      </c>
      <c r="O31" s="11">
        <v>0</v>
      </c>
      <c r="P31" s="1021">
        <f t="shared" si="5"/>
        <v>0</v>
      </c>
      <c r="Q31" s="1021">
        <f t="shared" si="6"/>
        <v>345940.99975140009</v>
      </c>
      <c r="R31" s="11">
        <v>347059.62517703843</v>
      </c>
      <c r="S31" s="1096" t="s">
        <v>1057</v>
      </c>
      <c r="T31" s="11">
        <v>551</v>
      </c>
      <c r="U31" s="11">
        <v>0</v>
      </c>
      <c r="V31" s="11">
        <v>0</v>
      </c>
      <c r="W31" s="1021">
        <f t="shared" si="7"/>
        <v>161426.63189464094</v>
      </c>
      <c r="X31" s="11">
        <v>307093.3526570613</v>
      </c>
      <c r="Y31" s="1021">
        <f t="shared" si="8"/>
        <v>108255.89113238445</v>
      </c>
      <c r="Z31" s="11">
        <v>2639.3713334513272</v>
      </c>
      <c r="AA31" s="1021">
        <f t="shared" si="9"/>
        <v>2639.3713334513272</v>
      </c>
      <c r="AB31" s="11">
        <v>0</v>
      </c>
      <c r="AC31" s="1021">
        <f t="shared" si="10"/>
        <v>0</v>
      </c>
      <c r="AD31" s="11">
        <v>170461.08746257925</v>
      </c>
      <c r="AE31" s="1021">
        <f t="shared" si="11"/>
        <v>68277.348038582481</v>
      </c>
      <c r="AF31" s="11">
        <v>0</v>
      </c>
      <c r="AG31" s="1021">
        <f t="shared" si="12"/>
        <v>0</v>
      </c>
      <c r="AH31" s="1021">
        <f t="shared" si="13"/>
        <v>340599.24239905924</v>
      </c>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row>
    <row r="32" spans="1:92" x14ac:dyDescent="0.25">
      <c r="A32" s="9" t="s">
        <v>98</v>
      </c>
      <c r="B32" s="10">
        <v>3158</v>
      </c>
      <c r="C32" s="11">
        <v>120</v>
      </c>
      <c r="D32" s="11">
        <v>0</v>
      </c>
      <c r="E32" s="11">
        <v>0</v>
      </c>
      <c r="F32" s="1021">
        <f t="shared" si="0"/>
        <v>36753.787648511396</v>
      </c>
      <c r="G32" s="11">
        <v>69082.990925914666</v>
      </c>
      <c r="H32" s="1021">
        <f t="shared" si="1"/>
        <v>24352.988041154062</v>
      </c>
      <c r="I32" s="11">
        <v>0</v>
      </c>
      <c r="J32" s="1021">
        <f t="shared" si="2"/>
        <v>0</v>
      </c>
      <c r="K32" s="11">
        <v>0</v>
      </c>
      <c r="L32" s="1021">
        <f t="shared" si="3"/>
        <v>0</v>
      </c>
      <c r="M32" s="11">
        <v>93589.114329113916</v>
      </c>
      <c r="N32" s="1021">
        <f t="shared" si="4"/>
        <v>37486.658256092473</v>
      </c>
      <c r="O32" s="11">
        <v>0</v>
      </c>
      <c r="P32" s="1021">
        <f t="shared" si="5"/>
        <v>0</v>
      </c>
      <c r="Q32" s="1021">
        <f t="shared" si="6"/>
        <v>98593.433945757934</v>
      </c>
      <c r="R32" s="11">
        <v>98941.083517930558</v>
      </c>
      <c r="S32" s="1096" t="s">
        <v>1058</v>
      </c>
      <c r="T32" s="11">
        <v>117</v>
      </c>
      <c r="U32" s="11">
        <v>0</v>
      </c>
      <c r="V32" s="11">
        <v>0</v>
      </c>
      <c r="W32" s="1021">
        <f t="shared" si="7"/>
        <v>34277.52437690198</v>
      </c>
      <c r="X32" s="11">
        <v>62382.104788247598</v>
      </c>
      <c r="Y32" s="1021">
        <f t="shared" si="8"/>
        <v>21990.806007797339</v>
      </c>
      <c r="Z32" s="11">
        <v>0</v>
      </c>
      <c r="AA32" s="1021">
        <f t="shared" si="9"/>
        <v>0</v>
      </c>
      <c r="AB32" s="11">
        <v>0</v>
      </c>
      <c r="AC32" s="1021">
        <f t="shared" si="10"/>
        <v>0</v>
      </c>
      <c r="AD32" s="11">
        <v>84517.604532467521</v>
      </c>
      <c r="AE32" s="1021">
        <f t="shared" si="11"/>
        <v>33853.109738710133</v>
      </c>
      <c r="AF32" s="11">
        <v>0</v>
      </c>
      <c r="AG32" s="1021">
        <f t="shared" si="12"/>
        <v>0</v>
      </c>
      <c r="AH32" s="1021">
        <f t="shared" si="13"/>
        <v>90121.44012340944</v>
      </c>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row>
    <row r="33" spans="1:92" x14ac:dyDescent="0.25">
      <c r="A33" s="9" t="s">
        <v>32</v>
      </c>
      <c r="B33" s="10">
        <v>2619</v>
      </c>
      <c r="C33" s="11">
        <v>221.08333333333331</v>
      </c>
      <c r="D33" s="11">
        <v>0</v>
      </c>
      <c r="E33" s="11">
        <v>0</v>
      </c>
      <c r="F33" s="1021">
        <f t="shared" si="0"/>
        <v>67713.749049653285</v>
      </c>
      <c r="G33" s="11">
        <v>244419.37245482486</v>
      </c>
      <c r="H33" s="1021">
        <f t="shared" si="1"/>
        <v>86162.193828609496</v>
      </c>
      <c r="I33" s="11">
        <v>1445.2833756441221</v>
      </c>
      <c r="J33" s="1021">
        <f t="shared" si="2"/>
        <v>1445.2833756441221</v>
      </c>
      <c r="K33" s="11">
        <v>0</v>
      </c>
      <c r="L33" s="1021">
        <f t="shared" si="3"/>
        <v>0</v>
      </c>
      <c r="M33" s="11">
        <v>21257.13269101128</v>
      </c>
      <c r="N33" s="1021">
        <f t="shared" si="4"/>
        <v>8514.4396803471245</v>
      </c>
      <c r="O33" s="11">
        <v>0</v>
      </c>
      <c r="P33" s="1021">
        <f t="shared" si="5"/>
        <v>0</v>
      </c>
      <c r="Q33" s="1021">
        <f t="shared" si="6"/>
        <v>163835.66593425401</v>
      </c>
      <c r="R33" s="11">
        <v>166534.89907426009</v>
      </c>
      <c r="S33" s="1096" t="s">
        <v>1059</v>
      </c>
      <c r="T33" s="11">
        <v>199</v>
      </c>
      <c r="U33" s="11">
        <v>0</v>
      </c>
      <c r="V33" s="11">
        <v>0</v>
      </c>
      <c r="W33" s="1021">
        <f t="shared" si="7"/>
        <v>58301.088470115326</v>
      </c>
      <c r="X33" s="11">
        <v>281026.16315154347</v>
      </c>
      <c r="Y33" s="1021">
        <f t="shared" si="8"/>
        <v>99066.741302795373</v>
      </c>
      <c r="Z33" s="11">
        <v>1479.6160620879123</v>
      </c>
      <c r="AA33" s="1021">
        <f t="shared" si="9"/>
        <v>1479.6160620879123</v>
      </c>
      <c r="AB33" s="11">
        <v>0</v>
      </c>
      <c r="AC33" s="1021">
        <f t="shared" si="10"/>
        <v>0</v>
      </c>
      <c r="AD33" s="11">
        <v>12020.543025882345</v>
      </c>
      <c r="AE33" s="1021">
        <f t="shared" si="11"/>
        <v>4814.7692356538355</v>
      </c>
      <c r="AF33" s="11">
        <v>0</v>
      </c>
      <c r="AG33" s="1021">
        <f t="shared" si="12"/>
        <v>0</v>
      </c>
      <c r="AH33" s="1021">
        <f t="shared" si="13"/>
        <v>163662.21507065246</v>
      </c>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row>
    <row r="34" spans="1:92" x14ac:dyDescent="0.25">
      <c r="A34" s="9" t="s">
        <v>33</v>
      </c>
      <c r="B34" s="10">
        <v>2518</v>
      </c>
      <c r="C34" s="11">
        <v>315</v>
      </c>
      <c r="D34" s="11">
        <v>0</v>
      </c>
      <c r="E34" s="11">
        <v>0</v>
      </c>
      <c r="F34" s="1021">
        <f t="shared" si="0"/>
        <v>96478.692577342415</v>
      </c>
      <c r="G34" s="11">
        <v>269498.50577151973</v>
      </c>
      <c r="H34" s="1021">
        <f t="shared" si="1"/>
        <v>95003.036206134173</v>
      </c>
      <c r="I34" s="11">
        <v>2478.2747703488371</v>
      </c>
      <c r="J34" s="1021">
        <f t="shared" si="2"/>
        <v>2478.2747703488371</v>
      </c>
      <c r="K34" s="11">
        <v>0</v>
      </c>
      <c r="L34" s="1021">
        <f t="shared" si="3"/>
        <v>0</v>
      </c>
      <c r="M34" s="11">
        <v>129894.80996739118</v>
      </c>
      <c r="N34" s="1021">
        <f t="shared" si="4"/>
        <v>52028.725620420875</v>
      </c>
      <c r="O34" s="11">
        <v>84577.440000000075</v>
      </c>
      <c r="P34" s="1021">
        <f t="shared" si="5"/>
        <v>84577.440000000075</v>
      </c>
      <c r="Q34" s="1021">
        <f t="shared" si="6"/>
        <v>330566.16917424637</v>
      </c>
      <c r="R34" s="11">
        <v>359328.65104208933</v>
      </c>
      <c r="S34" s="1096" t="s">
        <v>1060</v>
      </c>
      <c r="T34" s="11">
        <v>297</v>
      </c>
      <c r="U34" s="11">
        <v>0</v>
      </c>
      <c r="V34" s="11">
        <v>0</v>
      </c>
      <c r="W34" s="1021">
        <f t="shared" si="7"/>
        <v>87012.177264443482</v>
      </c>
      <c r="X34" s="11">
        <v>271588.29627622291</v>
      </c>
      <c r="Y34" s="1021">
        <f t="shared" si="8"/>
        <v>95739.724680206346</v>
      </c>
      <c r="Z34" s="11">
        <v>2734.0500673469382</v>
      </c>
      <c r="AA34" s="1021">
        <f t="shared" si="9"/>
        <v>2734.0500673469382</v>
      </c>
      <c r="AB34" s="11">
        <v>0</v>
      </c>
      <c r="AC34" s="1021">
        <f t="shared" si="10"/>
        <v>0</v>
      </c>
      <c r="AD34" s="11">
        <v>105982.8043554656</v>
      </c>
      <c r="AE34" s="1021">
        <f t="shared" si="11"/>
        <v>42450.889682794405</v>
      </c>
      <c r="AF34" s="11">
        <v>67541.984000000157</v>
      </c>
      <c r="AG34" s="1021">
        <f t="shared" si="12"/>
        <v>67541.984000000157</v>
      </c>
      <c r="AH34" s="1021">
        <f t="shared" si="13"/>
        <v>295478.82569479133</v>
      </c>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row>
    <row r="35" spans="1:92" x14ac:dyDescent="0.25">
      <c r="A35" s="9" t="s">
        <v>34</v>
      </c>
      <c r="B35" s="10">
        <v>2457</v>
      </c>
      <c r="C35" s="11">
        <v>366</v>
      </c>
      <c r="D35" s="11">
        <v>0</v>
      </c>
      <c r="E35" s="11">
        <v>0</v>
      </c>
      <c r="F35" s="1021">
        <f t="shared" si="0"/>
        <v>112099.05232795977</v>
      </c>
      <c r="G35" s="11">
        <v>123718.43766753576</v>
      </c>
      <c r="H35" s="1021">
        <f t="shared" si="1"/>
        <v>43612.958741448288</v>
      </c>
      <c r="I35" s="11">
        <v>6803.2597829670322</v>
      </c>
      <c r="J35" s="1021">
        <f t="shared" si="2"/>
        <v>6803.2597829670322</v>
      </c>
      <c r="K35" s="11">
        <v>0</v>
      </c>
      <c r="L35" s="1021">
        <f t="shared" si="3"/>
        <v>0</v>
      </c>
      <c r="M35" s="11">
        <v>33373.618199999895</v>
      </c>
      <c r="N35" s="1021">
        <f t="shared" si="4"/>
        <v>13367.638204516268</v>
      </c>
      <c r="O35" s="11">
        <v>0</v>
      </c>
      <c r="P35" s="1021">
        <f t="shared" si="5"/>
        <v>0</v>
      </c>
      <c r="Q35" s="1021">
        <f t="shared" si="6"/>
        <v>175882.90905689137</v>
      </c>
      <c r="R35" s="11">
        <v>176094.62872396281</v>
      </c>
      <c r="S35" s="1096" t="s">
        <v>1061</v>
      </c>
      <c r="T35" s="11">
        <v>358</v>
      </c>
      <c r="U35" s="11">
        <v>0</v>
      </c>
      <c r="V35" s="11">
        <v>0</v>
      </c>
      <c r="W35" s="1021">
        <f t="shared" si="7"/>
        <v>104883.36518744366</v>
      </c>
      <c r="X35" s="11">
        <v>147991.49950529612</v>
      </c>
      <c r="Y35" s="1021">
        <f t="shared" si="8"/>
        <v>52169.646527173951</v>
      </c>
      <c r="Z35" s="11">
        <v>4140.6117829059831</v>
      </c>
      <c r="AA35" s="1021">
        <f t="shared" si="9"/>
        <v>4140.6117829059831</v>
      </c>
      <c r="AB35" s="11">
        <v>0</v>
      </c>
      <c r="AC35" s="1021">
        <f t="shared" si="10"/>
        <v>0</v>
      </c>
      <c r="AD35" s="11">
        <v>23104.812599999994</v>
      </c>
      <c r="AE35" s="1021">
        <f t="shared" si="11"/>
        <v>9254.5187569728278</v>
      </c>
      <c r="AF35" s="11">
        <v>0</v>
      </c>
      <c r="AG35" s="1021">
        <f t="shared" si="12"/>
        <v>0</v>
      </c>
      <c r="AH35" s="1021">
        <f t="shared" si="13"/>
        <v>170448.1422544964</v>
      </c>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row>
    <row r="36" spans="1:92" x14ac:dyDescent="0.25">
      <c r="A36" s="9" t="s">
        <v>99</v>
      </c>
      <c r="B36" s="10">
        <v>2010</v>
      </c>
      <c r="C36" s="11">
        <v>211</v>
      </c>
      <c r="D36" s="11">
        <v>0</v>
      </c>
      <c r="E36" s="11">
        <v>0</v>
      </c>
      <c r="F36" s="1021">
        <f t="shared" si="0"/>
        <v>64625.409948632543</v>
      </c>
      <c r="G36" s="11">
        <v>185046.62005054636</v>
      </c>
      <c r="H36" s="1021">
        <f t="shared" si="1"/>
        <v>65232.238279603262</v>
      </c>
      <c r="I36" s="11">
        <v>0</v>
      </c>
      <c r="J36" s="1021">
        <f t="shared" si="2"/>
        <v>0</v>
      </c>
      <c r="K36" s="11">
        <v>0</v>
      </c>
      <c r="L36" s="1021">
        <f t="shared" si="3"/>
        <v>0</v>
      </c>
      <c r="M36" s="11">
        <v>32099.525653333378</v>
      </c>
      <c r="N36" s="1021">
        <f t="shared" si="4"/>
        <v>12857.306717506304</v>
      </c>
      <c r="O36" s="11">
        <v>0</v>
      </c>
      <c r="P36" s="1021">
        <f t="shared" si="5"/>
        <v>0</v>
      </c>
      <c r="Q36" s="1021">
        <f t="shared" si="6"/>
        <v>142714.95494574209</v>
      </c>
      <c r="R36" s="11">
        <v>141151.92344610498</v>
      </c>
      <c r="S36" s="1096" t="s">
        <v>1062</v>
      </c>
      <c r="T36" s="11">
        <v>193</v>
      </c>
      <c r="U36" s="11">
        <v>0</v>
      </c>
      <c r="V36" s="11">
        <v>0</v>
      </c>
      <c r="W36" s="1021">
        <f t="shared" si="7"/>
        <v>56543.266707197276</v>
      </c>
      <c r="X36" s="11">
        <v>182699.11439169041</v>
      </c>
      <c r="Y36" s="1021">
        <f t="shared" si="8"/>
        <v>64404.700611207154</v>
      </c>
      <c r="Z36" s="11">
        <v>0</v>
      </c>
      <c r="AA36" s="1021">
        <f t="shared" si="9"/>
        <v>0</v>
      </c>
      <c r="AB36" s="11">
        <v>0</v>
      </c>
      <c r="AC36" s="1021">
        <f t="shared" si="10"/>
        <v>0</v>
      </c>
      <c r="AD36" s="11">
        <v>24317.539641717794</v>
      </c>
      <c r="AE36" s="1021">
        <f t="shared" si="11"/>
        <v>9740.2705935692247</v>
      </c>
      <c r="AF36" s="11">
        <v>0</v>
      </c>
      <c r="AG36" s="1021">
        <f t="shared" si="12"/>
        <v>0</v>
      </c>
      <c r="AH36" s="1021">
        <f t="shared" si="13"/>
        <v>130688.23791197364</v>
      </c>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row>
    <row r="37" spans="1:92" x14ac:dyDescent="0.25">
      <c r="A37" s="9" t="s">
        <v>35</v>
      </c>
      <c r="B37" s="10">
        <v>2002</v>
      </c>
      <c r="C37" s="11">
        <v>430</v>
      </c>
      <c r="D37" s="11">
        <v>0</v>
      </c>
      <c r="E37" s="11">
        <v>0</v>
      </c>
      <c r="F37" s="1021">
        <f t="shared" si="0"/>
        <v>131701.07240716583</v>
      </c>
      <c r="G37" s="11">
        <v>44150.837308183312</v>
      </c>
      <c r="H37" s="1021">
        <f t="shared" si="1"/>
        <v>15563.958632396039</v>
      </c>
      <c r="I37" s="11">
        <v>1356.3710512820512</v>
      </c>
      <c r="J37" s="1021">
        <f t="shared" si="2"/>
        <v>1356.3710512820512</v>
      </c>
      <c r="K37" s="11">
        <v>0</v>
      </c>
      <c r="L37" s="1021">
        <f t="shared" si="3"/>
        <v>0</v>
      </c>
      <c r="M37" s="11">
        <v>15998.501478260863</v>
      </c>
      <c r="N37" s="1021">
        <f t="shared" si="4"/>
        <v>6408.1208784191876</v>
      </c>
      <c r="O37" s="11">
        <v>0</v>
      </c>
      <c r="P37" s="1021">
        <f t="shared" si="5"/>
        <v>0</v>
      </c>
      <c r="Q37" s="1021">
        <f t="shared" si="6"/>
        <v>155029.52296926311</v>
      </c>
      <c r="R37" s="11">
        <v>160295.97500143791</v>
      </c>
      <c r="S37" s="1096" t="s">
        <v>1064</v>
      </c>
      <c r="T37" s="11">
        <v>426</v>
      </c>
      <c r="U37" s="11">
        <v>0</v>
      </c>
      <c r="V37" s="11">
        <v>0</v>
      </c>
      <c r="W37" s="1021">
        <f t="shared" si="7"/>
        <v>124805.34516718156</v>
      </c>
      <c r="X37" s="11">
        <v>51730.536970747955</v>
      </c>
      <c r="Y37" s="1021">
        <f t="shared" si="8"/>
        <v>18235.938127839872</v>
      </c>
      <c r="Z37" s="11">
        <v>1346.8932574766354</v>
      </c>
      <c r="AA37" s="1021">
        <f t="shared" si="9"/>
        <v>1346.8932574766354</v>
      </c>
      <c r="AB37" s="11">
        <v>0</v>
      </c>
      <c r="AC37" s="1021">
        <f t="shared" si="10"/>
        <v>0</v>
      </c>
      <c r="AD37" s="11">
        <v>9960.1802950819656</v>
      </c>
      <c r="AE37" s="1021">
        <f t="shared" si="11"/>
        <v>3989.5011034916261</v>
      </c>
      <c r="AF37" s="11">
        <v>0</v>
      </c>
      <c r="AG37" s="1021">
        <f t="shared" si="12"/>
        <v>0</v>
      </c>
      <c r="AH37" s="1021">
        <f t="shared" si="13"/>
        <v>148377.67765598968</v>
      </c>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row>
    <row r="38" spans="1:92" x14ac:dyDescent="0.25">
      <c r="A38" s="9" t="s">
        <v>36</v>
      </c>
      <c r="B38" s="10">
        <v>3544</v>
      </c>
      <c r="C38" s="11">
        <v>532</v>
      </c>
      <c r="D38" s="11">
        <v>0</v>
      </c>
      <c r="E38" s="11">
        <v>0</v>
      </c>
      <c r="F38" s="1021">
        <f t="shared" si="0"/>
        <v>162941.79190840054</v>
      </c>
      <c r="G38" s="11">
        <v>394700.13321867283</v>
      </c>
      <c r="H38" s="1021">
        <f t="shared" si="1"/>
        <v>139138.84583289688</v>
      </c>
      <c r="I38" s="11">
        <v>13356.424571428572</v>
      </c>
      <c r="J38" s="1021">
        <f t="shared" si="2"/>
        <v>13356.424571428572</v>
      </c>
      <c r="K38" s="11">
        <v>0</v>
      </c>
      <c r="L38" s="1021">
        <f t="shared" si="3"/>
        <v>0</v>
      </c>
      <c r="M38" s="11">
        <v>219909.08263728805</v>
      </c>
      <c r="N38" s="1021">
        <f t="shared" si="4"/>
        <v>88083.498677477721</v>
      </c>
      <c r="O38" s="11">
        <v>0</v>
      </c>
      <c r="P38" s="1021">
        <f t="shared" si="5"/>
        <v>0</v>
      </c>
      <c r="Q38" s="1021">
        <f t="shared" si="6"/>
        <v>403520.56099020375</v>
      </c>
      <c r="R38" s="11">
        <v>420930.61802421027</v>
      </c>
      <c r="S38" s="1096" t="s">
        <v>1065</v>
      </c>
      <c r="T38" s="11">
        <v>537</v>
      </c>
      <c r="U38" s="11">
        <v>0</v>
      </c>
      <c r="V38" s="11">
        <v>0</v>
      </c>
      <c r="W38" s="1021">
        <f t="shared" si="7"/>
        <v>157325.04778116549</v>
      </c>
      <c r="X38" s="11">
        <v>447360.96678965638</v>
      </c>
      <c r="Y38" s="1021">
        <f t="shared" si="8"/>
        <v>157702.73012630679</v>
      </c>
      <c r="Z38" s="11">
        <v>0</v>
      </c>
      <c r="AA38" s="1021">
        <f t="shared" si="9"/>
        <v>0</v>
      </c>
      <c r="AB38" s="11">
        <v>0</v>
      </c>
      <c r="AC38" s="1021">
        <f t="shared" si="10"/>
        <v>0</v>
      </c>
      <c r="AD38" s="11">
        <v>206933.80079873133</v>
      </c>
      <c r="AE38" s="1021">
        <f t="shared" si="11"/>
        <v>82886.313518229465</v>
      </c>
      <c r="AF38" s="11">
        <v>0</v>
      </c>
      <c r="AG38" s="1021">
        <f t="shared" si="12"/>
        <v>0</v>
      </c>
      <c r="AH38" s="1021">
        <f t="shared" si="13"/>
        <v>397914.09142570174</v>
      </c>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row>
    <row r="39" spans="1:92" x14ac:dyDescent="0.25">
      <c r="A39" s="9" t="s">
        <v>100</v>
      </c>
      <c r="B39" s="10">
        <v>2006</v>
      </c>
      <c r="C39" s="11">
        <v>288</v>
      </c>
      <c r="D39" s="11">
        <v>0</v>
      </c>
      <c r="E39" s="11">
        <v>0</v>
      </c>
      <c r="F39" s="1021">
        <f t="shared" si="0"/>
        <v>88209.090356427361</v>
      </c>
      <c r="G39" s="11">
        <v>14876.788480009202</v>
      </c>
      <c r="H39" s="1021">
        <f t="shared" si="1"/>
        <v>5244.3336208904275</v>
      </c>
      <c r="I39" s="11">
        <v>0</v>
      </c>
      <c r="J39" s="1021">
        <f t="shared" si="2"/>
        <v>0</v>
      </c>
      <c r="K39" s="11">
        <v>0</v>
      </c>
      <c r="L39" s="1021">
        <f t="shared" si="3"/>
        <v>0</v>
      </c>
      <c r="M39" s="11">
        <v>5381.0335021834107</v>
      </c>
      <c r="N39" s="1021">
        <f t="shared" si="4"/>
        <v>2155.3464353939653</v>
      </c>
      <c r="O39" s="11">
        <v>0</v>
      </c>
      <c r="P39" s="1021">
        <f t="shared" si="5"/>
        <v>0</v>
      </c>
      <c r="Q39" s="1021">
        <f t="shared" si="6"/>
        <v>95608.770412711747</v>
      </c>
      <c r="R39" s="11">
        <v>89563.77255897435</v>
      </c>
      <c r="S39" s="1096" t="s">
        <v>1066</v>
      </c>
      <c r="T39" s="11">
        <v>246</v>
      </c>
      <c r="U39" s="11">
        <v>0</v>
      </c>
      <c r="V39" s="11">
        <v>0</v>
      </c>
      <c r="W39" s="1021">
        <f t="shared" si="7"/>
        <v>72070.692279640061</v>
      </c>
      <c r="X39" s="11">
        <v>14177.172832281145</v>
      </c>
      <c r="Y39" s="1021">
        <f t="shared" si="8"/>
        <v>4997.7066107657929</v>
      </c>
      <c r="Z39" s="11">
        <v>5690.449712820513</v>
      </c>
      <c r="AA39" s="1021">
        <f t="shared" si="9"/>
        <v>5690.449712820513</v>
      </c>
      <c r="AB39" s="11">
        <v>0</v>
      </c>
      <c r="AC39" s="1021">
        <f t="shared" si="10"/>
        <v>0</v>
      </c>
      <c r="AD39" s="11">
        <v>6347.0506974874324</v>
      </c>
      <c r="AE39" s="1021">
        <f t="shared" si="11"/>
        <v>2542.2798595369231</v>
      </c>
      <c r="AF39" s="11">
        <v>0</v>
      </c>
      <c r="AG39" s="1021">
        <f t="shared" si="12"/>
        <v>0</v>
      </c>
      <c r="AH39" s="1021">
        <f t="shared" si="13"/>
        <v>85301.128462763285</v>
      </c>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row>
    <row r="40" spans="1:92" x14ac:dyDescent="0.25">
      <c r="A40" s="9" t="s">
        <v>37</v>
      </c>
      <c r="B40" s="10">
        <v>2434</v>
      </c>
      <c r="C40" s="11">
        <v>527.5</v>
      </c>
      <c r="D40" s="11">
        <v>0</v>
      </c>
      <c r="E40" s="11">
        <v>0</v>
      </c>
      <c r="F40" s="1021">
        <f t="shared" si="0"/>
        <v>161563.52487158135</v>
      </c>
      <c r="G40" s="11">
        <v>376519.49334112532</v>
      </c>
      <c r="H40" s="1021">
        <f t="shared" si="1"/>
        <v>132729.84559153131</v>
      </c>
      <c r="I40" s="11">
        <v>9151.5616570512811</v>
      </c>
      <c r="J40" s="1021">
        <f t="shared" si="2"/>
        <v>9151.5616570512811</v>
      </c>
      <c r="K40" s="11">
        <v>0</v>
      </c>
      <c r="L40" s="1021">
        <f t="shared" si="3"/>
        <v>0</v>
      </c>
      <c r="M40" s="11">
        <v>17560.166708237979</v>
      </c>
      <c r="N40" s="1021">
        <f t="shared" si="4"/>
        <v>7033.6381857067399</v>
      </c>
      <c r="O40" s="11">
        <v>15373.865310734165</v>
      </c>
      <c r="P40" s="1021">
        <f t="shared" si="5"/>
        <v>15373.865310734165</v>
      </c>
      <c r="Q40" s="1021">
        <f t="shared" si="6"/>
        <v>325852.43561660487</v>
      </c>
      <c r="R40" s="11">
        <v>323430.28310895426</v>
      </c>
      <c r="S40" s="1096" t="s">
        <v>1067</v>
      </c>
      <c r="T40" s="11">
        <v>431</v>
      </c>
      <c r="U40" s="11">
        <v>0</v>
      </c>
      <c r="V40" s="11">
        <v>0</v>
      </c>
      <c r="W40" s="1021">
        <f t="shared" si="7"/>
        <v>126270.19663627993</v>
      </c>
      <c r="X40" s="11">
        <v>395016.7202162394</v>
      </c>
      <c r="Y40" s="1021">
        <f t="shared" si="8"/>
        <v>139250.44840340503</v>
      </c>
      <c r="Z40" s="11">
        <v>19050.43510075377</v>
      </c>
      <c r="AA40" s="1021">
        <f t="shared" si="9"/>
        <v>19050.43510075377</v>
      </c>
      <c r="AB40" s="11">
        <v>0</v>
      </c>
      <c r="AC40" s="1021">
        <f t="shared" si="10"/>
        <v>0</v>
      </c>
      <c r="AD40" s="11">
        <v>14669.02769659092</v>
      </c>
      <c r="AE40" s="1021">
        <f t="shared" si="11"/>
        <v>5875.6067108137731</v>
      </c>
      <c r="AF40" s="11">
        <v>33498.152812641049</v>
      </c>
      <c r="AG40" s="1021">
        <f t="shared" si="12"/>
        <v>33498.152812641049</v>
      </c>
      <c r="AH40" s="1021">
        <f t="shared" si="13"/>
        <v>323944.83966389357</v>
      </c>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row>
    <row r="41" spans="1:92" x14ac:dyDescent="0.25">
      <c r="A41" s="9" t="s">
        <v>38</v>
      </c>
      <c r="B41" s="10">
        <v>2522</v>
      </c>
      <c r="C41" s="11">
        <v>395</v>
      </c>
      <c r="D41" s="11">
        <v>0</v>
      </c>
      <c r="E41" s="11">
        <v>0</v>
      </c>
      <c r="F41" s="1021">
        <f t="shared" si="0"/>
        <v>120981.21767635002</v>
      </c>
      <c r="G41" s="11">
        <v>74750.684215462912</v>
      </c>
      <c r="H41" s="1021">
        <f t="shared" si="1"/>
        <v>26350.951143957722</v>
      </c>
      <c r="I41" s="11">
        <v>0</v>
      </c>
      <c r="J41" s="1021">
        <f t="shared" si="2"/>
        <v>0</v>
      </c>
      <c r="K41" s="11">
        <v>0</v>
      </c>
      <c r="L41" s="1021">
        <f t="shared" si="3"/>
        <v>0</v>
      </c>
      <c r="M41" s="11">
        <v>9080.9959970149102</v>
      </c>
      <c r="N41" s="1021">
        <f t="shared" si="4"/>
        <v>3637.3481681634444</v>
      </c>
      <c r="O41" s="11">
        <v>0</v>
      </c>
      <c r="P41" s="1021">
        <f t="shared" si="5"/>
        <v>0</v>
      </c>
      <c r="Q41" s="1021">
        <f t="shared" si="6"/>
        <v>150969.51698847118</v>
      </c>
      <c r="R41" s="11">
        <v>146163.84385480935</v>
      </c>
      <c r="S41" s="1096" t="s">
        <v>1068</v>
      </c>
      <c r="T41" s="11">
        <v>412</v>
      </c>
      <c r="U41" s="11">
        <v>0</v>
      </c>
      <c r="V41" s="11">
        <v>0</v>
      </c>
      <c r="W41" s="1021">
        <f t="shared" si="7"/>
        <v>120703.76105370611</v>
      </c>
      <c r="X41" s="11">
        <v>51191.055104805746</v>
      </c>
      <c r="Y41" s="1021">
        <f t="shared" si="8"/>
        <v>18045.761135592973</v>
      </c>
      <c r="Z41" s="11">
        <v>2732.9670607843136</v>
      </c>
      <c r="AA41" s="1021">
        <f t="shared" si="9"/>
        <v>2732.9670607843136</v>
      </c>
      <c r="AB41" s="11">
        <v>0</v>
      </c>
      <c r="AC41" s="1021">
        <f t="shared" si="10"/>
        <v>0</v>
      </c>
      <c r="AD41" s="11">
        <v>8863.2986882681653</v>
      </c>
      <c r="AE41" s="1021">
        <f t="shared" si="11"/>
        <v>3550.1505846115547</v>
      </c>
      <c r="AF41" s="11">
        <v>0</v>
      </c>
      <c r="AG41" s="1021">
        <f t="shared" si="12"/>
        <v>0</v>
      </c>
      <c r="AH41" s="1021">
        <f t="shared" si="13"/>
        <v>145032.63983469494</v>
      </c>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row>
    <row r="42" spans="1:92" x14ac:dyDescent="0.25">
      <c r="A42" s="9" t="s">
        <v>39</v>
      </c>
      <c r="B42" s="10">
        <v>2436</v>
      </c>
      <c r="C42" s="11">
        <v>347</v>
      </c>
      <c r="D42" s="11">
        <v>0</v>
      </c>
      <c r="E42" s="11">
        <v>0</v>
      </c>
      <c r="F42" s="1021">
        <f t="shared" si="0"/>
        <v>106279.70261694546</v>
      </c>
      <c r="G42" s="11">
        <v>111910.87552562324</v>
      </c>
      <c r="H42" s="1021">
        <f t="shared" si="1"/>
        <v>39450.582217456293</v>
      </c>
      <c r="I42" s="11">
        <v>1377.0269645161291</v>
      </c>
      <c r="J42" s="1021">
        <f t="shared" si="2"/>
        <v>1377.0269645161291</v>
      </c>
      <c r="K42" s="11">
        <v>0</v>
      </c>
      <c r="L42" s="1021">
        <f t="shared" si="3"/>
        <v>0</v>
      </c>
      <c r="M42" s="11">
        <v>13174.795808191138</v>
      </c>
      <c r="N42" s="1021">
        <f t="shared" si="4"/>
        <v>5277.0994959808459</v>
      </c>
      <c r="O42" s="11">
        <v>0</v>
      </c>
      <c r="P42" s="1021">
        <f t="shared" si="5"/>
        <v>0</v>
      </c>
      <c r="Q42" s="1021">
        <f t="shared" si="6"/>
        <v>152384.41129489872</v>
      </c>
      <c r="R42" s="11">
        <v>143345.30392254211</v>
      </c>
      <c r="S42" s="1096" t="s">
        <v>1069</v>
      </c>
      <c r="T42" s="11">
        <v>321</v>
      </c>
      <c r="U42" s="11">
        <v>0</v>
      </c>
      <c r="V42" s="11">
        <v>0</v>
      </c>
      <c r="W42" s="1021">
        <f t="shared" si="7"/>
        <v>94043.464316115686</v>
      </c>
      <c r="X42" s="11">
        <v>85007.51395236289</v>
      </c>
      <c r="Y42" s="1021">
        <f t="shared" si="8"/>
        <v>29966.6668009528</v>
      </c>
      <c r="Z42" s="11">
        <v>2775.6074166134181</v>
      </c>
      <c r="AA42" s="1021">
        <f t="shared" si="9"/>
        <v>2775.6074166134181</v>
      </c>
      <c r="AB42" s="11">
        <v>0</v>
      </c>
      <c r="AC42" s="1021">
        <f t="shared" si="10"/>
        <v>0</v>
      </c>
      <c r="AD42" s="11">
        <v>5202.4725340908981</v>
      </c>
      <c r="AE42" s="1021">
        <f t="shared" si="11"/>
        <v>2083.8247201096187</v>
      </c>
      <c r="AF42" s="11">
        <v>0</v>
      </c>
      <c r="AG42" s="1021">
        <f t="shared" si="12"/>
        <v>0</v>
      </c>
      <c r="AH42" s="1021">
        <f t="shared" si="13"/>
        <v>128869.56325379152</v>
      </c>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row>
    <row r="43" spans="1:92" x14ac:dyDescent="0.25">
      <c r="A43" s="9" t="s">
        <v>40</v>
      </c>
      <c r="B43" s="10">
        <v>2452</v>
      </c>
      <c r="C43" s="11">
        <v>195</v>
      </c>
      <c r="D43" s="11">
        <v>0</v>
      </c>
      <c r="E43" s="11">
        <v>0</v>
      </c>
      <c r="F43" s="1021">
        <f t="shared" si="0"/>
        <v>59724.90492883102</v>
      </c>
      <c r="G43" s="11">
        <v>107023.52846809843</v>
      </c>
      <c r="H43" s="1021">
        <f t="shared" si="1"/>
        <v>37727.705097493279</v>
      </c>
      <c r="I43" s="11">
        <v>0</v>
      </c>
      <c r="J43" s="1021">
        <f t="shared" si="2"/>
        <v>0</v>
      </c>
      <c r="K43" s="11">
        <v>0</v>
      </c>
      <c r="L43" s="1021">
        <f t="shared" si="3"/>
        <v>0</v>
      </c>
      <c r="M43" s="11">
        <v>11057.524102409645</v>
      </c>
      <c r="N43" s="1021">
        <f t="shared" si="4"/>
        <v>4429.0367545084182</v>
      </c>
      <c r="O43" s="11">
        <v>0</v>
      </c>
      <c r="P43" s="1021">
        <f t="shared" si="5"/>
        <v>0</v>
      </c>
      <c r="Q43" s="1021">
        <f t="shared" si="6"/>
        <v>101881.64678083271</v>
      </c>
      <c r="R43" s="11">
        <v>107933.82404315835</v>
      </c>
      <c r="S43" s="1096" t="s">
        <v>1070</v>
      </c>
      <c r="T43" s="11">
        <v>207</v>
      </c>
      <c r="U43" s="11">
        <v>0</v>
      </c>
      <c r="V43" s="11">
        <v>0</v>
      </c>
      <c r="W43" s="1021">
        <f t="shared" si="7"/>
        <v>60644.850820672727</v>
      </c>
      <c r="X43" s="11">
        <v>120977.72764662586</v>
      </c>
      <c r="Y43" s="1021">
        <f t="shared" si="8"/>
        <v>42646.809513267544</v>
      </c>
      <c r="Z43" s="11">
        <v>1379.8810684729062</v>
      </c>
      <c r="AA43" s="1021">
        <f t="shared" si="9"/>
        <v>1379.8810684729062</v>
      </c>
      <c r="AB43" s="11">
        <v>0</v>
      </c>
      <c r="AC43" s="1021">
        <f t="shared" si="10"/>
        <v>0</v>
      </c>
      <c r="AD43" s="11">
        <v>5937.5496067039103</v>
      </c>
      <c r="AE43" s="1021">
        <f t="shared" si="11"/>
        <v>2378.256216875699</v>
      </c>
      <c r="AF43" s="11">
        <v>0</v>
      </c>
      <c r="AG43" s="1021">
        <f t="shared" si="12"/>
        <v>0</v>
      </c>
      <c r="AH43" s="1021">
        <f t="shared" si="13"/>
        <v>107049.79761928887</v>
      </c>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row>
    <row r="44" spans="1:92" x14ac:dyDescent="0.25">
      <c r="A44" s="9" t="s">
        <v>41</v>
      </c>
      <c r="B44" s="10">
        <v>2627</v>
      </c>
      <c r="C44" s="11">
        <v>394</v>
      </c>
      <c r="D44" s="11">
        <v>0</v>
      </c>
      <c r="E44" s="11">
        <v>0</v>
      </c>
      <c r="F44" s="1021">
        <f t="shared" si="0"/>
        <v>120674.93611261243</v>
      </c>
      <c r="G44" s="11">
        <v>40974.595081402345</v>
      </c>
      <c r="H44" s="1021">
        <f t="shared" si="1"/>
        <v>14444.276523560344</v>
      </c>
      <c r="I44" s="11">
        <v>0</v>
      </c>
      <c r="J44" s="1021">
        <f t="shared" si="2"/>
        <v>0</v>
      </c>
      <c r="K44" s="11">
        <v>0</v>
      </c>
      <c r="L44" s="1021">
        <f t="shared" si="3"/>
        <v>0</v>
      </c>
      <c r="M44" s="11">
        <v>29450.645779518058</v>
      </c>
      <c r="N44" s="1021">
        <f t="shared" si="4"/>
        <v>11796.310945690708</v>
      </c>
      <c r="O44" s="11">
        <v>0</v>
      </c>
      <c r="P44" s="1021">
        <f t="shared" si="5"/>
        <v>0</v>
      </c>
      <c r="Q44" s="1021">
        <f t="shared" si="6"/>
        <v>146915.52358186347</v>
      </c>
      <c r="R44" s="11">
        <v>148364.54638100957</v>
      </c>
      <c r="S44" s="1096" t="s">
        <v>1071</v>
      </c>
      <c r="T44" s="11">
        <v>388</v>
      </c>
      <c r="U44" s="11">
        <v>0</v>
      </c>
      <c r="V44" s="11">
        <v>0</v>
      </c>
      <c r="W44" s="1021">
        <f t="shared" si="7"/>
        <v>113672.47400203391</v>
      </c>
      <c r="X44" s="11">
        <v>42480.39437517144</v>
      </c>
      <c r="Y44" s="1021">
        <f t="shared" si="8"/>
        <v>14975.097666392203</v>
      </c>
      <c r="Z44" s="11">
        <v>0</v>
      </c>
      <c r="AA44" s="1021">
        <f t="shared" si="9"/>
        <v>0</v>
      </c>
      <c r="AB44" s="11">
        <v>0</v>
      </c>
      <c r="AC44" s="1021">
        <f t="shared" si="10"/>
        <v>0</v>
      </c>
      <c r="AD44" s="11">
        <v>26080.491161329312</v>
      </c>
      <c r="AE44" s="1021">
        <f t="shared" si="11"/>
        <v>10446.412131626041</v>
      </c>
      <c r="AF44" s="11">
        <v>0</v>
      </c>
      <c r="AG44" s="1021">
        <f t="shared" si="12"/>
        <v>0</v>
      </c>
      <c r="AH44" s="1021">
        <f t="shared" si="13"/>
        <v>139093.98380005214</v>
      </c>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row>
    <row r="45" spans="1:92" x14ac:dyDescent="0.25">
      <c r="A45" s="9" t="s">
        <v>42</v>
      </c>
      <c r="B45" s="10">
        <v>2009</v>
      </c>
      <c r="C45" s="11">
        <v>275</v>
      </c>
      <c r="D45" s="11">
        <v>0</v>
      </c>
      <c r="E45" s="11">
        <v>0</v>
      </c>
      <c r="F45" s="1021">
        <f t="shared" si="0"/>
        <v>84227.430027838622</v>
      </c>
      <c r="G45" s="11">
        <v>239307.42576284808</v>
      </c>
      <c r="H45" s="1021">
        <f t="shared" si="1"/>
        <v>84360.141326420751</v>
      </c>
      <c r="I45" s="11">
        <v>0</v>
      </c>
      <c r="J45" s="1021">
        <f t="shared" si="2"/>
        <v>0</v>
      </c>
      <c r="K45" s="11">
        <v>0</v>
      </c>
      <c r="L45" s="1021">
        <f t="shared" si="3"/>
        <v>0</v>
      </c>
      <c r="M45" s="11">
        <v>18025.031106382987</v>
      </c>
      <c r="N45" s="1021">
        <f t="shared" si="4"/>
        <v>7219.8373281348349</v>
      </c>
      <c r="O45" s="11">
        <v>0</v>
      </c>
      <c r="P45" s="1021">
        <f t="shared" si="5"/>
        <v>0</v>
      </c>
      <c r="Q45" s="1021">
        <f t="shared" si="6"/>
        <v>175807.40868239419</v>
      </c>
      <c r="R45" s="11">
        <v>199312.57643430005</v>
      </c>
      <c r="S45" s="1096" t="s">
        <v>1072</v>
      </c>
      <c r="T45" s="11">
        <v>276</v>
      </c>
      <c r="U45" s="11">
        <v>0</v>
      </c>
      <c r="V45" s="11">
        <v>0</v>
      </c>
      <c r="W45" s="1021">
        <f t="shared" si="7"/>
        <v>80859.801094230308</v>
      </c>
      <c r="X45" s="11">
        <v>288077.79275282728</v>
      </c>
      <c r="Y45" s="1021">
        <f t="shared" si="8"/>
        <v>101552.56667093666</v>
      </c>
      <c r="Z45" s="11">
        <v>0</v>
      </c>
      <c r="AA45" s="1021">
        <f t="shared" si="9"/>
        <v>0</v>
      </c>
      <c r="AB45" s="11">
        <v>0</v>
      </c>
      <c r="AC45" s="1021">
        <f t="shared" si="10"/>
        <v>0</v>
      </c>
      <c r="AD45" s="11">
        <v>9706.1313205479437</v>
      </c>
      <c r="AE45" s="1021">
        <f t="shared" si="11"/>
        <v>3887.7430394589051</v>
      </c>
      <c r="AF45" s="11">
        <v>0</v>
      </c>
      <c r="AG45" s="1021">
        <f t="shared" si="12"/>
        <v>0</v>
      </c>
      <c r="AH45" s="1021">
        <f t="shared" si="13"/>
        <v>186300.11080462587</v>
      </c>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row>
    <row r="46" spans="1:92" x14ac:dyDescent="0.25">
      <c r="A46" s="9" t="s">
        <v>101</v>
      </c>
      <c r="B46" s="10">
        <v>2473</v>
      </c>
      <c r="C46" s="11">
        <v>262</v>
      </c>
      <c r="D46" s="11">
        <v>0</v>
      </c>
      <c r="E46" s="11">
        <v>0</v>
      </c>
      <c r="F46" s="1021">
        <f t="shared" si="0"/>
        <v>80245.769699249882</v>
      </c>
      <c r="G46" s="11">
        <v>148498.60533756611</v>
      </c>
      <c r="H46" s="1021">
        <f t="shared" si="1"/>
        <v>52348.410389354074</v>
      </c>
      <c r="I46" s="11">
        <v>0</v>
      </c>
      <c r="J46" s="1021">
        <f t="shared" si="2"/>
        <v>0</v>
      </c>
      <c r="K46" s="11">
        <v>0</v>
      </c>
      <c r="L46" s="1021">
        <f t="shared" si="3"/>
        <v>0</v>
      </c>
      <c r="M46" s="11">
        <v>9071.7675676300478</v>
      </c>
      <c r="N46" s="1021">
        <f t="shared" si="4"/>
        <v>3633.6517662787737</v>
      </c>
      <c r="O46" s="11">
        <v>0</v>
      </c>
      <c r="P46" s="1021">
        <f t="shared" si="5"/>
        <v>0</v>
      </c>
      <c r="Q46" s="1021">
        <f t="shared" si="6"/>
        <v>136227.83185488274</v>
      </c>
      <c r="R46" s="11">
        <v>150134.03645747819</v>
      </c>
      <c r="S46" s="1096" t="s">
        <v>1073</v>
      </c>
      <c r="T46" s="11">
        <v>267</v>
      </c>
      <c r="U46" s="11">
        <v>0</v>
      </c>
      <c r="V46" s="11">
        <v>0</v>
      </c>
      <c r="W46" s="1021">
        <f t="shared" si="7"/>
        <v>78223.068449853236</v>
      </c>
      <c r="X46" s="11">
        <v>184834.62692775231</v>
      </c>
      <c r="Y46" s="1021">
        <f t="shared" si="8"/>
        <v>65157.506917874191</v>
      </c>
      <c r="Z46" s="11">
        <v>5372.6224371747212</v>
      </c>
      <c r="AA46" s="1021">
        <f t="shared" si="9"/>
        <v>5372.6224371747212</v>
      </c>
      <c r="AB46" s="11">
        <v>0</v>
      </c>
      <c r="AC46" s="1021">
        <f t="shared" si="10"/>
        <v>0</v>
      </c>
      <c r="AD46" s="11">
        <v>7745.1160881356009</v>
      </c>
      <c r="AE46" s="1021">
        <f t="shared" si="11"/>
        <v>3102.2680578929667</v>
      </c>
      <c r="AF46" s="11">
        <v>0</v>
      </c>
      <c r="AG46" s="1021">
        <f t="shared" si="12"/>
        <v>0</v>
      </c>
      <c r="AH46" s="1021">
        <f t="shared" si="13"/>
        <v>151855.46586279513</v>
      </c>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row>
    <row r="47" spans="1:92" x14ac:dyDescent="0.25">
      <c r="A47" s="9" t="s">
        <v>44</v>
      </c>
      <c r="B47" s="10">
        <v>2471</v>
      </c>
      <c r="C47" s="11">
        <v>353</v>
      </c>
      <c r="D47" s="11">
        <v>0</v>
      </c>
      <c r="E47" s="11">
        <v>0</v>
      </c>
      <c r="F47" s="1021">
        <f t="shared" si="0"/>
        <v>108117.39199937103</v>
      </c>
      <c r="G47" s="11">
        <v>231883.42479901674</v>
      </c>
      <c r="H47" s="1021">
        <f t="shared" si="1"/>
        <v>81743.048402873334</v>
      </c>
      <c r="I47" s="11">
        <v>1345.592943943662</v>
      </c>
      <c r="J47" s="1021">
        <f t="shared" si="2"/>
        <v>1345.592943943662</v>
      </c>
      <c r="K47" s="11">
        <v>0</v>
      </c>
      <c r="L47" s="1021">
        <f t="shared" si="3"/>
        <v>0</v>
      </c>
      <c r="M47" s="11">
        <v>880.6823072886292</v>
      </c>
      <c r="N47" s="1021">
        <f t="shared" si="4"/>
        <v>352.75295553519135</v>
      </c>
      <c r="O47" s="11">
        <v>0</v>
      </c>
      <c r="P47" s="1021">
        <f t="shared" si="5"/>
        <v>0</v>
      </c>
      <c r="Q47" s="1021">
        <f t="shared" si="6"/>
        <v>191558.78630172322</v>
      </c>
      <c r="R47" s="11">
        <v>201476.80927828417</v>
      </c>
      <c r="S47" s="1096" t="s">
        <v>1074</v>
      </c>
      <c r="T47" s="11">
        <v>346</v>
      </c>
      <c r="U47" s="11">
        <v>0</v>
      </c>
      <c r="V47" s="11">
        <v>0</v>
      </c>
      <c r="W47" s="1021">
        <f t="shared" si="7"/>
        <v>101367.72166160756</v>
      </c>
      <c r="X47" s="11">
        <v>250325.41623040254</v>
      </c>
      <c r="Y47" s="1021">
        <f t="shared" si="8"/>
        <v>88244.179734393751</v>
      </c>
      <c r="Z47" s="11">
        <v>2690.8791850574712</v>
      </c>
      <c r="AA47" s="1021">
        <f t="shared" si="9"/>
        <v>2690.8791850574712</v>
      </c>
      <c r="AB47" s="11">
        <v>0</v>
      </c>
      <c r="AC47" s="1021">
        <f t="shared" si="10"/>
        <v>0</v>
      </c>
      <c r="AD47" s="11">
        <v>8557.337999999987</v>
      </c>
      <c r="AE47" s="1021">
        <f t="shared" si="11"/>
        <v>3427.5995396195617</v>
      </c>
      <c r="AF47" s="11">
        <v>0</v>
      </c>
      <c r="AG47" s="1021">
        <f t="shared" si="12"/>
        <v>0</v>
      </c>
      <c r="AH47" s="1021">
        <f t="shared" si="13"/>
        <v>195730.38012067834</v>
      </c>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row>
    <row r="48" spans="1:92" x14ac:dyDescent="0.25">
      <c r="A48" s="9" t="s">
        <v>43</v>
      </c>
      <c r="B48" s="10">
        <v>2420</v>
      </c>
      <c r="C48" s="11">
        <v>520.83333333333337</v>
      </c>
      <c r="D48" s="11">
        <v>0</v>
      </c>
      <c r="E48" s="11">
        <v>0</v>
      </c>
      <c r="F48" s="1021">
        <f t="shared" si="0"/>
        <v>159521.64777999741</v>
      </c>
      <c r="G48" s="11">
        <v>608237.06911745341</v>
      </c>
      <c r="H48" s="1021">
        <f t="shared" si="1"/>
        <v>214414.42925204127</v>
      </c>
      <c r="I48" s="11">
        <v>1387.4022924868766</v>
      </c>
      <c r="J48" s="1021">
        <f t="shared" si="2"/>
        <v>1387.4022924868766</v>
      </c>
      <c r="K48" s="11">
        <v>0</v>
      </c>
      <c r="L48" s="1021">
        <f t="shared" si="3"/>
        <v>0</v>
      </c>
      <c r="M48" s="11">
        <v>118514.26917613641</v>
      </c>
      <c r="N48" s="1021">
        <f t="shared" si="4"/>
        <v>47470.306123992596</v>
      </c>
      <c r="O48" s="11">
        <v>67222.588157019083</v>
      </c>
      <c r="P48" s="1021">
        <f t="shared" si="5"/>
        <v>67222.588157019083</v>
      </c>
      <c r="Q48" s="1021">
        <f t="shared" si="6"/>
        <v>490016.37360553723</v>
      </c>
      <c r="R48" s="11">
        <v>526037.47028522438</v>
      </c>
      <c r="S48" s="1096" t="s">
        <v>1075</v>
      </c>
      <c r="T48" s="11">
        <v>465</v>
      </c>
      <c r="U48" s="11">
        <v>0</v>
      </c>
      <c r="V48" s="11">
        <v>0</v>
      </c>
      <c r="W48" s="1021">
        <f t="shared" si="7"/>
        <v>136231.18662614888</v>
      </c>
      <c r="X48" s="11">
        <v>669503.67432628619</v>
      </c>
      <c r="Y48" s="1021">
        <f t="shared" si="8"/>
        <v>236012.00173660374</v>
      </c>
      <c r="Z48" s="11">
        <v>4130.716184901532</v>
      </c>
      <c r="AA48" s="1021">
        <f t="shared" si="9"/>
        <v>4130.716184901532</v>
      </c>
      <c r="AB48" s="11">
        <v>0</v>
      </c>
      <c r="AC48" s="1021">
        <f t="shared" si="10"/>
        <v>0</v>
      </c>
      <c r="AD48" s="11">
        <v>114583.20384816751</v>
      </c>
      <c r="AE48" s="1021">
        <f t="shared" si="11"/>
        <v>45895.737290979268</v>
      </c>
      <c r="AF48" s="11">
        <v>60583.839999999771</v>
      </c>
      <c r="AG48" s="1021">
        <f t="shared" si="12"/>
        <v>60583.839999999771</v>
      </c>
      <c r="AH48" s="1021">
        <f t="shared" si="13"/>
        <v>482853.48183863319</v>
      </c>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row>
    <row r="49" spans="1:92" x14ac:dyDescent="0.25">
      <c r="A49" s="9" t="s">
        <v>45</v>
      </c>
      <c r="B49" s="10">
        <v>2003</v>
      </c>
      <c r="C49" s="11">
        <v>210</v>
      </c>
      <c r="D49" s="11">
        <v>0</v>
      </c>
      <c r="E49" s="11">
        <v>0</v>
      </c>
      <c r="F49" s="1021">
        <f t="shared" si="0"/>
        <v>64319.128384894946</v>
      </c>
      <c r="G49" s="11">
        <v>15973.946136038865</v>
      </c>
      <c r="H49" s="1021">
        <f t="shared" si="1"/>
        <v>5631.1012885671907</v>
      </c>
      <c r="I49" s="11">
        <v>0</v>
      </c>
      <c r="J49" s="1021">
        <f t="shared" si="2"/>
        <v>0</v>
      </c>
      <c r="K49" s="11">
        <v>0</v>
      </c>
      <c r="L49" s="1021">
        <f t="shared" si="3"/>
        <v>0</v>
      </c>
      <c r="M49" s="11">
        <v>2995.0683000000058</v>
      </c>
      <c r="N49" s="1021">
        <f t="shared" si="4"/>
        <v>1199.6598388668506</v>
      </c>
      <c r="O49" s="11">
        <v>0</v>
      </c>
      <c r="P49" s="1021">
        <f t="shared" si="5"/>
        <v>0</v>
      </c>
      <c r="Q49" s="1021">
        <f t="shared" si="6"/>
        <v>71149.889512328984</v>
      </c>
      <c r="R49" s="11">
        <v>72250.846738042033</v>
      </c>
      <c r="S49" s="1096" t="s">
        <v>1076</v>
      </c>
      <c r="T49" s="11">
        <v>208</v>
      </c>
      <c r="U49" s="11">
        <v>0</v>
      </c>
      <c r="V49" s="11">
        <v>0</v>
      </c>
      <c r="W49" s="1021">
        <f t="shared" si="7"/>
        <v>60937.821114492406</v>
      </c>
      <c r="X49" s="11">
        <v>13471.01168355112</v>
      </c>
      <c r="Y49" s="1021">
        <f t="shared" si="8"/>
        <v>4748.7721946431284</v>
      </c>
      <c r="Z49" s="11">
        <v>1321.4510497652582</v>
      </c>
      <c r="AA49" s="1021">
        <f t="shared" si="9"/>
        <v>1321.4510497652582</v>
      </c>
      <c r="AB49" s="11">
        <v>0</v>
      </c>
      <c r="AC49" s="1021">
        <f t="shared" si="10"/>
        <v>0</v>
      </c>
      <c r="AD49" s="11">
        <v>3999.834391011244</v>
      </c>
      <c r="AE49" s="1021">
        <f t="shared" si="11"/>
        <v>1602.1139421143175</v>
      </c>
      <c r="AF49" s="11">
        <v>0</v>
      </c>
      <c r="AG49" s="1021">
        <f t="shared" si="12"/>
        <v>0</v>
      </c>
      <c r="AH49" s="1021">
        <f t="shared" si="13"/>
        <v>68610.158301015108</v>
      </c>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row>
    <row r="50" spans="1:92" x14ac:dyDescent="0.25">
      <c r="A50" s="9" t="s">
        <v>46</v>
      </c>
      <c r="B50" s="10">
        <v>2423</v>
      </c>
      <c r="C50" s="11">
        <v>341</v>
      </c>
      <c r="D50" s="11">
        <v>0</v>
      </c>
      <c r="E50" s="11">
        <v>0</v>
      </c>
      <c r="F50" s="1021">
        <f t="shared" si="0"/>
        <v>104442.01323451989</v>
      </c>
      <c r="G50" s="11">
        <v>325334.06111271377</v>
      </c>
      <c r="H50" s="1021">
        <f t="shared" si="1"/>
        <v>114686.06662028514</v>
      </c>
      <c r="I50" s="11">
        <v>0</v>
      </c>
      <c r="J50" s="1021">
        <f t="shared" si="2"/>
        <v>0</v>
      </c>
      <c r="K50" s="11">
        <v>0</v>
      </c>
      <c r="L50" s="1021">
        <f t="shared" si="3"/>
        <v>0</v>
      </c>
      <c r="M50" s="11">
        <v>113431.70498456983</v>
      </c>
      <c r="N50" s="1021">
        <f t="shared" si="4"/>
        <v>45434.510099212406</v>
      </c>
      <c r="O50" s="11">
        <v>33471.072000000066</v>
      </c>
      <c r="P50" s="1021">
        <f t="shared" si="5"/>
        <v>33471.072000000066</v>
      </c>
      <c r="Q50" s="1021">
        <f t="shared" si="6"/>
        <v>298033.66195401747</v>
      </c>
      <c r="R50" s="11">
        <v>292632.51249881741</v>
      </c>
      <c r="S50" s="1096" t="s">
        <v>1078</v>
      </c>
      <c r="T50" s="11">
        <v>358</v>
      </c>
      <c r="U50" s="11">
        <v>0</v>
      </c>
      <c r="V50" s="11">
        <v>0</v>
      </c>
      <c r="W50" s="1021">
        <f t="shared" si="7"/>
        <v>104883.36518744366</v>
      </c>
      <c r="X50" s="11">
        <v>368288.17577835626</v>
      </c>
      <c r="Y50" s="1021">
        <f t="shared" si="8"/>
        <v>129828.15914914741</v>
      </c>
      <c r="Z50" s="11">
        <v>0</v>
      </c>
      <c r="AA50" s="1021">
        <f t="shared" si="9"/>
        <v>0</v>
      </c>
      <c r="AB50" s="11">
        <v>0</v>
      </c>
      <c r="AC50" s="1021">
        <f t="shared" si="10"/>
        <v>0</v>
      </c>
      <c r="AD50" s="11">
        <v>124937.1347999999</v>
      </c>
      <c r="AE50" s="1021">
        <f t="shared" si="11"/>
        <v>50042.953278445631</v>
      </c>
      <c r="AF50" s="11">
        <v>29032.25599999979</v>
      </c>
      <c r="AG50" s="1021">
        <f t="shared" si="12"/>
        <v>29032.25599999979</v>
      </c>
      <c r="AH50" s="1021">
        <f t="shared" si="13"/>
        <v>313786.73361503653</v>
      </c>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row>
    <row r="51" spans="1:92" x14ac:dyDescent="0.25">
      <c r="A51" s="9" t="s">
        <v>47</v>
      </c>
      <c r="B51" s="10">
        <v>2424</v>
      </c>
      <c r="C51" s="11">
        <v>262</v>
      </c>
      <c r="D51" s="11">
        <v>0</v>
      </c>
      <c r="E51" s="11">
        <v>0</v>
      </c>
      <c r="F51" s="1021">
        <f t="shared" si="0"/>
        <v>80245.769699249882</v>
      </c>
      <c r="G51" s="11">
        <v>215408.79000169822</v>
      </c>
      <c r="H51" s="1021">
        <f t="shared" si="1"/>
        <v>75935.445419503143</v>
      </c>
      <c r="I51" s="11">
        <v>3939.3641711111113</v>
      </c>
      <c r="J51" s="1021">
        <f t="shared" si="2"/>
        <v>3939.3641711111113</v>
      </c>
      <c r="K51" s="11">
        <v>0</v>
      </c>
      <c r="L51" s="1021">
        <f t="shared" si="3"/>
        <v>0</v>
      </c>
      <c r="M51" s="11">
        <v>158863.31253942865</v>
      </c>
      <c r="N51" s="1021">
        <f t="shared" si="4"/>
        <v>63631.916481806024</v>
      </c>
      <c r="O51" s="11">
        <v>0</v>
      </c>
      <c r="P51" s="1021">
        <f t="shared" si="5"/>
        <v>0</v>
      </c>
      <c r="Q51" s="1021">
        <f t="shared" si="6"/>
        <v>223752.49577167016</v>
      </c>
      <c r="R51" s="11">
        <v>239485.33153040841</v>
      </c>
      <c r="S51" s="1096" t="s">
        <v>1079</v>
      </c>
      <c r="T51" s="11">
        <v>267</v>
      </c>
      <c r="U51" s="11">
        <v>0</v>
      </c>
      <c r="V51" s="11">
        <v>0</v>
      </c>
      <c r="W51" s="1021">
        <f t="shared" si="7"/>
        <v>78223.068449853236</v>
      </c>
      <c r="X51" s="11">
        <v>242804.96490978968</v>
      </c>
      <c r="Y51" s="1021">
        <f t="shared" si="8"/>
        <v>85593.086337592598</v>
      </c>
      <c r="Z51" s="11">
        <v>2676.3619177777778</v>
      </c>
      <c r="AA51" s="1021">
        <f t="shared" si="9"/>
        <v>2676.3619177777778</v>
      </c>
      <c r="AB51" s="11">
        <v>0</v>
      </c>
      <c r="AC51" s="1021">
        <f t="shared" si="10"/>
        <v>0</v>
      </c>
      <c r="AD51" s="11">
        <v>156193.1744440679</v>
      </c>
      <c r="AE51" s="1021">
        <f t="shared" si="11"/>
        <v>62562.40583417481</v>
      </c>
      <c r="AF51" s="11">
        <v>6358.3040000001283</v>
      </c>
      <c r="AG51" s="1021">
        <f t="shared" si="12"/>
        <v>6358.3040000001283</v>
      </c>
      <c r="AH51" s="1021">
        <f t="shared" si="13"/>
        <v>235413.22653939854</v>
      </c>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row>
    <row r="52" spans="1:92" x14ac:dyDescent="0.25">
      <c r="A52" s="9" t="s">
        <v>48</v>
      </c>
      <c r="B52" s="10">
        <v>2439</v>
      </c>
      <c r="C52" s="11">
        <v>260</v>
      </c>
      <c r="D52" s="11">
        <v>0</v>
      </c>
      <c r="E52" s="11">
        <v>0</v>
      </c>
      <c r="F52" s="1021">
        <f t="shared" si="0"/>
        <v>79633.206571774688</v>
      </c>
      <c r="G52" s="11">
        <v>29031.561021879606</v>
      </c>
      <c r="H52" s="1021">
        <f t="shared" si="1"/>
        <v>10234.143729243982</v>
      </c>
      <c r="I52" s="11">
        <v>0</v>
      </c>
      <c r="J52" s="1021">
        <f t="shared" si="2"/>
        <v>0</v>
      </c>
      <c r="K52" s="11">
        <v>0</v>
      </c>
      <c r="L52" s="1021">
        <f t="shared" si="3"/>
        <v>0</v>
      </c>
      <c r="M52" s="11">
        <v>9161.3853882352942</v>
      </c>
      <c r="N52" s="1021">
        <f t="shared" si="4"/>
        <v>3669.5477424162418</v>
      </c>
      <c r="O52" s="11">
        <v>0</v>
      </c>
      <c r="P52" s="1021">
        <f t="shared" si="5"/>
        <v>0</v>
      </c>
      <c r="Q52" s="1021">
        <f t="shared" si="6"/>
        <v>93536.898043434907</v>
      </c>
      <c r="R52" s="11">
        <v>92901.84913778062</v>
      </c>
      <c r="S52" s="1096" t="s">
        <v>1080</v>
      </c>
      <c r="T52" s="11">
        <v>239</v>
      </c>
      <c r="U52" s="11">
        <v>0</v>
      </c>
      <c r="V52" s="11">
        <v>0</v>
      </c>
      <c r="W52" s="1021">
        <f t="shared" si="7"/>
        <v>70019.900222902332</v>
      </c>
      <c r="X52" s="11">
        <v>21999.354853370274</v>
      </c>
      <c r="Y52" s="1021">
        <f t="shared" si="8"/>
        <v>7755.1654680350321</v>
      </c>
      <c r="Z52" s="11">
        <v>0</v>
      </c>
      <c r="AA52" s="1021">
        <f t="shared" si="9"/>
        <v>0</v>
      </c>
      <c r="AB52" s="11">
        <v>0</v>
      </c>
      <c r="AC52" s="1021">
        <f t="shared" si="10"/>
        <v>0</v>
      </c>
      <c r="AD52" s="11">
        <v>9004.041807547168</v>
      </c>
      <c r="AE52" s="1021">
        <f t="shared" si="11"/>
        <v>3606.524547033669</v>
      </c>
      <c r="AF52" s="11">
        <v>0</v>
      </c>
      <c r="AG52" s="1021">
        <f t="shared" si="12"/>
        <v>0</v>
      </c>
      <c r="AH52" s="1021">
        <f t="shared" si="13"/>
        <v>81381.590237971031</v>
      </c>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row>
    <row r="53" spans="1:92" x14ac:dyDescent="0.25">
      <c r="A53" s="9" t="s">
        <v>49</v>
      </c>
      <c r="B53" s="10">
        <v>2440</v>
      </c>
      <c r="C53" s="11">
        <v>326</v>
      </c>
      <c r="D53" s="11">
        <v>0</v>
      </c>
      <c r="E53" s="11">
        <v>0</v>
      </c>
      <c r="F53" s="1021">
        <f t="shared" si="0"/>
        <v>99847.789778455961</v>
      </c>
      <c r="G53" s="11">
        <v>38671.627706267085</v>
      </c>
      <c r="H53" s="1021">
        <f t="shared" si="1"/>
        <v>13632.439395576377</v>
      </c>
      <c r="I53" s="11">
        <v>1353.2166999999999</v>
      </c>
      <c r="J53" s="1021">
        <f t="shared" si="2"/>
        <v>1353.2166999999999</v>
      </c>
      <c r="K53" s="11">
        <v>0</v>
      </c>
      <c r="L53" s="1021">
        <f t="shared" si="3"/>
        <v>0</v>
      </c>
      <c r="M53" s="11">
        <v>4278.6689999999899</v>
      </c>
      <c r="N53" s="1021">
        <f t="shared" si="4"/>
        <v>1713.7997698097793</v>
      </c>
      <c r="O53" s="11">
        <v>0</v>
      </c>
      <c r="P53" s="1021">
        <f t="shared" si="5"/>
        <v>0</v>
      </c>
      <c r="Q53" s="1021">
        <f t="shared" si="6"/>
        <v>116547.24564384212</v>
      </c>
      <c r="R53" s="11">
        <v>116957.28867482599</v>
      </c>
      <c r="S53" s="1096" t="s">
        <v>1081</v>
      </c>
      <c r="T53" s="11">
        <v>291</v>
      </c>
      <c r="U53" s="11">
        <v>0</v>
      </c>
      <c r="V53" s="11">
        <v>0</v>
      </c>
      <c r="W53" s="1021">
        <f t="shared" si="7"/>
        <v>85254.355501525424</v>
      </c>
      <c r="X53" s="11">
        <v>35170.203130232629</v>
      </c>
      <c r="Y53" s="1021">
        <f t="shared" si="8"/>
        <v>12398.124701260163</v>
      </c>
      <c r="Z53" s="11">
        <v>0</v>
      </c>
      <c r="AA53" s="1021">
        <f t="shared" si="9"/>
        <v>0</v>
      </c>
      <c r="AB53" s="11">
        <v>0</v>
      </c>
      <c r="AC53" s="1021">
        <f t="shared" si="10"/>
        <v>0</v>
      </c>
      <c r="AD53" s="11">
        <v>2567.201400000009</v>
      </c>
      <c r="AE53" s="1021">
        <f t="shared" si="11"/>
        <v>1028.2798618858735</v>
      </c>
      <c r="AF53" s="11">
        <v>0</v>
      </c>
      <c r="AG53" s="1021">
        <f t="shared" si="12"/>
        <v>0</v>
      </c>
      <c r="AH53" s="1021">
        <f t="shared" si="13"/>
        <v>98680.760064671456</v>
      </c>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row>
    <row r="54" spans="1:92" x14ac:dyDescent="0.25">
      <c r="A54" s="9" t="s">
        <v>102</v>
      </c>
      <c r="B54" s="10">
        <v>2462</v>
      </c>
      <c r="C54" s="11">
        <v>218</v>
      </c>
      <c r="D54" s="11">
        <v>0</v>
      </c>
      <c r="E54" s="11">
        <v>0</v>
      </c>
      <c r="F54" s="1021">
        <f t="shared" si="0"/>
        <v>66769.3808947957</v>
      </c>
      <c r="G54" s="11">
        <v>56536.659459529845</v>
      </c>
      <c r="H54" s="1021">
        <f t="shared" si="1"/>
        <v>19930.182136747153</v>
      </c>
      <c r="I54" s="11">
        <v>0</v>
      </c>
      <c r="J54" s="1021">
        <f t="shared" si="2"/>
        <v>0</v>
      </c>
      <c r="K54" s="11">
        <v>0</v>
      </c>
      <c r="L54" s="1021">
        <f t="shared" si="3"/>
        <v>0</v>
      </c>
      <c r="M54" s="11">
        <v>45113.391050980361</v>
      </c>
      <c r="N54" s="1021">
        <f t="shared" si="4"/>
        <v>18069.946331092422</v>
      </c>
      <c r="O54" s="11">
        <v>0</v>
      </c>
      <c r="P54" s="1021">
        <f t="shared" si="5"/>
        <v>0</v>
      </c>
      <c r="Q54" s="1021">
        <f t="shared" si="6"/>
        <v>104769.50936263528</v>
      </c>
      <c r="R54" s="11">
        <v>106528.82900684995</v>
      </c>
      <c r="S54" s="1096" t="s">
        <v>1082</v>
      </c>
      <c r="T54" s="11">
        <v>220</v>
      </c>
      <c r="U54" s="11">
        <v>0</v>
      </c>
      <c r="V54" s="11">
        <v>0</v>
      </c>
      <c r="W54" s="1021">
        <f t="shared" si="7"/>
        <v>64453.464640328508</v>
      </c>
      <c r="X54" s="11">
        <v>52560.102225238086</v>
      </c>
      <c r="Y54" s="1021">
        <f t="shared" si="8"/>
        <v>18528.374695093022</v>
      </c>
      <c r="Z54" s="11">
        <v>0</v>
      </c>
      <c r="AA54" s="1021">
        <f t="shared" si="9"/>
        <v>0</v>
      </c>
      <c r="AB54" s="11">
        <v>0</v>
      </c>
      <c r="AC54" s="1021">
        <f t="shared" si="10"/>
        <v>0</v>
      </c>
      <c r="AD54" s="11">
        <v>15296.241674999999</v>
      </c>
      <c r="AE54" s="1021">
        <f t="shared" si="11"/>
        <v>6126.8341770699753</v>
      </c>
      <c r="AF54" s="11">
        <v>0</v>
      </c>
      <c r="AG54" s="1021">
        <f t="shared" si="12"/>
        <v>0</v>
      </c>
      <c r="AH54" s="1021">
        <f t="shared" si="13"/>
        <v>89108.673512491514</v>
      </c>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row>
    <row r="55" spans="1:92" x14ac:dyDescent="0.25">
      <c r="A55" s="9" t="s">
        <v>50</v>
      </c>
      <c r="B55" s="10">
        <v>2463</v>
      </c>
      <c r="C55" s="11">
        <v>348</v>
      </c>
      <c r="D55" s="11">
        <v>0</v>
      </c>
      <c r="E55" s="11">
        <v>0</v>
      </c>
      <c r="F55" s="1021">
        <f t="shared" si="0"/>
        <v>106585.98418068305</v>
      </c>
      <c r="G55" s="11">
        <v>123215.19238551395</v>
      </c>
      <c r="H55" s="1021">
        <f t="shared" si="1"/>
        <v>43435.555792175473</v>
      </c>
      <c r="I55" s="11">
        <v>0</v>
      </c>
      <c r="J55" s="1021">
        <f t="shared" si="2"/>
        <v>0</v>
      </c>
      <c r="K55" s="11">
        <v>0</v>
      </c>
      <c r="L55" s="1021">
        <f t="shared" si="3"/>
        <v>0</v>
      </c>
      <c r="M55" s="11">
        <v>18074.285001156066</v>
      </c>
      <c r="N55" s="1021">
        <f t="shared" si="4"/>
        <v>7239.5657328149682</v>
      </c>
      <c r="O55" s="11">
        <v>0</v>
      </c>
      <c r="P55" s="1021">
        <f t="shared" si="5"/>
        <v>0</v>
      </c>
      <c r="Q55" s="1021">
        <f t="shared" si="6"/>
        <v>157261.10570567349</v>
      </c>
      <c r="R55" s="11">
        <v>146622.75497535607</v>
      </c>
      <c r="S55" s="1096" t="s">
        <v>1084</v>
      </c>
      <c r="T55" s="11">
        <v>312</v>
      </c>
      <c r="U55" s="11">
        <v>0</v>
      </c>
      <c r="V55" s="11">
        <v>0</v>
      </c>
      <c r="W55" s="1021">
        <f t="shared" si="7"/>
        <v>91406.731671738613</v>
      </c>
      <c r="X55" s="11">
        <v>75177.537815685326</v>
      </c>
      <c r="Y55" s="1021">
        <f t="shared" si="8"/>
        <v>26501.424661131987</v>
      </c>
      <c r="Z55" s="11">
        <v>0</v>
      </c>
      <c r="AA55" s="1021">
        <f t="shared" si="9"/>
        <v>0</v>
      </c>
      <c r="AB55" s="11">
        <v>0</v>
      </c>
      <c r="AC55" s="1021">
        <f t="shared" si="10"/>
        <v>0</v>
      </c>
      <c r="AD55" s="11">
        <v>15403.208400000003</v>
      </c>
      <c r="AE55" s="1021">
        <f t="shared" si="11"/>
        <v>6169.6791713152215</v>
      </c>
      <c r="AF55" s="11">
        <v>0</v>
      </c>
      <c r="AG55" s="1021">
        <f t="shared" si="12"/>
        <v>0</v>
      </c>
      <c r="AH55" s="1021">
        <f t="shared" si="13"/>
        <v>124077.83550418582</v>
      </c>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row>
    <row r="56" spans="1:92" x14ac:dyDescent="0.25">
      <c r="A56" s="9" t="s">
        <v>51</v>
      </c>
      <c r="B56" s="10">
        <v>2505</v>
      </c>
      <c r="C56" s="11">
        <v>561</v>
      </c>
      <c r="D56" s="11">
        <v>0</v>
      </c>
      <c r="E56" s="11">
        <v>0</v>
      </c>
      <c r="F56" s="1021">
        <f t="shared" si="0"/>
        <v>171823.95725679077</v>
      </c>
      <c r="G56" s="11">
        <v>379136.27061611728</v>
      </c>
      <c r="H56" s="1021">
        <f t="shared" si="1"/>
        <v>133652.30631348505</v>
      </c>
      <c r="I56" s="11">
        <v>1432.367110754717</v>
      </c>
      <c r="J56" s="1021">
        <f t="shared" si="2"/>
        <v>1432.367110754717</v>
      </c>
      <c r="K56" s="11">
        <v>0</v>
      </c>
      <c r="L56" s="1021">
        <f t="shared" si="3"/>
        <v>0</v>
      </c>
      <c r="M56" s="11">
        <v>93622.958940249053</v>
      </c>
      <c r="N56" s="1021">
        <f t="shared" si="4"/>
        <v>37500.214548194686</v>
      </c>
      <c r="O56" s="11">
        <v>11876.831999999715</v>
      </c>
      <c r="P56" s="1021">
        <f t="shared" si="5"/>
        <v>11876.831999999715</v>
      </c>
      <c r="Q56" s="1021">
        <f t="shared" si="6"/>
        <v>356285.67722922494</v>
      </c>
      <c r="R56" s="11">
        <v>340070.95171276241</v>
      </c>
      <c r="S56" s="1096" t="s">
        <v>1085</v>
      </c>
      <c r="T56" s="11">
        <v>453</v>
      </c>
      <c r="U56" s="11">
        <v>0</v>
      </c>
      <c r="V56" s="11">
        <v>0</v>
      </c>
      <c r="W56" s="1021">
        <f t="shared" si="7"/>
        <v>132715.54310031279</v>
      </c>
      <c r="X56" s="11">
        <v>332933.39739206852</v>
      </c>
      <c r="Y56" s="1021">
        <f t="shared" si="8"/>
        <v>117364.96837383402</v>
      </c>
      <c r="Z56" s="11">
        <v>0</v>
      </c>
      <c r="AA56" s="1021">
        <f t="shared" si="9"/>
        <v>0</v>
      </c>
      <c r="AB56" s="11">
        <v>0</v>
      </c>
      <c r="AC56" s="1021">
        <f t="shared" si="10"/>
        <v>0</v>
      </c>
      <c r="AD56" s="11">
        <v>67684.468657143007</v>
      </c>
      <c r="AE56" s="1021">
        <f t="shared" si="11"/>
        <v>27110.680168133869</v>
      </c>
      <c r="AF56" s="11">
        <v>839.77600000018083</v>
      </c>
      <c r="AG56" s="1021">
        <f t="shared" si="12"/>
        <v>839.77600000018083</v>
      </c>
      <c r="AH56" s="1021">
        <f t="shared" si="13"/>
        <v>278030.96764228086</v>
      </c>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row>
    <row r="57" spans="1:92" x14ac:dyDescent="0.25">
      <c r="A57" s="9" t="s">
        <v>1304</v>
      </c>
      <c r="B57" s="10">
        <v>2000</v>
      </c>
      <c r="C57" s="11">
        <v>296</v>
      </c>
      <c r="D57" s="11">
        <v>0</v>
      </c>
      <c r="E57" s="11">
        <v>0</v>
      </c>
      <c r="F57" s="1021">
        <f t="shared" si="0"/>
        <v>90659.342866328108</v>
      </c>
      <c r="G57" s="11">
        <v>180145.84089571581</v>
      </c>
      <c r="H57" s="1021">
        <f t="shared" si="1"/>
        <v>63504.626105458738</v>
      </c>
      <c r="I57" s="11">
        <v>0</v>
      </c>
      <c r="J57" s="1021">
        <f t="shared" si="2"/>
        <v>0</v>
      </c>
      <c r="K57" s="11">
        <v>0</v>
      </c>
      <c r="L57" s="1021">
        <f t="shared" si="3"/>
        <v>0</v>
      </c>
      <c r="M57" s="11">
        <v>27138.986228571393</v>
      </c>
      <c r="N57" s="1021">
        <f t="shared" si="4"/>
        <v>10870.387111364898</v>
      </c>
      <c r="O57" s="11">
        <v>12713.645827160324</v>
      </c>
      <c r="P57" s="1021">
        <f t="shared" si="5"/>
        <v>12713.645827160324</v>
      </c>
      <c r="Q57" s="1021">
        <f t="shared" si="6"/>
        <v>177748.00191031207</v>
      </c>
      <c r="R57" s="11">
        <v>181394.91256094363</v>
      </c>
      <c r="S57" s="1096" t="s">
        <v>1086</v>
      </c>
      <c r="T57" s="11">
        <v>280</v>
      </c>
      <c r="U57" s="11">
        <v>0</v>
      </c>
      <c r="V57" s="11">
        <v>0</v>
      </c>
      <c r="W57" s="1021">
        <f t="shared" si="7"/>
        <v>82031.682269509009</v>
      </c>
      <c r="X57" s="11">
        <v>183707.71011937343</v>
      </c>
      <c r="Y57" s="1021">
        <f t="shared" si="8"/>
        <v>64760.248617531382</v>
      </c>
      <c r="Z57" s="11">
        <v>1288.7778095238093</v>
      </c>
      <c r="AA57" s="1021">
        <f t="shared" si="9"/>
        <v>1288.7778095238093</v>
      </c>
      <c r="AB57" s="11">
        <v>0</v>
      </c>
      <c r="AC57" s="1021">
        <f t="shared" si="10"/>
        <v>0</v>
      </c>
      <c r="AD57" s="11">
        <v>16336.736181818187</v>
      </c>
      <c r="AE57" s="1021">
        <f t="shared" si="11"/>
        <v>6543.5991210919019</v>
      </c>
      <c r="AF57" s="11">
        <v>14709.801830065486</v>
      </c>
      <c r="AG57" s="1021">
        <f t="shared" si="12"/>
        <v>14709.801830065486</v>
      </c>
      <c r="AH57" s="1021">
        <f t="shared" si="13"/>
        <v>169334.10964772158</v>
      </c>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row>
    <row r="58" spans="1:92" x14ac:dyDescent="0.25">
      <c r="A58" s="9" t="s">
        <v>53</v>
      </c>
      <c r="B58" s="10">
        <v>2458</v>
      </c>
      <c r="C58" s="11">
        <v>269</v>
      </c>
      <c r="D58" s="11">
        <v>0</v>
      </c>
      <c r="E58" s="11">
        <v>0</v>
      </c>
      <c r="F58" s="1021">
        <f t="shared" si="0"/>
        <v>82389.740645413054</v>
      </c>
      <c r="G58" s="11">
        <v>56664.661316890008</v>
      </c>
      <c r="H58" s="1021">
        <f t="shared" si="1"/>
        <v>19975.305077427016</v>
      </c>
      <c r="I58" s="11">
        <v>0</v>
      </c>
      <c r="J58" s="1021">
        <f t="shared" si="2"/>
        <v>0</v>
      </c>
      <c r="K58" s="11">
        <v>0</v>
      </c>
      <c r="L58" s="1021">
        <f t="shared" si="3"/>
        <v>0</v>
      </c>
      <c r="M58" s="11">
        <v>60441.577840223552</v>
      </c>
      <c r="N58" s="1021">
        <f t="shared" si="4"/>
        <v>24209.575966150976</v>
      </c>
      <c r="O58" s="11">
        <v>0</v>
      </c>
      <c r="P58" s="1021">
        <f t="shared" si="5"/>
        <v>0</v>
      </c>
      <c r="Q58" s="1021">
        <f t="shared" si="6"/>
        <v>126574.62168899104</v>
      </c>
      <c r="R58" s="11">
        <v>143948.87279286154</v>
      </c>
      <c r="S58" s="1096" t="s">
        <v>1088</v>
      </c>
      <c r="T58" s="11">
        <v>270</v>
      </c>
      <c r="U58" s="11">
        <v>0</v>
      </c>
      <c r="V58" s="11">
        <v>0</v>
      </c>
      <c r="W58" s="1021">
        <f t="shared" si="7"/>
        <v>79101.97933131225</v>
      </c>
      <c r="X58" s="11">
        <v>81433.246927797154</v>
      </c>
      <c r="Y58" s="1021">
        <f t="shared" si="8"/>
        <v>28706.673842650118</v>
      </c>
      <c r="Z58" s="11">
        <v>1363.3153320895522</v>
      </c>
      <c r="AA58" s="1021">
        <f t="shared" si="9"/>
        <v>1363.3153320895522</v>
      </c>
      <c r="AB58" s="11">
        <v>0</v>
      </c>
      <c r="AC58" s="1021">
        <f t="shared" si="10"/>
        <v>0</v>
      </c>
      <c r="AD58" s="11">
        <v>103971.65669999999</v>
      </c>
      <c r="AE58" s="1021">
        <f t="shared" si="11"/>
        <v>41645.334406377733</v>
      </c>
      <c r="AF58" s="11">
        <v>0</v>
      </c>
      <c r="AG58" s="1021">
        <f t="shared" si="12"/>
        <v>0</v>
      </c>
      <c r="AH58" s="1021">
        <f t="shared" si="13"/>
        <v>150817.30291242967</v>
      </c>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row>
    <row r="59" spans="1:92" x14ac:dyDescent="0.25">
      <c r="A59" s="9" t="s">
        <v>54</v>
      </c>
      <c r="B59" s="10">
        <v>2001</v>
      </c>
      <c r="C59" s="11">
        <v>357</v>
      </c>
      <c r="D59" s="11">
        <v>0</v>
      </c>
      <c r="E59" s="11">
        <v>0</v>
      </c>
      <c r="F59" s="1021">
        <f t="shared" si="0"/>
        <v>109342.5182543214</v>
      </c>
      <c r="G59" s="11">
        <v>355970.99080031947</v>
      </c>
      <c r="H59" s="1021">
        <f t="shared" si="1"/>
        <v>125486.13147416597</v>
      </c>
      <c r="I59" s="11">
        <v>4200.8553208695648</v>
      </c>
      <c r="J59" s="1021">
        <f t="shared" si="2"/>
        <v>4200.8553208695648</v>
      </c>
      <c r="K59" s="11">
        <v>0</v>
      </c>
      <c r="L59" s="1021">
        <f t="shared" si="3"/>
        <v>0</v>
      </c>
      <c r="M59" s="11">
        <v>13139.654477419341</v>
      </c>
      <c r="N59" s="1021">
        <f t="shared" si="4"/>
        <v>5263.0238092222971</v>
      </c>
      <c r="O59" s="11">
        <v>1559.5839999999766</v>
      </c>
      <c r="P59" s="1021">
        <f t="shared" si="5"/>
        <v>1559.5839999999766</v>
      </c>
      <c r="Q59" s="1021">
        <f t="shared" si="6"/>
        <v>245852.1128585792</v>
      </c>
      <c r="R59" s="11">
        <v>278035.69675877248</v>
      </c>
      <c r="S59" s="1096" t="s">
        <v>1090</v>
      </c>
      <c r="T59" s="11">
        <v>331</v>
      </c>
      <c r="U59" s="11">
        <v>0</v>
      </c>
      <c r="V59" s="11">
        <v>0</v>
      </c>
      <c r="W59" s="1021">
        <f t="shared" si="7"/>
        <v>96973.16725431243</v>
      </c>
      <c r="X59" s="11">
        <v>403228.07755342504</v>
      </c>
      <c r="Y59" s="1021">
        <f t="shared" si="8"/>
        <v>142145.09850980496</v>
      </c>
      <c r="Z59" s="11">
        <v>4362.8057892857141</v>
      </c>
      <c r="AA59" s="1021">
        <f t="shared" si="9"/>
        <v>4362.8057892857141</v>
      </c>
      <c r="AB59" s="11">
        <v>0</v>
      </c>
      <c r="AC59" s="1021">
        <f t="shared" si="10"/>
        <v>0</v>
      </c>
      <c r="AD59" s="11">
        <v>20159.992014234878</v>
      </c>
      <c r="AE59" s="1021">
        <f t="shared" si="11"/>
        <v>8074.985392271009</v>
      </c>
      <c r="AF59" s="11">
        <v>5878.4320000001971</v>
      </c>
      <c r="AG59" s="1021">
        <f t="shared" si="12"/>
        <v>5878.4320000001971</v>
      </c>
      <c r="AH59" s="1021">
        <f t="shared" si="13"/>
        <v>257434.4889456743</v>
      </c>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row>
    <row r="60" spans="1:92" x14ac:dyDescent="0.25">
      <c r="A60" s="9" t="s">
        <v>55</v>
      </c>
      <c r="B60" s="10">
        <v>2429</v>
      </c>
      <c r="C60" s="11">
        <v>147</v>
      </c>
      <c r="D60" s="11">
        <v>0</v>
      </c>
      <c r="E60" s="11">
        <v>0</v>
      </c>
      <c r="F60" s="1021">
        <f t="shared" si="0"/>
        <v>45023.389869426464</v>
      </c>
      <c r="G60" s="11">
        <v>103374.65025677814</v>
      </c>
      <c r="H60" s="1021">
        <f t="shared" si="1"/>
        <v>36441.410363392861</v>
      </c>
      <c r="I60" s="11">
        <v>0</v>
      </c>
      <c r="J60" s="1021">
        <f t="shared" si="2"/>
        <v>0</v>
      </c>
      <c r="K60" s="11">
        <v>0</v>
      </c>
      <c r="L60" s="1021">
        <f t="shared" si="3"/>
        <v>0</v>
      </c>
      <c r="M60" s="11">
        <v>93372.026177319538</v>
      </c>
      <c r="N60" s="1021">
        <f t="shared" si="4"/>
        <v>37399.704667354097</v>
      </c>
      <c r="O60" s="11">
        <v>0</v>
      </c>
      <c r="P60" s="1021">
        <f t="shared" si="5"/>
        <v>0</v>
      </c>
      <c r="Q60" s="1021">
        <f t="shared" si="6"/>
        <v>118864.50490017343</v>
      </c>
      <c r="R60" s="11">
        <v>125559.91450364233</v>
      </c>
      <c r="S60" s="1096" t="s">
        <v>1091</v>
      </c>
      <c r="T60" s="11">
        <v>155</v>
      </c>
      <c r="U60" s="11">
        <v>0</v>
      </c>
      <c r="V60" s="11">
        <v>0</v>
      </c>
      <c r="W60" s="1021">
        <f t="shared" si="7"/>
        <v>45410.395542049628</v>
      </c>
      <c r="X60" s="11">
        <v>121825.80340032063</v>
      </c>
      <c r="Y60" s="1021">
        <f t="shared" si="8"/>
        <v>42945.771362065752</v>
      </c>
      <c r="Z60" s="11">
        <v>2796.6478466666667</v>
      </c>
      <c r="AA60" s="1021">
        <f t="shared" si="9"/>
        <v>2796.6478466666667</v>
      </c>
      <c r="AB60" s="11">
        <v>0</v>
      </c>
      <c r="AC60" s="1021">
        <f t="shared" si="10"/>
        <v>0</v>
      </c>
      <c r="AD60" s="11">
        <v>101058.08685714286</v>
      </c>
      <c r="AE60" s="1021">
        <f t="shared" si="11"/>
        <v>40478.318372650123</v>
      </c>
      <c r="AF60" s="11">
        <v>0</v>
      </c>
      <c r="AG60" s="1021">
        <f t="shared" si="12"/>
        <v>0</v>
      </c>
      <c r="AH60" s="1021">
        <f t="shared" si="13"/>
        <v>131631.13312343217</v>
      </c>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row>
    <row r="61" spans="1:92" x14ac:dyDescent="0.25">
      <c r="A61" s="9" t="s">
        <v>56</v>
      </c>
      <c r="B61" s="10">
        <v>2444</v>
      </c>
      <c r="C61" s="11">
        <v>211</v>
      </c>
      <c r="D61" s="11">
        <v>0</v>
      </c>
      <c r="E61" s="11">
        <v>0</v>
      </c>
      <c r="F61" s="1021">
        <f t="shared" si="0"/>
        <v>64625.409948632543</v>
      </c>
      <c r="G61" s="11">
        <v>113720.28011787409</v>
      </c>
      <c r="H61" s="1021">
        <f t="shared" si="1"/>
        <v>40088.429650031256</v>
      </c>
      <c r="I61" s="11">
        <v>0</v>
      </c>
      <c r="J61" s="1021">
        <f t="shared" si="2"/>
        <v>0</v>
      </c>
      <c r="K61" s="11">
        <v>0</v>
      </c>
      <c r="L61" s="1021">
        <f t="shared" si="3"/>
        <v>0</v>
      </c>
      <c r="M61" s="11">
        <v>37401.679444285684</v>
      </c>
      <c r="N61" s="1021">
        <f t="shared" si="4"/>
        <v>14981.058273522936</v>
      </c>
      <c r="O61" s="11">
        <v>0</v>
      </c>
      <c r="P61" s="1021">
        <f t="shared" si="5"/>
        <v>0</v>
      </c>
      <c r="Q61" s="1021">
        <f t="shared" si="6"/>
        <v>119694.89787218673</v>
      </c>
      <c r="R61" s="11">
        <v>118357.76117306811</v>
      </c>
      <c r="S61" s="1096" t="s">
        <v>1092</v>
      </c>
      <c r="T61" s="11">
        <v>209</v>
      </c>
      <c r="U61" s="11">
        <v>0</v>
      </c>
      <c r="V61" s="11">
        <v>0</v>
      </c>
      <c r="W61" s="1021">
        <f t="shared" si="7"/>
        <v>61230.791408312078</v>
      </c>
      <c r="X61" s="11">
        <v>126274.07820974986</v>
      </c>
      <c r="Y61" s="1021">
        <f t="shared" si="8"/>
        <v>44513.867673268753</v>
      </c>
      <c r="Z61" s="11">
        <v>1359.7225495192306</v>
      </c>
      <c r="AA61" s="1021">
        <f t="shared" si="9"/>
        <v>1359.7225495192306</v>
      </c>
      <c r="AB61" s="11">
        <v>0</v>
      </c>
      <c r="AC61" s="1021">
        <f t="shared" si="10"/>
        <v>0</v>
      </c>
      <c r="AD61" s="11">
        <v>11497.394841428571</v>
      </c>
      <c r="AE61" s="1021">
        <f t="shared" si="11"/>
        <v>4605.224810017432</v>
      </c>
      <c r="AF61" s="11">
        <v>0</v>
      </c>
      <c r="AG61" s="1021">
        <f t="shared" si="12"/>
        <v>0</v>
      </c>
      <c r="AH61" s="1021">
        <f t="shared" si="13"/>
        <v>111709.6064411175</v>
      </c>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row>
    <row r="62" spans="1:92" x14ac:dyDescent="0.25">
      <c r="A62" s="9" t="s">
        <v>57</v>
      </c>
      <c r="B62" s="10">
        <v>5209</v>
      </c>
      <c r="C62" s="11">
        <v>261</v>
      </c>
      <c r="D62" s="11">
        <v>0</v>
      </c>
      <c r="E62" s="11">
        <v>0</v>
      </c>
      <c r="F62" s="1021">
        <f t="shared" si="0"/>
        <v>79939.488135512293</v>
      </c>
      <c r="G62" s="11">
        <v>162615.23484185088</v>
      </c>
      <c r="H62" s="1021">
        <f t="shared" si="1"/>
        <v>57324.774395769564</v>
      </c>
      <c r="I62" s="11">
        <v>0</v>
      </c>
      <c r="J62" s="1021">
        <f t="shared" si="2"/>
        <v>0</v>
      </c>
      <c r="K62" s="11">
        <v>0</v>
      </c>
      <c r="L62" s="1021">
        <f t="shared" si="3"/>
        <v>0</v>
      </c>
      <c r="M62" s="11">
        <v>11297.683982101158</v>
      </c>
      <c r="N62" s="1021">
        <f t="shared" si="4"/>
        <v>4525.2316100891749</v>
      </c>
      <c r="O62" s="11">
        <v>0</v>
      </c>
      <c r="P62" s="1021">
        <f t="shared" si="5"/>
        <v>0</v>
      </c>
      <c r="Q62" s="1021">
        <f t="shared" si="6"/>
        <v>141789.49414137105</v>
      </c>
      <c r="R62" s="11">
        <v>157096.40597063318</v>
      </c>
      <c r="S62" s="1096" t="s">
        <v>1093</v>
      </c>
      <c r="T62" s="11">
        <v>270</v>
      </c>
      <c r="U62" s="11">
        <v>0</v>
      </c>
      <c r="V62" s="11">
        <v>0</v>
      </c>
      <c r="W62" s="1021">
        <f t="shared" si="7"/>
        <v>79101.97933131225</v>
      </c>
      <c r="X62" s="11">
        <v>202247.26906896688</v>
      </c>
      <c r="Y62" s="1021">
        <f t="shared" si="8"/>
        <v>71295.774241659426</v>
      </c>
      <c r="Z62" s="11">
        <v>0</v>
      </c>
      <c r="AA62" s="1021">
        <f t="shared" si="9"/>
        <v>0</v>
      </c>
      <c r="AB62" s="11">
        <v>0</v>
      </c>
      <c r="AC62" s="1021">
        <f t="shared" si="10"/>
        <v>0</v>
      </c>
      <c r="AD62" s="11">
        <v>5990.1365999999935</v>
      </c>
      <c r="AE62" s="1021">
        <f t="shared" si="11"/>
        <v>2399.3196777336939</v>
      </c>
      <c r="AF62" s="11">
        <v>0</v>
      </c>
      <c r="AG62" s="1021">
        <f t="shared" si="12"/>
        <v>0</v>
      </c>
      <c r="AH62" s="1021">
        <f t="shared" si="13"/>
        <v>152797.07325070538</v>
      </c>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row>
    <row r="63" spans="1:92" x14ac:dyDescent="0.25">
      <c r="A63" s="9" t="s">
        <v>58</v>
      </c>
      <c r="B63" s="10">
        <v>2469</v>
      </c>
      <c r="C63" s="11">
        <v>417</v>
      </c>
      <c r="D63" s="11">
        <v>0</v>
      </c>
      <c r="E63" s="11">
        <v>0</v>
      </c>
      <c r="F63" s="1021">
        <f t="shared" si="0"/>
        <v>127719.41207857711</v>
      </c>
      <c r="G63" s="11">
        <v>82165.208593829404</v>
      </c>
      <c r="H63" s="1021">
        <f t="shared" si="1"/>
        <v>28964.703401888262</v>
      </c>
      <c r="I63" s="11">
        <v>0</v>
      </c>
      <c r="J63" s="1021">
        <f t="shared" si="2"/>
        <v>0</v>
      </c>
      <c r="K63" s="11">
        <v>0</v>
      </c>
      <c r="L63" s="1021">
        <f t="shared" si="3"/>
        <v>0</v>
      </c>
      <c r="M63" s="11">
        <v>30986.192808403357</v>
      </c>
      <c r="N63" s="1021">
        <f t="shared" si="4"/>
        <v>12411.366736319926</v>
      </c>
      <c r="O63" s="11">
        <v>0</v>
      </c>
      <c r="P63" s="1021">
        <f t="shared" si="5"/>
        <v>0</v>
      </c>
      <c r="Q63" s="1021">
        <f t="shared" si="6"/>
        <v>169095.48221678531</v>
      </c>
      <c r="R63" s="11">
        <v>169343.18659654722</v>
      </c>
      <c r="S63" s="1096" t="s">
        <v>1094</v>
      </c>
      <c r="T63" s="11">
        <v>412</v>
      </c>
      <c r="U63" s="11">
        <v>0</v>
      </c>
      <c r="V63" s="11">
        <v>0</v>
      </c>
      <c r="W63" s="1021">
        <f t="shared" si="7"/>
        <v>120703.76105370611</v>
      </c>
      <c r="X63" s="11">
        <v>79533.617922815829</v>
      </c>
      <c r="Y63" s="1021">
        <f t="shared" si="8"/>
        <v>28037.02069328733</v>
      </c>
      <c r="Z63" s="11">
        <v>1404.3457944584384</v>
      </c>
      <c r="AA63" s="1021">
        <f t="shared" si="9"/>
        <v>1404.3457944584384</v>
      </c>
      <c r="AB63" s="11">
        <v>0</v>
      </c>
      <c r="AC63" s="1021">
        <f t="shared" si="10"/>
        <v>0</v>
      </c>
      <c r="AD63" s="11">
        <v>30961.564004532578</v>
      </c>
      <c r="AE63" s="1021">
        <f t="shared" si="11"/>
        <v>12401.501790374252</v>
      </c>
      <c r="AF63" s="11">
        <v>27352.704000000143</v>
      </c>
      <c r="AG63" s="1021">
        <f t="shared" si="12"/>
        <v>27352.704000000143</v>
      </c>
      <c r="AH63" s="1021">
        <f t="shared" si="13"/>
        <v>189899.33333182626</v>
      </c>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row>
    <row r="64" spans="1:92" x14ac:dyDescent="0.25">
      <c r="A64" s="9" t="s">
        <v>441</v>
      </c>
      <c r="B64" s="10">
        <v>2430</v>
      </c>
      <c r="C64" s="11">
        <v>126</v>
      </c>
      <c r="D64" s="11">
        <v>0</v>
      </c>
      <c r="E64" s="11">
        <v>0</v>
      </c>
      <c r="F64" s="1021">
        <f t="shared" si="0"/>
        <v>38591.477030936971</v>
      </c>
      <c r="G64" s="11">
        <v>162262.15652546898</v>
      </c>
      <c r="H64" s="1021">
        <f t="shared" si="1"/>
        <v>57200.307983687599</v>
      </c>
      <c r="I64" s="11">
        <v>1444.9602050847457</v>
      </c>
      <c r="J64" s="1021">
        <f t="shared" si="2"/>
        <v>1444.9602050847457</v>
      </c>
      <c r="K64" s="11">
        <v>0</v>
      </c>
      <c r="L64" s="1021">
        <f t="shared" si="3"/>
        <v>0</v>
      </c>
      <c r="M64" s="11">
        <v>28952.326900000051</v>
      </c>
      <c r="N64" s="1021">
        <f t="shared" si="4"/>
        <v>11596.711775712887</v>
      </c>
      <c r="O64" s="11">
        <v>17275.391999999956</v>
      </c>
      <c r="P64" s="1021">
        <f t="shared" si="5"/>
        <v>17275.391999999956</v>
      </c>
      <c r="Q64" s="1021">
        <f t="shared" si="6"/>
        <v>126108.84899542216</v>
      </c>
      <c r="R64" s="11">
        <v>115278.40077310993</v>
      </c>
      <c r="S64" s="1096" t="s">
        <v>1095</v>
      </c>
      <c r="T64" s="11">
        <v>113</v>
      </c>
      <c r="U64" s="11">
        <v>0</v>
      </c>
      <c r="V64" s="11">
        <v>0</v>
      </c>
      <c r="W64" s="1021">
        <f t="shared" si="7"/>
        <v>33105.643201623279</v>
      </c>
      <c r="X64" s="11">
        <v>143364.03266487946</v>
      </c>
      <c r="Y64" s="1021">
        <f t="shared" si="8"/>
        <v>50538.381824892072</v>
      </c>
      <c r="Z64" s="11">
        <v>0</v>
      </c>
      <c r="AA64" s="1021">
        <f t="shared" si="9"/>
        <v>0</v>
      </c>
      <c r="AB64" s="11">
        <v>0</v>
      </c>
      <c r="AC64" s="1021">
        <f t="shared" si="10"/>
        <v>0</v>
      </c>
      <c r="AD64" s="11">
        <v>28073.589503225772</v>
      </c>
      <c r="AE64" s="1021">
        <f t="shared" si="11"/>
        <v>11244.737844493855</v>
      </c>
      <c r="AF64" s="11">
        <v>3239.136000000065</v>
      </c>
      <c r="AG64" s="1021">
        <f t="shared" si="12"/>
        <v>3239.136000000065</v>
      </c>
      <c r="AH64" s="1021">
        <f t="shared" si="13"/>
        <v>98127.898871009267</v>
      </c>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row>
    <row r="65" spans="1:92" x14ac:dyDescent="0.25">
      <c r="A65" s="9" t="s">
        <v>59</v>
      </c>
      <c r="B65" s="10">
        <v>2466</v>
      </c>
      <c r="C65" s="11">
        <v>221</v>
      </c>
      <c r="D65" s="11">
        <v>0</v>
      </c>
      <c r="E65" s="11">
        <v>0</v>
      </c>
      <c r="F65" s="1021">
        <f t="shared" si="0"/>
        <v>67688.225586008484</v>
      </c>
      <c r="G65" s="11">
        <v>103427.30293831274</v>
      </c>
      <c r="H65" s="1021">
        <f t="shared" si="1"/>
        <v>36459.971373947861</v>
      </c>
      <c r="I65" s="11">
        <v>4376.5008395121949</v>
      </c>
      <c r="J65" s="1021">
        <f t="shared" si="2"/>
        <v>4376.5008395121949</v>
      </c>
      <c r="K65" s="11">
        <v>0</v>
      </c>
      <c r="L65" s="1021">
        <f t="shared" si="3"/>
        <v>0</v>
      </c>
      <c r="M65" s="11">
        <v>7079.2523454545444</v>
      </c>
      <c r="N65" s="1021">
        <f t="shared" si="4"/>
        <v>2835.5596191398231</v>
      </c>
      <c r="O65" s="11">
        <v>37209.130712446356</v>
      </c>
      <c r="P65" s="1021">
        <f t="shared" si="5"/>
        <v>37209.130712446356</v>
      </c>
      <c r="Q65" s="1021">
        <f t="shared" si="6"/>
        <v>148569.3881310547</v>
      </c>
      <c r="R65" s="11">
        <v>126067.03453464157</v>
      </c>
      <c r="S65" s="1096" t="s">
        <v>1096</v>
      </c>
      <c r="T65" s="11">
        <v>164</v>
      </c>
      <c r="U65" s="11">
        <v>0</v>
      </c>
      <c r="V65" s="11">
        <v>0</v>
      </c>
      <c r="W65" s="1021">
        <f t="shared" si="7"/>
        <v>48047.1281864267</v>
      </c>
      <c r="X65" s="11">
        <v>76052.591240911162</v>
      </c>
      <c r="Y65" s="1021">
        <f t="shared" si="8"/>
        <v>26809.896620933912</v>
      </c>
      <c r="Z65" s="11">
        <v>2673.8257686746988</v>
      </c>
      <c r="AA65" s="1021">
        <f t="shared" si="9"/>
        <v>2673.8257686746988</v>
      </c>
      <c r="AB65" s="11">
        <v>0</v>
      </c>
      <c r="AC65" s="1021">
        <f t="shared" si="10"/>
        <v>0</v>
      </c>
      <c r="AD65" s="11">
        <v>5651.288987919459</v>
      </c>
      <c r="AE65" s="1021">
        <f t="shared" si="11"/>
        <v>2263.5959375742627</v>
      </c>
      <c r="AF65" s="11">
        <v>17360.075294117636</v>
      </c>
      <c r="AG65" s="1021">
        <f t="shared" si="12"/>
        <v>17360.075294117636</v>
      </c>
      <c r="AH65" s="1021">
        <f t="shared" si="13"/>
        <v>97154.5218077272</v>
      </c>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row>
    <row r="66" spans="1:92" x14ac:dyDescent="0.25">
      <c r="A66" s="9" t="s">
        <v>60</v>
      </c>
      <c r="B66" s="10">
        <v>3543</v>
      </c>
      <c r="C66" s="11">
        <v>303</v>
      </c>
      <c r="D66" s="11">
        <v>0</v>
      </c>
      <c r="E66" s="11">
        <v>0</v>
      </c>
      <c r="F66" s="1021">
        <f t="shared" si="0"/>
        <v>92803.31381249128</v>
      </c>
      <c r="G66" s="11">
        <v>106587.81861332542</v>
      </c>
      <c r="H66" s="1021">
        <f t="shared" si="1"/>
        <v>37574.109592427791</v>
      </c>
      <c r="I66" s="11">
        <v>0</v>
      </c>
      <c r="J66" s="1021">
        <f t="shared" si="2"/>
        <v>0</v>
      </c>
      <c r="K66" s="11">
        <v>0</v>
      </c>
      <c r="L66" s="1021">
        <f t="shared" si="3"/>
        <v>0</v>
      </c>
      <c r="M66" s="11">
        <v>28482.321593181856</v>
      </c>
      <c r="N66" s="1021">
        <f t="shared" si="4"/>
        <v>11408.453467665595</v>
      </c>
      <c r="O66" s="11">
        <v>0</v>
      </c>
      <c r="P66" s="1021">
        <f t="shared" si="5"/>
        <v>0</v>
      </c>
      <c r="Q66" s="1021">
        <f t="shared" si="6"/>
        <v>141785.87687258466</v>
      </c>
      <c r="R66" s="11">
        <v>146208.90040602622</v>
      </c>
      <c r="S66" s="1096" t="s">
        <v>1097</v>
      </c>
      <c r="T66" s="11">
        <v>293</v>
      </c>
      <c r="U66" s="11">
        <v>0</v>
      </c>
      <c r="V66" s="11">
        <v>0</v>
      </c>
      <c r="W66" s="1021">
        <f t="shared" si="7"/>
        <v>85840.296089164782</v>
      </c>
      <c r="X66" s="11">
        <v>119626.39372590552</v>
      </c>
      <c r="Y66" s="1021">
        <f t="shared" si="8"/>
        <v>42170.440173002578</v>
      </c>
      <c r="Z66" s="11">
        <v>0</v>
      </c>
      <c r="AA66" s="1021">
        <f t="shared" si="9"/>
        <v>0</v>
      </c>
      <c r="AB66" s="11">
        <v>0</v>
      </c>
      <c r="AC66" s="1021">
        <f t="shared" si="10"/>
        <v>0</v>
      </c>
      <c r="AD66" s="11">
        <v>22242.177720967731</v>
      </c>
      <c r="AE66" s="1021">
        <f t="shared" si="11"/>
        <v>8908.9946098337568</v>
      </c>
      <c r="AF66" s="11">
        <v>0</v>
      </c>
      <c r="AG66" s="1021">
        <f t="shared" si="12"/>
        <v>0</v>
      </c>
      <c r="AH66" s="1021">
        <f t="shared" si="13"/>
        <v>136919.73087200112</v>
      </c>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row>
    <row r="67" spans="1:92" x14ac:dyDescent="0.25">
      <c r="A67" s="9" t="s">
        <v>62</v>
      </c>
      <c r="B67" s="10">
        <v>3531</v>
      </c>
      <c r="C67" s="11">
        <v>345</v>
      </c>
      <c r="D67" s="11">
        <v>0</v>
      </c>
      <c r="E67" s="11">
        <v>0</v>
      </c>
      <c r="F67" s="1021">
        <f t="shared" si="0"/>
        <v>105667.13948947027</v>
      </c>
      <c r="G67" s="11">
        <v>169360.57853274309</v>
      </c>
      <c r="H67" s="1021">
        <f t="shared" si="1"/>
        <v>59702.628510596987</v>
      </c>
      <c r="I67" s="11">
        <v>0</v>
      </c>
      <c r="J67" s="1021">
        <f t="shared" si="2"/>
        <v>0</v>
      </c>
      <c r="K67" s="11">
        <v>0</v>
      </c>
      <c r="L67" s="1021">
        <f t="shared" si="3"/>
        <v>0</v>
      </c>
      <c r="M67" s="11">
        <v>34853.324562500129</v>
      </c>
      <c r="N67" s="1021">
        <f t="shared" si="4"/>
        <v>13960.327291575579</v>
      </c>
      <c r="O67" s="11">
        <v>0</v>
      </c>
      <c r="P67" s="1021">
        <f t="shared" si="5"/>
        <v>0</v>
      </c>
      <c r="Q67" s="1021">
        <f t="shared" si="6"/>
        <v>179330.09529164282</v>
      </c>
      <c r="R67" s="11">
        <v>193617.6032477988</v>
      </c>
      <c r="S67" s="1096" t="s">
        <v>1098</v>
      </c>
      <c r="T67" s="11">
        <v>350</v>
      </c>
      <c r="U67" s="11">
        <v>0</v>
      </c>
      <c r="V67" s="11">
        <v>0</v>
      </c>
      <c r="W67" s="1021">
        <f t="shared" si="7"/>
        <v>102539.60283688626</v>
      </c>
      <c r="X67" s="11">
        <v>220274.52151034499</v>
      </c>
      <c r="Y67" s="1021">
        <f t="shared" si="8"/>
        <v>77650.702672458734</v>
      </c>
      <c r="Z67" s="11">
        <v>0</v>
      </c>
      <c r="AA67" s="1021">
        <f t="shared" si="9"/>
        <v>0</v>
      </c>
      <c r="AB67" s="11">
        <v>0</v>
      </c>
      <c r="AC67" s="1021">
        <f t="shared" si="10"/>
        <v>0</v>
      </c>
      <c r="AD67" s="11">
        <v>21963.83419999999</v>
      </c>
      <c r="AE67" s="1021">
        <f t="shared" si="11"/>
        <v>8797.5054850235501</v>
      </c>
      <c r="AF67" s="11">
        <v>0</v>
      </c>
      <c r="AG67" s="1021">
        <f t="shared" si="12"/>
        <v>0</v>
      </c>
      <c r="AH67" s="1021">
        <f t="shared" si="13"/>
        <v>188987.81099436854</v>
      </c>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row>
    <row r="68" spans="1:92" x14ac:dyDescent="0.25">
      <c r="A68" s="9" t="s">
        <v>103</v>
      </c>
      <c r="B68" s="10">
        <v>3526</v>
      </c>
      <c r="C68" s="11">
        <v>90</v>
      </c>
      <c r="D68" s="11">
        <v>0</v>
      </c>
      <c r="E68" s="11">
        <v>0</v>
      </c>
      <c r="F68" s="1021">
        <f t="shared" si="0"/>
        <v>27565.340736383547</v>
      </c>
      <c r="G68" s="11">
        <v>70204.438682093489</v>
      </c>
      <c r="H68" s="1021">
        <f t="shared" si="1"/>
        <v>24748.318402925604</v>
      </c>
      <c r="I68" s="11">
        <v>0</v>
      </c>
      <c r="J68" s="1021">
        <f t="shared" si="2"/>
        <v>0</v>
      </c>
      <c r="K68" s="11">
        <v>0</v>
      </c>
      <c r="L68" s="1021">
        <f t="shared" si="3"/>
        <v>0</v>
      </c>
      <c r="M68" s="11">
        <v>56748.662526315798</v>
      </c>
      <c r="N68" s="1021">
        <f t="shared" si="4"/>
        <v>22730.396946950816</v>
      </c>
      <c r="O68" s="11">
        <v>4798.7199999999502</v>
      </c>
      <c r="P68" s="1021">
        <f t="shared" si="5"/>
        <v>4798.7199999999502</v>
      </c>
      <c r="Q68" s="1021">
        <f t="shared" si="6"/>
        <v>79842.77608625991</v>
      </c>
      <c r="R68" s="11">
        <v>77722.72802582357</v>
      </c>
      <c r="S68" s="1096" t="s">
        <v>1100</v>
      </c>
      <c r="T68" s="11">
        <v>83</v>
      </c>
      <c r="U68" s="11">
        <v>0</v>
      </c>
      <c r="V68" s="11">
        <v>0</v>
      </c>
      <c r="W68" s="1021">
        <f t="shared" si="7"/>
        <v>24316.534387033025</v>
      </c>
      <c r="X68" s="11">
        <v>73746.521281859386</v>
      </c>
      <c r="Y68" s="1021">
        <f t="shared" si="8"/>
        <v>25996.965776710927</v>
      </c>
      <c r="Z68" s="11">
        <v>0</v>
      </c>
      <c r="AA68" s="1021">
        <f t="shared" si="9"/>
        <v>0</v>
      </c>
      <c r="AB68" s="11">
        <v>0</v>
      </c>
      <c r="AC68" s="1021">
        <f t="shared" si="10"/>
        <v>0</v>
      </c>
      <c r="AD68" s="11">
        <v>50732.789571428548</v>
      </c>
      <c r="AE68" s="1021">
        <f t="shared" si="11"/>
        <v>20320.768699173135</v>
      </c>
      <c r="AF68" s="11">
        <v>839.77599999999563</v>
      </c>
      <c r="AG68" s="1021">
        <f t="shared" si="12"/>
        <v>839.77599999999563</v>
      </c>
      <c r="AH68" s="1021">
        <f t="shared" si="13"/>
        <v>71474.044862917086</v>
      </c>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row>
    <row r="69" spans="1:92" x14ac:dyDescent="0.25">
      <c r="A69" s="9" t="s">
        <v>104</v>
      </c>
      <c r="B69" s="10">
        <v>3535</v>
      </c>
      <c r="C69" s="11">
        <v>283</v>
      </c>
      <c r="D69" s="11">
        <v>0</v>
      </c>
      <c r="E69" s="11">
        <v>0</v>
      </c>
      <c r="F69" s="1021">
        <f t="shared" si="0"/>
        <v>86677.682537739383</v>
      </c>
      <c r="G69" s="11">
        <v>242805.69025291398</v>
      </c>
      <c r="H69" s="1021">
        <f t="shared" si="1"/>
        <v>85593.342033997673</v>
      </c>
      <c r="I69" s="11">
        <v>0</v>
      </c>
      <c r="J69" s="1021">
        <f t="shared" si="2"/>
        <v>0</v>
      </c>
      <c r="K69" s="11">
        <v>0</v>
      </c>
      <c r="L69" s="1021">
        <f t="shared" si="3"/>
        <v>0</v>
      </c>
      <c r="M69" s="11">
        <v>64407.623776595829</v>
      </c>
      <c r="N69" s="1021">
        <f t="shared" si="4"/>
        <v>25798.15610937071</v>
      </c>
      <c r="O69" s="11">
        <v>0</v>
      </c>
      <c r="P69" s="1021">
        <f t="shared" si="5"/>
        <v>0</v>
      </c>
      <c r="Q69" s="1021">
        <f t="shared" si="6"/>
        <v>198069.18068110777</v>
      </c>
      <c r="R69" s="11">
        <v>220431.19598324024</v>
      </c>
      <c r="S69" s="1096" t="s">
        <v>1101</v>
      </c>
      <c r="T69" s="11">
        <v>302</v>
      </c>
      <c r="U69" s="11">
        <v>0</v>
      </c>
      <c r="V69" s="11">
        <v>0</v>
      </c>
      <c r="W69" s="1021">
        <f t="shared" si="7"/>
        <v>88477.028733541854</v>
      </c>
      <c r="X69" s="11">
        <v>278328.69112808281</v>
      </c>
      <c r="Y69" s="1021">
        <f t="shared" si="8"/>
        <v>98115.834240894517</v>
      </c>
      <c r="Z69" s="11">
        <v>0</v>
      </c>
      <c r="AA69" s="1021">
        <f t="shared" si="9"/>
        <v>0</v>
      </c>
      <c r="AB69" s="11">
        <v>0</v>
      </c>
      <c r="AC69" s="1021">
        <f t="shared" si="10"/>
        <v>0</v>
      </c>
      <c r="AD69" s="11">
        <v>73837.602171428633</v>
      </c>
      <c r="AE69" s="1021">
        <f t="shared" si="11"/>
        <v>29575.287456146001</v>
      </c>
      <c r="AF69" s="11">
        <v>0</v>
      </c>
      <c r="AG69" s="1021">
        <f t="shared" si="12"/>
        <v>0</v>
      </c>
      <c r="AH69" s="1021">
        <f t="shared" si="13"/>
        <v>216168.15043058238</v>
      </c>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row>
    <row r="70" spans="1:92" x14ac:dyDescent="0.25">
      <c r="A70" s="12" t="s">
        <v>64</v>
      </c>
      <c r="B70" s="10">
        <v>2008</v>
      </c>
      <c r="C70" s="11">
        <v>226</v>
      </c>
      <c r="D70" s="11">
        <v>0</v>
      </c>
      <c r="E70" s="11">
        <v>0</v>
      </c>
      <c r="F70" s="1021">
        <f t="shared" si="0"/>
        <v>69219.633404696462</v>
      </c>
      <c r="G70" s="11">
        <v>132448.14666499273</v>
      </c>
      <c r="H70" s="1021">
        <f t="shared" si="1"/>
        <v>46690.337065235879</v>
      </c>
      <c r="I70" s="11">
        <v>0</v>
      </c>
      <c r="J70" s="1021">
        <f t="shared" si="2"/>
        <v>0</v>
      </c>
      <c r="K70" s="11">
        <v>0</v>
      </c>
      <c r="L70" s="1021">
        <f t="shared" si="3"/>
        <v>0</v>
      </c>
      <c r="M70" s="11">
        <v>14800.7019489796</v>
      </c>
      <c r="N70" s="1021">
        <f t="shared" si="4"/>
        <v>5928.348183321601</v>
      </c>
      <c r="O70" s="11">
        <v>0</v>
      </c>
      <c r="P70" s="1021">
        <f t="shared" si="5"/>
        <v>0</v>
      </c>
      <c r="Q70" s="1021">
        <f t="shared" si="6"/>
        <v>121838.31865325394</v>
      </c>
      <c r="R70" s="11">
        <v>128709.77151644258</v>
      </c>
      <c r="S70" s="1096" t="s">
        <v>1102</v>
      </c>
      <c r="T70" s="11">
        <v>221</v>
      </c>
      <c r="U70" s="11">
        <v>0</v>
      </c>
      <c r="V70" s="11">
        <v>0</v>
      </c>
      <c r="W70" s="1021">
        <f t="shared" si="7"/>
        <v>64746.434934148179</v>
      </c>
      <c r="X70" s="11">
        <v>148872.49561092767</v>
      </c>
      <c r="Y70" s="1021">
        <f t="shared" si="8"/>
        <v>52480.213387948075</v>
      </c>
      <c r="Z70" s="11">
        <v>0</v>
      </c>
      <c r="AA70" s="1021">
        <f t="shared" si="9"/>
        <v>0</v>
      </c>
      <c r="AB70" s="11">
        <v>0</v>
      </c>
      <c r="AC70" s="1021">
        <f t="shared" si="10"/>
        <v>0</v>
      </c>
      <c r="AD70" s="11">
        <v>9901.4225026178046</v>
      </c>
      <c r="AE70" s="1021">
        <f t="shared" si="11"/>
        <v>3965.9659594551022</v>
      </c>
      <c r="AF70" s="11">
        <v>0</v>
      </c>
      <c r="AG70" s="1021">
        <f t="shared" si="12"/>
        <v>0</v>
      </c>
      <c r="AH70" s="1021">
        <f t="shared" si="13"/>
        <v>121192.61428155136</v>
      </c>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row>
    <row r="71" spans="1:92" x14ac:dyDescent="0.25">
      <c r="A71" s="9" t="s">
        <v>105</v>
      </c>
      <c r="B71" s="10">
        <v>3542</v>
      </c>
      <c r="C71" s="11">
        <v>352</v>
      </c>
      <c r="D71" s="11">
        <v>0</v>
      </c>
      <c r="E71" s="11">
        <v>0</v>
      </c>
      <c r="F71" s="1021">
        <f t="shared" si="0"/>
        <v>107811.11043563343</v>
      </c>
      <c r="G71" s="11">
        <v>170046.16985602817</v>
      </c>
      <c r="H71" s="1021">
        <f t="shared" si="1"/>
        <v>59944.311695897777</v>
      </c>
      <c r="I71" s="11">
        <v>4048.1496747875358</v>
      </c>
      <c r="J71" s="1021">
        <f t="shared" si="2"/>
        <v>4048.1496747875358</v>
      </c>
      <c r="K71" s="11">
        <v>0</v>
      </c>
      <c r="L71" s="1021">
        <f t="shared" si="3"/>
        <v>0</v>
      </c>
      <c r="M71" s="11">
        <v>82333.001343999887</v>
      </c>
      <c r="N71" s="1021">
        <f t="shared" si="4"/>
        <v>32978.077703859679</v>
      </c>
      <c r="O71" s="11">
        <v>0</v>
      </c>
      <c r="P71" s="1021">
        <f t="shared" si="5"/>
        <v>0</v>
      </c>
      <c r="Q71" s="1021">
        <f t="shared" si="6"/>
        <v>204781.64951017842</v>
      </c>
      <c r="R71" s="11">
        <v>208366.82715156607</v>
      </c>
      <c r="S71" s="1096" t="s">
        <v>1104</v>
      </c>
      <c r="T71" s="11">
        <v>359</v>
      </c>
      <c r="U71" s="11">
        <v>0</v>
      </c>
      <c r="V71" s="11">
        <v>0</v>
      </c>
      <c r="W71" s="1021">
        <f t="shared" si="7"/>
        <v>105176.33548126333</v>
      </c>
      <c r="X71" s="11">
        <v>175623.22606938775</v>
      </c>
      <c r="Y71" s="1021">
        <f t="shared" si="8"/>
        <v>61910.323610674925</v>
      </c>
      <c r="Z71" s="11">
        <v>4128.6526512747878</v>
      </c>
      <c r="AA71" s="1021">
        <f t="shared" si="9"/>
        <v>4128.6526512747878</v>
      </c>
      <c r="AB71" s="11">
        <v>0</v>
      </c>
      <c r="AC71" s="1021">
        <f t="shared" si="10"/>
        <v>0</v>
      </c>
      <c r="AD71" s="11">
        <v>78308.032247058902</v>
      </c>
      <c r="AE71" s="1021">
        <f t="shared" si="11"/>
        <v>31365.896179224575</v>
      </c>
      <c r="AF71" s="11">
        <v>0</v>
      </c>
      <c r="AG71" s="1021">
        <f t="shared" si="12"/>
        <v>0</v>
      </c>
      <c r="AH71" s="1021">
        <f t="shared" si="13"/>
        <v>202581.20792243764</v>
      </c>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row>
    <row r="72" spans="1:92" x14ac:dyDescent="0.25">
      <c r="A72" s="9" t="s">
        <v>106</v>
      </c>
      <c r="B72" s="10">
        <v>3528</v>
      </c>
      <c r="C72" s="11">
        <v>346</v>
      </c>
      <c r="D72" s="11">
        <v>0</v>
      </c>
      <c r="E72" s="11">
        <v>0</v>
      </c>
      <c r="F72" s="1021">
        <f t="shared" si="0"/>
        <v>105973.42105320786</v>
      </c>
      <c r="G72" s="11">
        <v>156105.41643633443</v>
      </c>
      <c r="H72" s="1021">
        <f t="shared" si="1"/>
        <v>55029.947150237596</v>
      </c>
      <c r="I72" s="11">
        <v>1373.0585870967741</v>
      </c>
      <c r="J72" s="1021">
        <f t="shared" si="2"/>
        <v>1373.0585870967741</v>
      </c>
      <c r="K72" s="11">
        <v>0</v>
      </c>
      <c r="L72" s="1021">
        <f t="shared" si="3"/>
        <v>0</v>
      </c>
      <c r="M72" s="11">
        <v>73006.987758903982</v>
      </c>
      <c r="N72" s="1021">
        <f t="shared" si="4"/>
        <v>29242.588948973458</v>
      </c>
      <c r="O72" s="11">
        <v>6478.2720000000081</v>
      </c>
      <c r="P72" s="1021">
        <f t="shared" si="5"/>
        <v>6478.2720000000081</v>
      </c>
      <c r="Q72" s="1021">
        <f t="shared" si="6"/>
        <v>198097.28773951571</v>
      </c>
      <c r="R72" s="11">
        <v>209627.19415540452</v>
      </c>
      <c r="S72" s="1096" t="s">
        <v>1105</v>
      </c>
      <c r="T72" s="11">
        <v>352</v>
      </c>
      <c r="U72" s="11">
        <v>0</v>
      </c>
      <c r="V72" s="11">
        <v>0</v>
      </c>
      <c r="W72" s="1021">
        <f t="shared" si="7"/>
        <v>103125.5434245256</v>
      </c>
      <c r="X72" s="11">
        <v>171119.00476925517</v>
      </c>
      <c r="Y72" s="1021">
        <f t="shared" si="8"/>
        <v>60322.505162361442</v>
      </c>
      <c r="Z72" s="11">
        <v>1405.1099657817108</v>
      </c>
      <c r="AA72" s="1021">
        <f t="shared" si="9"/>
        <v>1405.1099657817108</v>
      </c>
      <c r="AB72" s="11">
        <v>0</v>
      </c>
      <c r="AC72" s="1021">
        <f t="shared" si="10"/>
        <v>0</v>
      </c>
      <c r="AD72" s="11">
        <v>47290.244674402813</v>
      </c>
      <c r="AE72" s="1021">
        <f t="shared" si="11"/>
        <v>18941.874315877176</v>
      </c>
      <c r="AF72" s="11">
        <v>10557.183999999997</v>
      </c>
      <c r="AG72" s="1021">
        <f t="shared" si="12"/>
        <v>10557.183999999997</v>
      </c>
      <c r="AH72" s="1021">
        <f t="shared" si="13"/>
        <v>194352.21686854592</v>
      </c>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row>
    <row r="73" spans="1:92" x14ac:dyDescent="0.25">
      <c r="A73" s="9" t="s">
        <v>107</v>
      </c>
      <c r="B73" s="10">
        <v>3534</v>
      </c>
      <c r="C73" s="11">
        <v>255</v>
      </c>
      <c r="D73" s="11">
        <v>0</v>
      </c>
      <c r="E73" s="11">
        <v>0</v>
      </c>
      <c r="F73" s="1021">
        <f t="shared" ref="F73:F78" si="14">C$4*C$5*C73+D$4*D$5*D73+E$4*E$5*E73</f>
        <v>78101.798753086725</v>
      </c>
      <c r="G73" s="11">
        <v>47629.660350973252</v>
      </c>
      <c r="H73" s="1021">
        <f t="shared" ref="H73:H78" si="15">H$4*G73</f>
        <v>16790.30588260715</v>
      </c>
      <c r="I73" s="11">
        <v>0</v>
      </c>
      <c r="J73" s="1021">
        <f t="shared" ref="J73:J78" si="16">J$4*I73</f>
        <v>0</v>
      </c>
      <c r="K73" s="11">
        <v>0</v>
      </c>
      <c r="L73" s="1021">
        <f t="shared" ref="L73:L78" si="17">L$4*K73</f>
        <v>0</v>
      </c>
      <c r="M73" s="11">
        <v>18900.262275590558</v>
      </c>
      <c r="N73" s="1021">
        <f t="shared" ref="N73:N78" si="18">N$4*M73</f>
        <v>7570.4068571912503</v>
      </c>
      <c r="O73" s="11">
        <v>0</v>
      </c>
      <c r="P73" s="1021">
        <f t="shared" ref="P73:P78" si="19">P$4*O73</f>
        <v>0</v>
      </c>
      <c r="Q73" s="1021">
        <f t="shared" ref="Q73:Q78" si="20">P73+N73+L73+J73+H73+F73</f>
        <v>102462.51149288513</v>
      </c>
      <c r="R73" s="11">
        <v>99135.694953140308</v>
      </c>
      <c r="S73" s="1096" t="s">
        <v>1106</v>
      </c>
      <c r="T73" s="11">
        <v>239</v>
      </c>
      <c r="U73" s="11">
        <v>0</v>
      </c>
      <c r="V73" s="11">
        <v>0</v>
      </c>
      <c r="W73" s="1021">
        <f t="shared" ref="W73:W78" si="21">T$4*T$5*T73+U$4*U$5*U73+V$4*V$5*V73</f>
        <v>70019.900222902332</v>
      </c>
      <c r="X73" s="11">
        <v>62007.506211168322</v>
      </c>
      <c r="Y73" s="1021">
        <f t="shared" ref="Y73:Y78" si="22">Y$4*X73</f>
        <v>21858.753319493382</v>
      </c>
      <c r="Z73" s="11">
        <v>2706.4333999999994</v>
      </c>
      <c r="AA73" s="1021">
        <f t="shared" ref="AA73:AA78" si="23">AA$4*Z73</f>
        <v>2706.4333999999994</v>
      </c>
      <c r="AB73" s="11">
        <v>0</v>
      </c>
      <c r="AC73" s="1021">
        <f t="shared" ref="AC73:AC78" si="24">AC$4*AB73</f>
        <v>0</v>
      </c>
      <c r="AD73" s="11">
        <v>24816.280199999957</v>
      </c>
      <c r="AE73" s="1021">
        <f t="shared" ref="AE73:AE78" si="25">AE$4*AD73</f>
        <v>9940.0386648967269</v>
      </c>
      <c r="AF73" s="11">
        <v>0</v>
      </c>
      <c r="AG73" s="1021">
        <f t="shared" ref="AG73:AG78" si="26">AG$4*AF73</f>
        <v>0</v>
      </c>
      <c r="AH73" s="1021">
        <f t="shared" ref="AH73:AH78" si="27">AG73+AE73+AC73+AA73+Y73+W73</f>
        <v>104525.12560729244</v>
      </c>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row>
    <row r="74" spans="1:92" x14ac:dyDescent="0.25">
      <c r="A74" s="9" t="s">
        <v>108</v>
      </c>
      <c r="B74" s="10">
        <v>3532</v>
      </c>
      <c r="C74" s="11">
        <v>317</v>
      </c>
      <c r="D74" s="11">
        <v>0</v>
      </c>
      <c r="E74" s="11">
        <v>0</v>
      </c>
      <c r="F74" s="1021">
        <f t="shared" si="14"/>
        <v>97091.25570481761</v>
      </c>
      <c r="G74" s="11">
        <v>35369.63872436541</v>
      </c>
      <c r="H74" s="1021">
        <f t="shared" si="15"/>
        <v>12468.42930987366</v>
      </c>
      <c r="I74" s="11">
        <v>0</v>
      </c>
      <c r="J74" s="1021">
        <f t="shared" si="16"/>
        <v>0</v>
      </c>
      <c r="K74" s="11">
        <v>0</v>
      </c>
      <c r="L74" s="1021">
        <f t="shared" si="17"/>
        <v>0</v>
      </c>
      <c r="M74" s="11">
        <v>0</v>
      </c>
      <c r="N74" s="1021">
        <f t="shared" si="18"/>
        <v>0</v>
      </c>
      <c r="O74" s="11">
        <v>0</v>
      </c>
      <c r="P74" s="1021">
        <f t="shared" si="19"/>
        <v>0</v>
      </c>
      <c r="Q74" s="1021">
        <f t="shared" si="20"/>
        <v>109559.68501469126</v>
      </c>
      <c r="R74" s="11">
        <v>111605.10695712068</v>
      </c>
      <c r="S74" s="1096" t="s">
        <v>1107</v>
      </c>
      <c r="T74" s="11">
        <v>303</v>
      </c>
      <c r="U74" s="11">
        <v>0</v>
      </c>
      <c r="V74" s="11">
        <v>0</v>
      </c>
      <c r="W74" s="1021">
        <f t="shared" si="21"/>
        <v>88769.999027361526</v>
      </c>
      <c r="X74" s="11">
        <v>51917.141484280161</v>
      </c>
      <c r="Y74" s="1021">
        <f t="shared" si="22"/>
        <v>18301.719551393879</v>
      </c>
      <c r="Z74" s="11">
        <v>0</v>
      </c>
      <c r="AA74" s="1021">
        <f t="shared" si="23"/>
        <v>0</v>
      </c>
      <c r="AB74" s="11">
        <v>0</v>
      </c>
      <c r="AC74" s="1021">
        <f t="shared" si="24"/>
        <v>0</v>
      </c>
      <c r="AD74" s="11">
        <v>0</v>
      </c>
      <c r="AE74" s="1021">
        <f t="shared" si="25"/>
        <v>0</v>
      </c>
      <c r="AF74" s="11">
        <v>0</v>
      </c>
      <c r="AG74" s="1021">
        <f t="shared" si="26"/>
        <v>0</v>
      </c>
      <c r="AH74" s="1021">
        <f t="shared" si="27"/>
        <v>107071.7185787554</v>
      </c>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row>
    <row r="75" spans="1:92" x14ac:dyDescent="0.25">
      <c r="A75" s="9" t="s">
        <v>65</v>
      </c>
      <c r="B75" s="10">
        <v>3546</v>
      </c>
      <c r="C75" s="11">
        <v>585</v>
      </c>
      <c r="D75" s="11">
        <v>0</v>
      </c>
      <c r="E75" s="11">
        <v>0</v>
      </c>
      <c r="F75" s="1021">
        <f t="shared" si="14"/>
        <v>179174.71478649307</v>
      </c>
      <c r="G75" s="11">
        <v>427071.29428119276</v>
      </c>
      <c r="H75" s="1021">
        <f t="shared" si="15"/>
        <v>150550.25821773757</v>
      </c>
      <c r="I75" s="11">
        <v>2782.5369753954305</v>
      </c>
      <c r="J75" s="1021">
        <f t="shared" si="16"/>
        <v>2782.5369753954305</v>
      </c>
      <c r="K75" s="11">
        <v>0</v>
      </c>
      <c r="L75" s="1021">
        <f t="shared" si="17"/>
        <v>0</v>
      </c>
      <c r="M75" s="11">
        <v>124392.57692727249</v>
      </c>
      <c r="N75" s="1021">
        <f t="shared" si="18"/>
        <v>49824.833307742512</v>
      </c>
      <c r="O75" s="11">
        <v>599.8400000000953</v>
      </c>
      <c r="P75" s="1021">
        <f t="shared" si="19"/>
        <v>599.8400000000953</v>
      </c>
      <c r="Q75" s="1021">
        <f t="shared" si="20"/>
        <v>382932.18328736868</v>
      </c>
      <c r="R75" s="11">
        <v>391221.6821293009</v>
      </c>
      <c r="S75" s="1096" t="s">
        <v>1109</v>
      </c>
      <c r="T75" s="11">
        <v>533</v>
      </c>
      <c r="U75" s="11">
        <v>0</v>
      </c>
      <c r="V75" s="11">
        <v>0</v>
      </c>
      <c r="W75" s="1021">
        <f t="shared" si="21"/>
        <v>156153.1666058868</v>
      </c>
      <c r="X75" s="11">
        <v>525635.14328996057</v>
      </c>
      <c r="Y75" s="1021">
        <f t="shared" si="22"/>
        <v>185295.77522603807</v>
      </c>
      <c r="Z75" s="11">
        <v>2890.8396837675346</v>
      </c>
      <c r="AA75" s="1021">
        <f t="shared" si="23"/>
        <v>2890.8396837675346</v>
      </c>
      <c r="AB75" s="11">
        <v>0</v>
      </c>
      <c r="AC75" s="1021">
        <f t="shared" si="24"/>
        <v>0</v>
      </c>
      <c r="AD75" s="11">
        <v>107076.83070338603</v>
      </c>
      <c r="AE75" s="1021">
        <f t="shared" si="25"/>
        <v>42889.096541804036</v>
      </c>
      <c r="AF75" s="11">
        <v>9237.5359999997272</v>
      </c>
      <c r="AG75" s="1021">
        <f t="shared" si="26"/>
        <v>9237.5359999997272</v>
      </c>
      <c r="AH75" s="1021">
        <f t="shared" si="27"/>
        <v>396466.41405749612</v>
      </c>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row>
    <row r="76" spans="1:92" x14ac:dyDescent="0.25">
      <c r="A76" s="9" t="s">
        <v>109</v>
      </c>
      <c r="B76" s="10">
        <v>3530</v>
      </c>
      <c r="C76" s="11">
        <v>335</v>
      </c>
      <c r="D76" s="11">
        <v>0</v>
      </c>
      <c r="E76" s="11">
        <v>0</v>
      </c>
      <c r="F76" s="1021">
        <f t="shared" si="14"/>
        <v>102604.32385209431</v>
      </c>
      <c r="G76" s="11">
        <v>18704.597107891201</v>
      </c>
      <c r="H76" s="1021">
        <f t="shared" si="15"/>
        <v>6593.7045223125342</v>
      </c>
      <c r="I76" s="11">
        <v>0</v>
      </c>
      <c r="J76" s="1021">
        <f t="shared" si="16"/>
        <v>0</v>
      </c>
      <c r="K76" s="11">
        <v>0</v>
      </c>
      <c r="L76" s="1021">
        <f t="shared" si="17"/>
        <v>0</v>
      </c>
      <c r="M76" s="11">
        <v>4231.3036605166008</v>
      </c>
      <c r="N76" s="1021">
        <f t="shared" si="18"/>
        <v>1694.8278166384555</v>
      </c>
      <c r="O76" s="11">
        <v>0</v>
      </c>
      <c r="P76" s="1021">
        <f t="shared" si="19"/>
        <v>0</v>
      </c>
      <c r="Q76" s="1021">
        <f t="shared" si="20"/>
        <v>110892.8561910453</v>
      </c>
      <c r="R76" s="11">
        <v>108738.24081917411</v>
      </c>
      <c r="S76" s="1096" t="s">
        <v>1111</v>
      </c>
      <c r="T76" s="11">
        <v>311</v>
      </c>
      <c r="U76" s="11">
        <v>0</v>
      </c>
      <c r="V76" s="11">
        <v>0</v>
      </c>
      <c r="W76" s="1021">
        <f t="shared" si="21"/>
        <v>91113.761377918927</v>
      </c>
      <c r="X76" s="11">
        <v>21796.648707300501</v>
      </c>
      <c r="Y76" s="1021">
        <f t="shared" si="22"/>
        <v>7683.7079314555931</v>
      </c>
      <c r="Z76" s="11">
        <v>2796.3481308970099</v>
      </c>
      <c r="AA76" s="1021">
        <f t="shared" si="23"/>
        <v>2796.3481308970099</v>
      </c>
      <c r="AB76" s="11">
        <v>0</v>
      </c>
      <c r="AC76" s="1021">
        <f t="shared" si="24"/>
        <v>0</v>
      </c>
      <c r="AD76" s="11">
        <v>6048.4820863636287</v>
      </c>
      <c r="AE76" s="1021">
        <f t="shared" si="25"/>
        <v>2422.6896745947361</v>
      </c>
      <c r="AF76" s="11">
        <v>0</v>
      </c>
      <c r="AG76" s="1021">
        <f t="shared" si="26"/>
        <v>0</v>
      </c>
      <c r="AH76" s="1021">
        <f t="shared" si="27"/>
        <v>104016.50711486627</v>
      </c>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row>
    <row r="77" spans="1:92" x14ac:dyDescent="0.25">
      <c r="A77" s="9" t="s">
        <v>67</v>
      </c>
      <c r="B77" s="10">
        <v>2459</v>
      </c>
      <c r="C77" s="11">
        <v>382</v>
      </c>
      <c r="D77" s="11">
        <v>0</v>
      </c>
      <c r="E77" s="11">
        <v>0</v>
      </c>
      <c r="F77" s="1021">
        <f t="shared" si="14"/>
        <v>116999.55734776128</v>
      </c>
      <c r="G77" s="11">
        <v>38593.510436559533</v>
      </c>
      <c r="H77" s="1021">
        <f t="shared" si="15"/>
        <v>13604.901662923259</v>
      </c>
      <c r="I77" s="11">
        <v>0</v>
      </c>
      <c r="J77" s="1021">
        <f t="shared" si="16"/>
        <v>0</v>
      </c>
      <c r="K77" s="11">
        <v>0</v>
      </c>
      <c r="L77" s="1021">
        <f t="shared" si="17"/>
        <v>0</v>
      </c>
      <c r="M77" s="11">
        <v>33191.939331692454</v>
      </c>
      <c r="N77" s="1021">
        <f t="shared" si="18"/>
        <v>13294.867629675215</v>
      </c>
      <c r="O77" s="11">
        <v>0</v>
      </c>
      <c r="P77" s="1021">
        <f t="shared" si="19"/>
        <v>0</v>
      </c>
      <c r="Q77" s="1021">
        <f t="shared" si="20"/>
        <v>143899.32664035977</v>
      </c>
      <c r="R77" s="11">
        <v>141956.68633589012</v>
      </c>
      <c r="S77" s="1096" t="s">
        <v>1112</v>
      </c>
      <c r="T77" s="11">
        <v>387</v>
      </c>
      <c r="U77" s="11">
        <v>0</v>
      </c>
      <c r="V77" s="11">
        <v>0</v>
      </c>
      <c r="W77" s="1021">
        <f t="shared" si="21"/>
        <v>113379.50370821424</v>
      </c>
      <c r="X77" s="11">
        <v>36024.402742347433</v>
      </c>
      <c r="Y77" s="1021">
        <f t="shared" si="22"/>
        <v>12699.24531951624</v>
      </c>
      <c r="Z77" s="11">
        <v>0</v>
      </c>
      <c r="AA77" s="1021">
        <f t="shared" si="23"/>
        <v>0</v>
      </c>
      <c r="AB77" s="11">
        <v>0</v>
      </c>
      <c r="AC77" s="1021">
        <f t="shared" si="24"/>
        <v>0</v>
      </c>
      <c r="AD77" s="11">
        <v>12006.126184894254</v>
      </c>
      <c r="AE77" s="1021">
        <f t="shared" si="25"/>
        <v>4808.9946410855773</v>
      </c>
      <c r="AF77" s="11">
        <v>0</v>
      </c>
      <c r="AG77" s="1021">
        <f t="shared" si="26"/>
        <v>0</v>
      </c>
      <c r="AH77" s="1021">
        <f t="shared" si="27"/>
        <v>130887.74366881605</v>
      </c>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row>
    <row r="78" spans="1:92" x14ac:dyDescent="0.25">
      <c r="A78" s="9" t="s">
        <v>846</v>
      </c>
      <c r="B78" s="10">
        <v>4000</v>
      </c>
      <c r="C78" s="11">
        <v>213.75</v>
      </c>
      <c r="D78" s="11">
        <v>0</v>
      </c>
      <c r="E78" s="11">
        <v>0</v>
      </c>
      <c r="F78" s="1021">
        <f t="shared" si="14"/>
        <v>65467.684248910926</v>
      </c>
      <c r="G78" s="11">
        <v>131181.12967952073</v>
      </c>
      <c r="H78" s="1021">
        <f t="shared" si="15"/>
        <v>46243.690950445787</v>
      </c>
      <c r="I78" s="11">
        <v>0</v>
      </c>
      <c r="J78" s="1021">
        <f t="shared" si="16"/>
        <v>0</v>
      </c>
      <c r="K78" s="11">
        <v>0</v>
      </c>
      <c r="L78" s="1021">
        <f t="shared" si="17"/>
        <v>0</v>
      </c>
      <c r="M78" s="11">
        <v>124119.60340178579</v>
      </c>
      <c r="N78" s="1021">
        <f t="shared" si="18"/>
        <v>49715.495108142764</v>
      </c>
      <c r="O78" s="11">
        <v>27456.312727272707</v>
      </c>
      <c r="P78" s="1021">
        <f t="shared" si="19"/>
        <v>27456.312727272707</v>
      </c>
      <c r="Q78" s="1021">
        <f t="shared" si="20"/>
        <v>188883.18303477217</v>
      </c>
      <c r="R78" s="11">
        <v>187497.4736205457</v>
      </c>
      <c r="S78" s="1096" t="s">
        <v>1114</v>
      </c>
      <c r="T78" s="11">
        <v>0</v>
      </c>
      <c r="U78" s="11">
        <v>0</v>
      </c>
      <c r="V78" s="11">
        <v>0</v>
      </c>
      <c r="W78" s="1021">
        <f t="shared" si="21"/>
        <v>0</v>
      </c>
      <c r="X78" s="11">
        <v>0</v>
      </c>
      <c r="Y78" s="1021">
        <f t="shared" si="22"/>
        <v>0</v>
      </c>
      <c r="Z78" s="11">
        <v>0</v>
      </c>
      <c r="AA78" s="1021">
        <f t="shared" si="23"/>
        <v>0</v>
      </c>
      <c r="AB78" s="11">
        <v>0</v>
      </c>
      <c r="AC78" s="1021">
        <f t="shared" si="24"/>
        <v>0</v>
      </c>
      <c r="AD78" s="11">
        <v>0</v>
      </c>
      <c r="AE78" s="1021">
        <f t="shared" si="25"/>
        <v>0</v>
      </c>
      <c r="AF78" s="11">
        <v>0</v>
      </c>
      <c r="AG78" s="1021">
        <f t="shared" si="26"/>
        <v>0</v>
      </c>
      <c r="AH78" s="1021">
        <f t="shared" si="27"/>
        <v>0</v>
      </c>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row>
    <row r="79" spans="1:92" s="56" customFormat="1" x14ac:dyDescent="0.25">
      <c r="A79" s="9"/>
      <c r="B79" s="10"/>
      <c r="C79" s="11"/>
      <c r="D79" s="11"/>
      <c r="E79" s="11"/>
      <c r="F79" s="1021"/>
      <c r="G79" s="11"/>
      <c r="H79" s="1021"/>
      <c r="I79" s="11"/>
      <c r="J79" s="1021"/>
      <c r="K79" s="11"/>
      <c r="L79" s="1021"/>
      <c r="M79" s="11"/>
      <c r="N79" s="1021"/>
      <c r="O79" s="11"/>
      <c r="P79" s="1021"/>
      <c r="Q79" s="1021"/>
      <c r="R79" s="11"/>
      <c r="S79" s="1096"/>
      <c r="T79" s="11"/>
      <c r="U79" s="11"/>
      <c r="V79" s="11"/>
      <c r="W79" s="1021"/>
      <c r="X79" s="11"/>
      <c r="Y79" s="1021"/>
      <c r="Z79" s="11"/>
      <c r="AA79" s="1021"/>
      <c r="AB79" s="11"/>
      <c r="AC79" s="1021"/>
      <c r="AD79" s="11"/>
      <c r="AE79" s="1021"/>
      <c r="AF79" s="11"/>
      <c r="AG79" s="1021"/>
      <c r="AH79" s="102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row>
    <row r="80" spans="1:92" x14ac:dyDescent="0.25">
      <c r="A80" s="1" t="s">
        <v>110</v>
      </c>
      <c r="B80" s="1" t="s">
        <v>110</v>
      </c>
      <c r="C80" s="29">
        <f t="shared" ref="C80:R80" si="28">SUM(C7:C78)</f>
        <v>22253.416666666664</v>
      </c>
      <c r="D80" s="29">
        <f t="shared" si="28"/>
        <v>0</v>
      </c>
      <c r="E80" s="29">
        <f t="shared" si="28"/>
        <v>0</v>
      </c>
      <c r="F80" s="1022">
        <f t="shared" si="28"/>
        <v>6815811.2551709246</v>
      </c>
      <c r="G80" s="29">
        <f t="shared" si="28"/>
        <v>11680747.947238836</v>
      </c>
      <c r="H80" s="1022">
        <f t="shared" si="28"/>
        <v>4117672.2556193518</v>
      </c>
      <c r="I80" s="29">
        <f t="shared" si="28"/>
        <v>92418.583563810898</v>
      </c>
      <c r="J80" s="1022">
        <f t="shared" si="28"/>
        <v>92418.583563810898</v>
      </c>
      <c r="K80" s="29">
        <f t="shared" si="28"/>
        <v>0</v>
      </c>
      <c r="L80" s="1022">
        <f t="shared" si="28"/>
        <v>0</v>
      </c>
      <c r="M80" s="29">
        <f t="shared" si="28"/>
        <v>3032086.3569122106</v>
      </c>
      <c r="N80" s="1022">
        <f t="shared" si="28"/>
        <v>1214487.239026793</v>
      </c>
      <c r="O80" s="29">
        <f t="shared" si="28"/>
        <v>417577.21689772222</v>
      </c>
      <c r="P80" s="1022">
        <f t="shared" si="28"/>
        <v>417577.21689772222</v>
      </c>
      <c r="Q80" s="1022">
        <f t="shared" si="28"/>
        <v>12657966.550278606</v>
      </c>
      <c r="R80" s="1022">
        <f t="shared" si="28"/>
        <v>12911711.227932792</v>
      </c>
      <c r="S80" s="1097"/>
      <c r="T80" s="29">
        <f t="shared" ref="T80:AH80" si="29">SUM(T7:T78)</f>
        <v>20999</v>
      </c>
      <c r="U80" s="29">
        <f t="shared" si="29"/>
        <v>0</v>
      </c>
      <c r="V80" s="29">
        <f t="shared" si="29"/>
        <v>0</v>
      </c>
      <c r="W80" s="1022">
        <f t="shared" si="29"/>
        <v>6152083.1999193598</v>
      </c>
      <c r="X80" s="29">
        <f t="shared" si="29"/>
        <v>12284856.175037136</v>
      </c>
      <c r="Y80" s="1022">
        <f t="shared" si="29"/>
        <v>4330631.1945702098</v>
      </c>
      <c r="Z80" s="29">
        <f t="shared" si="29"/>
        <v>119272.27144706488</v>
      </c>
      <c r="AA80" s="1022">
        <f t="shared" si="29"/>
        <v>119272.27144706488</v>
      </c>
      <c r="AB80" s="29">
        <f t="shared" si="29"/>
        <v>0</v>
      </c>
      <c r="AC80" s="1022">
        <f t="shared" si="29"/>
        <v>0</v>
      </c>
      <c r="AD80" s="29">
        <f t="shared" si="29"/>
        <v>2510314.1532008522</v>
      </c>
      <c r="AE80" s="1022">
        <f t="shared" si="29"/>
        <v>1005493.9556917965</v>
      </c>
      <c r="AF80" s="29">
        <f t="shared" si="29"/>
        <v>373508.14497325814</v>
      </c>
      <c r="AG80" s="1022">
        <f t="shared" si="29"/>
        <v>373508.14497325814</v>
      </c>
      <c r="AH80" s="1022">
        <f t="shared" si="29"/>
        <v>11980988.766601685</v>
      </c>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row>
    <row r="81" spans="1:92" x14ac:dyDescent="0.25">
      <c r="A81" s="9"/>
      <c r="B81" s="10"/>
      <c r="C81" s="11"/>
      <c r="D81" s="11"/>
      <c r="E81" s="11"/>
      <c r="F81" s="1021"/>
      <c r="G81" s="11"/>
      <c r="H81" s="1021"/>
      <c r="I81" s="11"/>
      <c r="J81" s="1021"/>
      <c r="K81" s="11"/>
      <c r="L81" s="1021"/>
      <c r="M81" s="11"/>
      <c r="N81" s="1021"/>
      <c r="O81" s="11"/>
      <c r="P81" s="1021"/>
      <c r="Q81" s="1021"/>
      <c r="R81" s="11"/>
      <c r="S81" s="1096"/>
      <c r="T81" s="11"/>
      <c r="U81" s="11"/>
      <c r="V81" s="11"/>
      <c r="W81" s="1021"/>
      <c r="X81" s="11"/>
      <c r="Y81" s="1021"/>
      <c r="Z81" s="11"/>
      <c r="AA81" s="1021"/>
      <c r="AB81" s="11"/>
      <c r="AC81" s="1021"/>
      <c r="AD81" s="11"/>
      <c r="AE81" s="1021"/>
      <c r="AF81" s="11"/>
      <c r="AG81" s="1021"/>
      <c r="AH81" s="102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row>
    <row r="82" spans="1:92" x14ac:dyDescent="0.25">
      <c r="A82" s="9" t="s">
        <v>75</v>
      </c>
      <c r="B82" s="10">
        <v>5402</v>
      </c>
      <c r="C82" s="11">
        <v>0</v>
      </c>
      <c r="D82" s="11">
        <v>807</v>
      </c>
      <c r="E82" s="11">
        <v>511</v>
      </c>
      <c r="F82" s="1021">
        <f t="shared" ref="F82:F96" si="30">C$4*C$5*C82+D$4*D$5*D82+E$4*E$5*E82</f>
        <v>456547.36075302935</v>
      </c>
      <c r="G82" s="11">
        <v>185008.49512372966</v>
      </c>
      <c r="H82" s="1021">
        <f t="shared" ref="H82:H96" si="31">H$4*G82</f>
        <v>65218.798562034681</v>
      </c>
      <c r="I82" s="11">
        <v>9429.5900862537765</v>
      </c>
      <c r="J82" s="1021">
        <f t="shared" ref="J82:J96" si="32">J$4*I82</f>
        <v>9429.5900862537765</v>
      </c>
      <c r="K82" s="11">
        <v>153888.85172034576</v>
      </c>
      <c r="L82" s="1021">
        <f t="shared" ref="L82:L96" si="33">L$4*K82</f>
        <v>54248.524875098243</v>
      </c>
      <c r="M82" s="11">
        <v>47814.91507553203</v>
      </c>
      <c r="N82" s="1021">
        <f t="shared" ref="N82:N96" si="34">N$4*M82</f>
        <v>19152.028457896868</v>
      </c>
      <c r="O82" s="11">
        <v>0</v>
      </c>
      <c r="P82" s="1021">
        <f t="shared" ref="P82:P96" si="35">P$4*O82</f>
        <v>0</v>
      </c>
      <c r="Q82" s="1021">
        <f t="shared" ref="Q82:Q96" si="36">P82+N82+L82+J82+H82+F82</f>
        <v>604596.30273431295</v>
      </c>
      <c r="R82" s="11">
        <v>617339.71072359174</v>
      </c>
      <c r="S82" s="1096" t="str">
        <f>CONCATENATE(831,B82)</f>
        <v>8315402</v>
      </c>
      <c r="T82" s="11">
        <v>0</v>
      </c>
      <c r="U82" s="11">
        <v>784</v>
      </c>
      <c r="V82" s="11">
        <v>549</v>
      </c>
      <c r="W82" s="1021">
        <f t="shared" ref="W82:W96" si="37">T$4*T$5*T82+U$4*U$5*U82+V$4*V$5*V82</f>
        <v>448008.94736233796</v>
      </c>
      <c r="X82" s="11">
        <v>195616.52412073404</v>
      </c>
      <c r="Y82" s="1021">
        <f t="shared" ref="Y82:Y96" si="38">Y$4*X82</f>
        <v>68958.318230216202</v>
      </c>
      <c r="Z82" s="11">
        <v>9339.3972098372778</v>
      </c>
      <c r="AA82" s="1021">
        <f t="shared" ref="AA82:AA96" si="39">AA$4*Z82</f>
        <v>9339.3972098372778</v>
      </c>
      <c r="AB82" s="11">
        <v>164042.58652519892</v>
      </c>
      <c r="AC82" s="1021">
        <f t="shared" ref="AC82:AC96" si="40">AC$4*AB82</f>
        <v>57827.894848806369</v>
      </c>
      <c r="AD82" s="11">
        <v>32863.051717207542</v>
      </c>
      <c r="AE82" s="1021">
        <f t="shared" ref="AE82:AE96" si="41">AE$4*AD82</f>
        <v>13163.133317439908</v>
      </c>
      <c r="AF82" s="11">
        <v>0</v>
      </c>
      <c r="AG82" s="1021">
        <f t="shared" ref="AG82:AG96" si="42">AG$4*AF82</f>
        <v>0</v>
      </c>
      <c r="AH82" s="1021">
        <f t="shared" ref="AH82:AH96" si="43">AG82+AE82+AC82+AA82+Y82+W82</f>
        <v>597297.6909686377</v>
      </c>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row>
    <row r="83" spans="1:92" x14ac:dyDescent="0.25">
      <c r="A83" s="9" t="s">
        <v>68</v>
      </c>
      <c r="B83" s="10">
        <v>4608</v>
      </c>
      <c r="C83" s="11">
        <v>0</v>
      </c>
      <c r="D83" s="11">
        <v>335</v>
      </c>
      <c r="E83" s="11">
        <v>220</v>
      </c>
      <c r="F83" s="1021">
        <f t="shared" si="30"/>
        <v>192242.99841430967</v>
      </c>
      <c r="G83" s="11">
        <v>407620.51015922776</v>
      </c>
      <c r="H83" s="1021">
        <f t="shared" si="31"/>
        <v>143693.5094469545</v>
      </c>
      <c r="I83" s="11">
        <v>4104.0178606557374</v>
      </c>
      <c r="J83" s="1021">
        <f t="shared" si="32"/>
        <v>4104.0178606557374</v>
      </c>
      <c r="K83" s="11">
        <v>150065.0134078213</v>
      </c>
      <c r="L83" s="1021">
        <f t="shared" si="33"/>
        <v>52900.554664804506</v>
      </c>
      <c r="M83" s="11">
        <v>30153.068399999964</v>
      </c>
      <c r="N83" s="1021">
        <f t="shared" si="34"/>
        <v>12077.662862674955</v>
      </c>
      <c r="O83" s="11">
        <v>0</v>
      </c>
      <c r="P83" s="1021">
        <f t="shared" si="35"/>
        <v>0</v>
      </c>
      <c r="Q83" s="1021">
        <f t="shared" si="36"/>
        <v>405018.74324939935</v>
      </c>
      <c r="R83" s="11">
        <v>429343.86335597991</v>
      </c>
      <c r="S83" s="1096" t="str">
        <f t="shared" ref="S83:S96" si="44">CONCATENATE(831,B83)</f>
        <v>8314608</v>
      </c>
      <c r="T83" s="11">
        <v>0</v>
      </c>
      <c r="U83" s="11">
        <v>317</v>
      </c>
      <c r="V83" s="11">
        <v>241</v>
      </c>
      <c r="W83" s="1021">
        <f t="shared" si="37"/>
        <v>187538.62912842055</v>
      </c>
      <c r="X83" s="11">
        <v>450549.38676853414</v>
      </c>
      <c r="Y83" s="1021">
        <f t="shared" si="38"/>
        <v>158826.70511023674</v>
      </c>
      <c r="Z83" s="11">
        <v>7525.862976079733</v>
      </c>
      <c r="AA83" s="1021">
        <f t="shared" si="39"/>
        <v>7525.862976079733</v>
      </c>
      <c r="AB83" s="11">
        <v>181552.20071005917</v>
      </c>
      <c r="AC83" s="1021">
        <f t="shared" si="40"/>
        <v>64000.341585798829</v>
      </c>
      <c r="AD83" s="11">
        <v>35432.576766065002</v>
      </c>
      <c r="AE83" s="1021">
        <f t="shared" si="41"/>
        <v>14192.343905417707</v>
      </c>
      <c r="AF83" s="11">
        <v>0</v>
      </c>
      <c r="AG83" s="1021">
        <f t="shared" si="42"/>
        <v>0</v>
      </c>
      <c r="AH83" s="1021">
        <f t="shared" si="43"/>
        <v>432083.88270595355</v>
      </c>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row>
    <row r="84" spans="1:92" x14ac:dyDescent="0.25">
      <c r="A84" s="9" t="s">
        <v>111</v>
      </c>
      <c r="B84" s="10">
        <v>4178</v>
      </c>
      <c r="C84" s="11">
        <v>0</v>
      </c>
      <c r="D84" s="11">
        <v>781</v>
      </c>
      <c r="E84" s="11">
        <v>512</v>
      </c>
      <c r="F84" s="1021">
        <f t="shared" si="30"/>
        <v>447874.86780153814</v>
      </c>
      <c r="G84" s="11">
        <v>643497.0779229803</v>
      </c>
      <c r="H84" s="1021">
        <f t="shared" si="31"/>
        <v>226844.21205766484</v>
      </c>
      <c r="I84" s="11">
        <v>11984.30954178082</v>
      </c>
      <c r="J84" s="1021">
        <f t="shared" si="32"/>
        <v>11984.30954178082</v>
      </c>
      <c r="K84" s="11">
        <v>267931.93740384566</v>
      </c>
      <c r="L84" s="1021">
        <f t="shared" si="33"/>
        <v>94450.716920672916</v>
      </c>
      <c r="M84" s="11">
        <v>106110.19521321919</v>
      </c>
      <c r="N84" s="1021">
        <f t="shared" si="34"/>
        <v>42501.915462702593</v>
      </c>
      <c r="O84" s="11">
        <v>0</v>
      </c>
      <c r="P84" s="1021">
        <f t="shared" si="35"/>
        <v>0</v>
      </c>
      <c r="Q84" s="1021">
        <f t="shared" si="36"/>
        <v>823656.02178435936</v>
      </c>
      <c r="R84" s="11">
        <v>866437.45222145389</v>
      </c>
      <c r="S84" s="1096" t="str">
        <f t="shared" si="44"/>
        <v>8314178</v>
      </c>
      <c r="T84" s="11">
        <v>0</v>
      </c>
      <c r="U84" s="11">
        <v>783</v>
      </c>
      <c r="V84" s="11">
        <v>525</v>
      </c>
      <c r="W84" s="1021">
        <f t="shared" si="37"/>
        <v>439606.6790322116</v>
      </c>
      <c r="X84" s="11">
        <v>660471.54511379823</v>
      </c>
      <c r="Y84" s="1021">
        <f t="shared" si="38"/>
        <v>232828.0148861536</v>
      </c>
      <c r="Z84" s="11">
        <v>6908.6941592505855</v>
      </c>
      <c r="AA84" s="1021">
        <f t="shared" si="39"/>
        <v>6908.6941592505855</v>
      </c>
      <c r="AB84" s="11">
        <v>314932.61284595274</v>
      </c>
      <c r="AC84" s="1021">
        <f t="shared" si="40"/>
        <v>111019.28106527407</v>
      </c>
      <c r="AD84" s="11">
        <v>122011.48791090482</v>
      </c>
      <c r="AE84" s="1021">
        <f t="shared" si="41"/>
        <v>48871.099843399395</v>
      </c>
      <c r="AF84" s="11">
        <v>0</v>
      </c>
      <c r="AG84" s="1021">
        <f t="shared" si="42"/>
        <v>0</v>
      </c>
      <c r="AH84" s="1021">
        <f t="shared" si="43"/>
        <v>839233.76898628916</v>
      </c>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row>
    <row r="85" spans="1:92" x14ac:dyDescent="0.25">
      <c r="A85" s="9" t="s">
        <v>69</v>
      </c>
      <c r="B85" s="10">
        <v>4181</v>
      </c>
      <c r="C85" s="11">
        <v>0</v>
      </c>
      <c r="D85" s="11">
        <v>634</v>
      </c>
      <c r="E85" s="11">
        <v>431</v>
      </c>
      <c r="F85" s="1021">
        <f t="shared" si="30"/>
        <v>368888.27800138103</v>
      </c>
      <c r="G85" s="11">
        <v>345141.84563782974</v>
      </c>
      <c r="H85" s="1021">
        <f t="shared" si="31"/>
        <v>121668.66440878005</v>
      </c>
      <c r="I85" s="11">
        <v>2673.7955204081632</v>
      </c>
      <c r="J85" s="1021">
        <f t="shared" si="32"/>
        <v>2673.7955204081632</v>
      </c>
      <c r="K85" s="11">
        <v>242791.80113314488</v>
      </c>
      <c r="L85" s="1021">
        <f t="shared" si="33"/>
        <v>85588.377039660205</v>
      </c>
      <c r="M85" s="11">
        <v>22280.077136447737</v>
      </c>
      <c r="N85" s="1021">
        <f t="shared" si="34"/>
        <v>8924.1750338220481</v>
      </c>
      <c r="O85" s="11">
        <v>0</v>
      </c>
      <c r="P85" s="1021">
        <f t="shared" si="35"/>
        <v>0</v>
      </c>
      <c r="Q85" s="1021">
        <f t="shared" si="36"/>
        <v>587743.29000405152</v>
      </c>
      <c r="R85" s="11">
        <v>589327.02415280964</v>
      </c>
      <c r="S85" s="1096" t="str">
        <f t="shared" si="44"/>
        <v>8314181</v>
      </c>
      <c r="T85" s="11">
        <v>0</v>
      </c>
      <c r="U85" s="11">
        <v>643</v>
      </c>
      <c r="V85" s="11">
        <v>424</v>
      </c>
      <c r="W85" s="1021">
        <f t="shared" si="37"/>
        <v>358608.81232979341</v>
      </c>
      <c r="X85" s="11">
        <v>343018.31678571785</v>
      </c>
      <c r="Y85" s="1021">
        <f t="shared" si="38"/>
        <v>120920.08256471969</v>
      </c>
      <c r="Z85" s="11">
        <v>3973.9877584403671</v>
      </c>
      <c r="AA85" s="1021">
        <f t="shared" si="39"/>
        <v>3973.9877584403671</v>
      </c>
      <c r="AB85" s="11">
        <v>256062.98739562626</v>
      </c>
      <c r="AC85" s="1021">
        <f t="shared" si="40"/>
        <v>90266.703442345941</v>
      </c>
      <c r="AD85" s="11">
        <v>17329.429661403512</v>
      </c>
      <c r="AE85" s="1021">
        <f t="shared" si="41"/>
        <v>6941.2175993628325</v>
      </c>
      <c r="AF85" s="11">
        <v>0</v>
      </c>
      <c r="AG85" s="1021">
        <f t="shared" si="42"/>
        <v>0</v>
      </c>
      <c r="AH85" s="1021">
        <f t="shared" si="43"/>
        <v>580710.80369466217</v>
      </c>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row>
    <row r="86" spans="1:92" x14ac:dyDescent="0.25">
      <c r="A86" s="9" t="s">
        <v>70</v>
      </c>
      <c r="B86" s="10">
        <v>4182</v>
      </c>
      <c r="C86" s="11">
        <v>0</v>
      </c>
      <c r="D86" s="11">
        <v>884</v>
      </c>
      <c r="E86" s="11">
        <v>544</v>
      </c>
      <c r="F86" s="1021">
        <f t="shared" si="30"/>
        <v>494662.11294739856</v>
      </c>
      <c r="G86" s="11">
        <v>167516.3232306104</v>
      </c>
      <c r="H86" s="1021">
        <f t="shared" si="31"/>
        <v>59052.495580396593</v>
      </c>
      <c r="I86" s="11">
        <v>15270.350519827587</v>
      </c>
      <c r="J86" s="1021">
        <f t="shared" si="32"/>
        <v>15270.350519827587</v>
      </c>
      <c r="K86" s="11">
        <v>183632.87010846045</v>
      </c>
      <c r="L86" s="1021">
        <f t="shared" si="33"/>
        <v>64733.814117136877</v>
      </c>
      <c r="M86" s="11">
        <v>95820.221577512115</v>
      </c>
      <c r="N86" s="1021">
        <f t="shared" si="34"/>
        <v>38380.317262836339</v>
      </c>
      <c r="O86" s="11">
        <v>0</v>
      </c>
      <c r="P86" s="1021">
        <f t="shared" si="35"/>
        <v>0</v>
      </c>
      <c r="Q86" s="1021">
        <f t="shared" si="36"/>
        <v>672099.09042759589</v>
      </c>
      <c r="R86" s="11">
        <v>652948.06563267286</v>
      </c>
      <c r="S86" s="1096" t="str">
        <f t="shared" si="44"/>
        <v>8314182</v>
      </c>
      <c r="T86" s="11">
        <v>0</v>
      </c>
      <c r="U86" s="11">
        <v>842</v>
      </c>
      <c r="V86" s="11">
        <v>530</v>
      </c>
      <c r="W86" s="1021">
        <f t="shared" si="37"/>
        <v>461116.4859573351</v>
      </c>
      <c r="X86" s="11">
        <v>167970.55545156039</v>
      </c>
      <c r="Y86" s="1021">
        <f t="shared" si="38"/>
        <v>59212.620550326814</v>
      </c>
      <c r="Z86" s="11">
        <v>8388.3131584337352</v>
      </c>
      <c r="AA86" s="1021">
        <f t="shared" si="39"/>
        <v>8388.3131584337352</v>
      </c>
      <c r="AB86" s="11">
        <v>197438.67250414565</v>
      </c>
      <c r="AC86" s="1021">
        <f t="shared" si="40"/>
        <v>69600.602102819146</v>
      </c>
      <c r="AD86" s="11">
        <v>80702.286944257561</v>
      </c>
      <c r="AE86" s="1021">
        <f t="shared" si="41"/>
        <v>32324.903092104505</v>
      </c>
      <c r="AF86" s="11">
        <v>0</v>
      </c>
      <c r="AG86" s="1021">
        <f t="shared" si="42"/>
        <v>0</v>
      </c>
      <c r="AH86" s="1021">
        <f t="shared" si="43"/>
        <v>630642.92486101924</v>
      </c>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row>
    <row r="87" spans="1:92" x14ac:dyDescent="0.25">
      <c r="A87" s="9" t="s">
        <v>71</v>
      </c>
      <c r="B87" s="936">
        <v>4001</v>
      </c>
      <c r="C87" s="11">
        <v>0</v>
      </c>
      <c r="D87" s="11">
        <v>400</v>
      </c>
      <c r="E87" s="11">
        <v>263</v>
      </c>
      <c r="F87" s="1021">
        <f t="shared" si="30"/>
        <v>229652.22308222408</v>
      </c>
      <c r="G87" s="11">
        <v>550166.97540022153</v>
      </c>
      <c r="H87" s="1021">
        <f t="shared" si="31"/>
        <v>193943.68415414845</v>
      </c>
      <c r="I87" s="11">
        <v>7313.9891747282609</v>
      </c>
      <c r="J87" s="1021">
        <f t="shared" si="32"/>
        <v>7313.9891747282609</v>
      </c>
      <c r="K87" s="11">
        <v>298508.94407960214</v>
      </c>
      <c r="L87" s="1021">
        <f t="shared" si="33"/>
        <v>105229.64917412942</v>
      </c>
      <c r="M87" s="11">
        <v>105535.73940000006</v>
      </c>
      <c r="N87" s="1021">
        <f t="shared" si="34"/>
        <v>42271.820019362422</v>
      </c>
      <c r="O87" s="11">
        <v>0</v>
      </c>
      <c r="P87" s="1021">
        <f t="shared" si="35"/>
        <v>0</v>
      </c>
      <c r="Q87" s="1021">
        <f t="shared" si="36"/>
        <v>578411.36560459272</v>
      </c>
      <c r="R87" s="11">
        <v>682286.51808342396</v>
      </c>
      <c r="S87" s="1096" t="str">
        <f t="shared" si="44"/>
        <v>8314001</v>
      </c>
      <c r="T87" s="11">
        <v>0</v>
      </c>
      <c r="U87" s="11">
        <v>426</v>
      </c>
      <c r="V87" s="11">
        <v>339</v>
      </c>
      <c r="W87" s="1021">
        <f t="shared" si="37"/>
        <v>257109.41090186688</v>
      </c>
      <c r="X87" s="11">
        <v>686057.17368870194</v>
      </c>
      <c r="Y87" s="1021">
        <f t="shared" si="38"/>
        <v>241847.40588759771</v>
      </c>
      <c r="Z87" s="11">
        <v>8626.7564624999995</v>
      </c>
      <c r="AA87" s="1021">
        <f t="shared" si="39"/>
        <v>8626.7564624999995</v>
      </c>
      <c r="AB87" s="11">
        <v>336249.07565217407</v>
      </c>
      <c r="AC87" s="1021">
        <f t="shared" si="40"/>
        <v>118533.70884782616</v>
      </c>
      <c r="AD87" s="11">
        <v>123286.1877153142</v>
      </c>
      <c r="AE87" s="1021">
        <f t="shared" si="41"/>
        <v>49381.674564503868</v>
      </c>
      <c r="AF87" s="11">
        <v>0</v>
      </c>
      <c r="AG87" s="1021">
        <f t="shared" si="42"/>
        <v>0</v>
      </c>
      <c r="AH87" s="1021">
        <f t="shared" si="43"/>
        <v>675498.95666429459</v>
      </c>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row>
    <row r="88" spans="1:92" x14ac:dyDescent="0.25">
      <c r="A88" s="9" t="s">
        <v>112</v>
      </c>
      <c r="B88" s="10">
        <v>5406</v>
      </c>
      <c r="C88" s="11">
        <v>0</v>
      </c>
      <c r="D88" s="11">
        <v>509</v>
      </c>
      <c r="E88" s="11">
        <v>314</v>
      </c>
      <c r="F88" s="1021">
        <f t="shared" si="30"/>
        <v>285088.31583615742</v>
      </c>
      <c r="G88" s="11">
        <v>342865.27408482716</v>
      </c>
      <c r="H88" s="1021">
        <f t="shared" si="31"/>
        <v>120866.13227949574</v>
      </c>
      <c r="I88" s="11">
        <v>2648.5073581450652</v>
      </c>
      <c r="J88" s="1021">
        <f t="shared" si="32"/>
        <v>2648.5073581450652</v>
      </c>
      <c r="K88" s="11">
        <v>192104.45005102057</v>
      </c>
      <c r="L88" s="1021">
        <f t="shared" si="33"/>
        <v>67720.194937500069</v>
      </c>
      <c r="M88" s="11">
        <v>63513.450279483994</v>
      </c>
      <c r="N88" s="1021">
        <f t="shared" si="34"/>
        <v>25439.999324276963</v>
      </c>
      <c r="O88" s="11">
        <v>0</v>
      </c>
      <c r="P88" s="1021">
        <f t="shared" si="35"/>
        <v>0</v>
      </c>
      <c r="Q88" s="1021">
        <f t="shared" si="36"/>
        <v>501763.14973557525</v>
      </c>
      <c r="R88" s="11">
        <v>545444.86429243244</v>
      </c>
      <c r="S88" s="1096" t="str">
        <f t="shared" si="44"/>
        <v>8315406</v>
      </c>
      <c r="T88" s="11">
        <v>0</v>
      </c>
      <c r="U88" s="11">
        <v>478</v>
      </c>
      <c r="V88" s="11">
        <v>372</v>
      </c>
      <c r="W88" s="1021">
        <f t="shared" si="37"/>
        <v>285677.12322429649</v>
      </c>
      <c r="X88" s="11">
        <v>367176.6806318551</v>
      </c>
      <c r="Y88" s="1021">
        <f t="shared" si="38"/>
        <v>129436.33726002897</v>
      </c>
      <c r="Z88" s="11">
        <v>6354.8850552486192</v>
      </c>
      <c r="AA88" s="1021">
        <f t="shared" si="39"/>
        <v>6354.8850552486192</v>
      </c>
      <c r="AB88" s="11">
        <v>227516.08344923533</v>
      </c>
      <c r="AC88" s="1021">
        <f t="shared" si="40"/>
        <v>80203.418080667703</v>
      </c>
      <c r="AD88" s="11">
        <v>70857.328981042709</v>
      </c>
      <c r="AE88" s="1021">
        <f t="shared" si="41"/>
        <v>28381.553725480302</v>
      </c>
      <c r="AF88" s="11">
        <v>0</v>
      </c>
      <c r="AG88" s="1021">
        <f t="shared" si="42"/>
        <v>0</v>
      </c>
      <c r="AH88" s="1021">
        <f t="shared" si="43"/>
        <v>530053.31734572211</v>
      </c>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row>
    <row r="89" spans="1:92" x14ac:dyDescent="0.25">
      <c r="A89" s="9" t="s">
        <v>113</v>
      </c>
      <c r="B89" s="10">
        <v>5407</v>
      </c>
      <c r="C89" s="11">
        <v>0</v>
      </c>
      <c r="D89" s="11">
        <v>730</v>
      </c>
      <c r="E89" s="11">
        <v>372</v>
      </c>
      <c r="F89" s="1021">
        <f t="shared" si="30"/>
        <v>381791.57157725899</v>
      </c>
      <c r="G89" s="11">
        <v>615975.40256697498</v>
      </c>
      <c r="H89" s="1021">
        <f t="shared" si="31"/>
        <v>217142.32999039756</v>
      </c>
      <c r="I89" s="11">
        <v>4297.5354564841491</v>
      </c>
      <c r="J89" s="1021">
        <f t="shared" si="32"/>
        <v>4297.5354564841491</v>
      </c>
      <c r="K89" s="11">
        <v>281815.77412206528</v>
      </c>
      <c r="L89" s="1021">
        <f t="shared" si="33"/>
        <v>99345.013376525676</v>
      </c>
      <c r="M89" s="11">
        <v>52863.811281272741</v>
      </c>
      <c r="N89" s="1021">
        <f t="shared" si="34"/>
        <v>21174.338936971533</v>
      </c>
      <c r="O89" s="11">
        <v>0</v>
      </c>
      <c r="P89" s="1021">
        <f t="shared" si="35"/>
        <v>0</v>
      </c>
      <c r="Q89" s="1021">
        <f t="shared" si="36"/>
        <v>723750.78933763783</v>
      </c>
      <c r="R89" s="11">
        <v>717657.49673865712</v>
      </c>
      <c r="S89" s="1096" t="str">
        <f t="shared" si="44"/>
        <v>8315407</v>
      </c>
      <c r="T89" s="11">
        <v>0</v>
      </c>
      <c r="U89" s="11">
        <v>612</v>
      </c>
      <c r="V89" s="11">
        <v>383</v>
      </c>
      <c r="W89" s="1021">
        <f t="shared" si="37"/>
        <v>334410.27953902946</v>
      </c>
      <c r="X89" s="11">
        <v>570802.92841322662</v>
      </c>
      <c r="Y89" s="1021">
        <f t="shared" si="38"/>
        <v>201218.22612472507</v>
      </c>
      <c r="Z89" s="11">
        <v>6827.8428828600399</v>
      </c>
      <c r="AA89" s="1021">
        <f t="shared" si="39"/>
        <v>6827.8428828600399</v>
      </c>
      <c r="AB89" s="11">
        <v>312957.84427645826</v>
      </c>
      <c r="AC89" s="1021">
        <f t="shared" si="40"/>
        <v>110323.14043736516</v>
      </c>
      <c r="AD89" s="11">
        <v>45229.602599999911</v>
      </c>
      <c r="AE89" s="1021">
        <f t="shared" si="41"/>
        <v>18116.49429401242</v>
      </c>
      <c r="AF89" s="11">
        <v>0</v>
      </c>
      <c r="AG89" s="1021">
        <f t="shared" si="42"/>
        <v>0</v>
      </c>
      <c r="AH89" s="1021">
        <f t="shared" si="43"/>
        <v>670895.98327799211</v>
      </c>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row>
    <row r="90" spans="1:92" x14ac:dyDescent="0.25">
      <c r="A90" s="9" t="s">
        <v>72</v>
      </c>
      <c r="B90" s="10">
        <v>4607</v>
      </c>
      <c r="C90" s="11">
        <v>0</v>
      </c>
      <c r="D90" s="11">
        <v>689</v>
      </c>
      <c r="E90" s="11">
        <v>444</v>
      </c>
      <c r="F90" s="1021">
        <f t="shared" si="30"/>
        <v>392458.87358951033</v>
      </c>
      <c r="G90" s="11">
        <v>552223.72826722218</v>
      </c>
      <c r="H90" s="1021">
        <f t="shared" si="31"/>
        <v>194668.72627091769</v>
      </c>
      <c r="I90" s="11">
        <v>2634.3548472508592</v>
      </c>
      <c r="J90" s="1021">
        <f t="shared" si="32"/>
        <v>2634.3548472508592</v>
      </c>
      <c r="K90" s="11">
        <v>259994.97360072911</v>
      </c>
      <c r="L90" s="1021">
        <f t="shared" si="33"/>
        <v>91652.797685505881</v>
      </c>
      <c r="M90" s="11">
        <v>110920.2159000001</v>
      </c>
      <c r="N90" s="1021">
        <f t="shared" si="34"/>
        <v>44428.545530554395</v>
      </c>
      <c r="O90" s="11">
        <v>0</v>
      </c>
      <c r="P90" s="1021">
        <f t="shared" si="35"/>
        <v>0</v>
      </c>
      <c r="Q90" s="1021">
        <f t="shared" si="36"/>
        <v>725843.29792373918</v>
      </c>
      <c r="R90" s="11">
        <v>755376.13395845972</v>
      </c>
      <c r="S90" s="1096" t="str">
        <f t="shared" si="44"/>
        <v>8314607</v>
      </c>
      <c r="T90" s="11">
        <v>0</v>
      </c>
      <c r="U90" s="11">
        <v>701</v>
      </c>
      <c r="V90" s="11">
        <v>455</v>
      </c>
      <c r="W90" s="1021">
        <f t="shared" si="37"/>
        <v>388520.88758504327</v>
      </c>
      <c r="X90" s="11">
        <v>566969.19335881597</v>
      </c>
      <c r="Y90" s="1021">
        <f t="shared" si="38"/>
        <v>199866.76605211271</v>
      </c>
      <c r="Z90" s="11">
        <v>5280.4000175527426</v>
      </c>
      <c r="AA90" s="1021">
        <f t="shared" si="39"/>
        <v>5280.4000175527426</v>
      </c>
      <c r="AB90" s="11">
        <v>288945.50611439795</v>
      </c>
      <c r="AC90" s="1021">
        <f t="shared" si="40"/>
        <v>101858.36921104521</v>
      </c>
      <c r="AD90" s="11">
        <v>101270.89214047621</v>
      </c>
      <c r="AE90" s="1021">
        <f t="shared" si="41"/>
        <v>40563.556479545281</v>
      </c>
      <c r="AF90" s="11">
        <v>0</v>
      </c>
      <c r="AG90" s="1021">
        <f t="shared" si="42"/>
        <v>0</v>
      </c>
      <c r="AH90" s="1021">
        <f t="shared" si="43"/>
        <v>736089.9793452993</v>
      </c>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row>
    <row r="91" spans="1:92" x14ac:dyDescent="0.25">
      <c r="A91" s="9" t="s">
        <v>137</v>
      </c>
      <c r="B91" s="936">
        <v>4002</v>
      </c>
      <c r="C91" s="11">
        <v>0</v>
      </c>
      <c r="D91" s="11">
        <v>487</v>
      </c>
      <c r="E91" s="11">
        <v>282</v>
      </c>
      <c r="F91" s="1021">
        <f t="shared" si="30"/>
        <v>266396.1173074948</v>
      </c>
      <c r="G91" s="11">
        <v>470473.81453472504</v>
      </c>
      <c r="H91" s="1021">
        <f t="shared" si="31"/>
        <v>165850.42172431963</v>
      </c>
      <c r="I91" s="11">
        <v>4028.2205508387092</v>
      </c>
      <c r="J91" s="1021">
        <f t="shared" si="32"/>
        <v>4028.2205508387092</v>
      </c>
      <c r="K91" s="11">
        <v>285450.07164520764</v>
      </c>
      <c r="L91" s="1021">
        <f t="shared" si="33"/>
        <v>100626.16712732484</v>
      </c>
      <c r="M91" s="11">
        <v>198507.70030000046</v>
      </c>
      <c r="N91" s="1021">
        <f t="shared" si="34"/>
        <v>79511.280512610407</v>
      </c>
      <c r="O91" s="11">
        <v>0</v>
      </c>
      <c r="P91" s="1021">
        <f t="shared" si="35"/>
        <v>0</v>
      </c>
      <c r="Q91" s="1021">
        <f t="shared" si="36"/>
        <v>616412.20722258836</v>
      </c>
      <c r="R91" s="11">
        <v>643117.13861026522</v>
      </c>
      <c r="S91" s="1096" t="str">
        <f t="shared" si="44"/>
        <v>8314002</v>
      </c>
      <c r="T91" s="11">
        <v>0</v>
      </c>
      <c r="U91" s="11">
        <v>368</v>
      </c>
      <c r="V91" s="11">
        <v>382</v>
      </c>
      <c r="W91" s="1021">
        <f t="shared" si="37"/>
        <v>252068.04990379105</v>
      </c>
      <c r="X91" s="11">
        <v>486280.37410344102</v>
      </c>
      <c r="Y91" s="1021">
        <f t="shared" si="38"/>
        <v>171422.51625858119</v>
      </c>
      <c r="Z91" s="11">
        <v>6113.9308734939759</v>
      </c>
      <c r="AA91" s="1021">
        <f t="shared" si="39"/>
        <v>6113.9308734939759</v>
      </c>
      <c r="AB91" s="11">
        <v>288781.20401337801</v>
      </c>
      <c r="AC91" s="1021">
        <f t="shared" si="40"/>
        <v>101800.44983277596</v>
      </c>
      <c r="AD91" s="11">
        <v>128150.5407</v>
      </c>
      <c r="AE91" s="1021">
        <f t="shared" si="41"/>
        <v>51330.067166368623</v>
      </c>
      <c r="AF91" s="11">
        <v>0</v>
      </c>
      <c r="AG91" s="1021">
        <f t="shared" si="42"/>
        <v>0</v>
      </c>
      <c r="AH91" s="1021">
        <f t="shared" si="43"/>
        <v>582735.01403501083</v>
      </c>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row>
    <row r="92" spans="1:92" x14ac:dyDescent="0.25">
      <c r="A92" s="9" t="s">
        <v>74</v>
      </c>
      <c r="B92" s="10">
        <v>5412</v>
      </c>
      <c r="C92" s="11">
        <v>0</v>
      </c>
      <c r="D92" s="11">
        <v>770</v>
      </c>
      <c r="E92" s="11">
        <v>484</v>
      </c>
      <c r="F92" s="1021">
        <f t="shared" si="30"/>
        <v>434380.7266147841</v>
      </c>
      <c r="G92" s="11">
        <v>300526.25757773092</v>
      </c>
      <c r="H92" s="1021">
        <f t="shared" si="31"/>
        <v>105940.87283644004</v>
      </c>
      <c r="I92" s="11">
        <v>8158.3352971153845</v>
      </c>
      <c r="J92" s="1021">
        <f t="shared" si="32"/>
        <v>8158.3352971153845</v>
      </c>
      <c r="K92" s="11">
        <v>206048.01218800616</v>
      </c>
      <c r="L92" s="1021">
        <f t="shared" si="33"/>
        <v>72635.545653160356</v>
      </c>
      <c r="M92" s="11">
        <v>20118.088732960896</v>
      </c>
      <c r="N92" s="1021">
        <f t="shared" si="34"/>
        <v>8058.2012395820238</v>
      </c>
      <c r="O92" s="11">
        <v>0</v>
      </c>
      <c r="P92" s="1021">
        <f t="shared" si="35"/>
        <v>0</v>
      </c>
      <c r="Q92" s="1021">
        <f t="shared" si="36"/>
        <v>629173.68164108193</v>
      </c>
      <c r="R92" s="11">
        <v>646950.35947728471</v>
      </c>
      <c r="S92" s="1096" t="str">
        <f t="shared" si="44"/>
        <v>8315412</v>
      </c>
      <c r="T92" s="11">
        <v>0</v>
      </c>
      <c r="U92" s="11">
        <v>742</v>
      </c>
      <c r="V92" s="11">
        <v>501</v>
      </c>
      <c r="W92" s="1021">
        <f t="shared" si="37"/>
        <v>417760.78137388302</v>
      </c>
      <c r="X92" s="11">
        <v>328769.84153581294</v>
      </c>
      <c r="Y92" s="1021">
        <f t="shared" si="38"/>
        <v>115897.24057836544</v>
      </c>
      <c r="Z92" s="11">
        <v>5219.7001027152828</v>
      </c>
      <c r="AA92" s="1021">
        <f t="shared" si="39"/>
        <v>5219.7001027152828</v>
      </c>
      <c r="AB92" s="11">
        <v>217359.53150546708</v>
      </c>
      <c r="AC92" s="1021">
        <f t="shared" si="40"/>
        <v>76623.055015979931</v>
      </c>
      <c r="AD92" s="11">
        <v>25168.052659951645</v>
      </c>
      <c r="AE92" s="1021">
        <f t="shared" si="41"/>
        <v>10080.939389138453</v>
      </c>
      <c r="AF92" s="11">
        <v>0</v>
      </c>
      <c r="AG92" s="1021">
        <f t="shared" si="42"/>
        <v>0</v>
      </c>
      <c r="AH92" s="1021">
        <f t="shared" si="43"/>
        <v>625581.7164600821</v>
      </c>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row>
    <row r="93" spans="1:92" x14ac:dyDescent="0.25">
      <c r="A93" s="9" t="s">
        <v>73</v>
      </c>
      <c r="B93" s="10">
        <v>5414</v>
      </c>
      <c r="C93" s="11">
        <v>0</v>
      </c>
      <c r="D93" s="11">
        <v>657</v>
      </c>
      <c r="E93" s="11">
        <v>401</v>
      </c>
      <c r="F93" s="1021">
        <f t="shared" si="30"/>
        <v>366495.77902489877</v>
      </c>
      <c r="G93" s="11">
        <v>234964.25042184009</v>
      </c>
      <c r="H93" s="1021">
        <f t="shared" si="31"/>
        <v>82829.094454787308</v>
      </c>
      <c r="I93" s="11">
        <v>2721.8693319391632</v>
      </c>
      <c r="J93" s="1021">
        <f t="shared" si="32"/>
        <v>2721.8693319391632</v>
      </c>
      <c r="K93" s="11">
        <v>153111.79353339758</v>
      </c>
      <c r="L93" s="1021">
        <f t="shared" si="33"/>
        <v>53974.598207163508</v>
      </c>
      <c r="M93" s="11">
        <v>42316.876423408285</v>
      </c>
      <c r="N93" s="1021">
        <f t="shared" si="34"/>
        <v>16949.816186647335</v>
      </c>
      <c r="O93" s="11">
        <v>0</v>
      </c>
      <c r="P93" s="1021">
        <f t="shared" si="35"/>
        <v>0</v>
      </c>
      <c r="Q93" s="1021">
        <f t="shared" si="36"/>
        <v>522971.15720543609</v>
      </c>
      <c r="R93" s="11">
        <v>522894.00527176098</v>
      </c>
      <c r="S93" s="1096" t="str">
        <f t="shared" si="44"/>
        <v>8315414</v>
      </c>
      <c r="T93" s="11">
        <v>0</v>
      </c>
      <c r="U93" s="11">
        <v>632</v>
      </c>
      <c r="V93" s="11">
        <v>391</v>
      </c>
      <c r="W93" s="1021">
        <f t="shared" si="37"/>
        <v>343820.82006877102</v>
      </c>
      <c r="X93" s="11">
        <v>214510.37936924456</v>
      </c>
      <c r="Y93" s="1021">
        <f t="shared" si="38"/>
        <v>75618.739627021554</v>
      </c>
      <c r="Z93" s="11">
        <v>2667.3230907514449</v>
      </c>
      <c r="AA93" s="1021">
        <f t="shared" si="39"/>
        <v>2667.3230907514449</v>
      </c>
      <c r="AB93" s="11">
        <v>136873.07586206932</v>
      </c>
      <c r="AC93" s="1021">
        <f t="shared" si="40"/>
        <v>48250.164827586341</v>
      </c>
      <c r="AD93" s="11">
        <v>57068.174580405401</v>
      </c>
      <c r="AE93" s="1021">
        <f t="shared" si="41"/>
        <v>22858.375924700722</v>
      </c>
      <c r="AF93" s="11">
        <v>0</v>
      </c>
      <c r="AG93" s="1021">
        <f t="shared" si="42"/>
        <v>0</v>
      </c>
      <c r="AH93" s="1021">
        <f t="shared" si="43"/>
        <v>493215.42353883106</v>
      </c>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row>
    <row r="94" spans="1:92" x14ac:dyDescent="0.25">
      <c r="A94" s="9" t="s">
        <v>846</v>
      </c>
      <c r="B94" s="10">
        <v>4000</v>
      </c>
      <c r="C94" s="985">
        <v>0</v>
      </c>
      <c r="D94" s="985">
        <v>0</v>
      </c>
      <c r="E94" s="985">
        <v>0</v>
      </c>
      <c r="F94" s="1021">
        <v>0</v>
      </c>
      <c r="G94" s="985">
        <v>0</v>
      </c>
      <c r="H94" s="1021">
        <v>0</v>
      </c>
      <c r="I94" s="985">
        <v>0</v>
      </c>
      <c r="J94" s="1021">
        <v>0</v>
      </c>
      <c r="K94" s="985">
        <v>0</v>
      </c>
      <c r="L94" s="1021">
        <v>0</v>
      </c>
      <c r="M94" s="985">
        <v>0</v>
      </c>
      <c r="N94" s="1021">
        <v>0</v>
      </c>
      <c r="O94" s="985">
        <v>0</v>
      </c>
      <c r="P94" s="1021">
        <v>0</v>
      </c>
      <c r="Q94" s="1021">
        <f t="shared" si="36"/>
        <v>0</v>
      </c>
      <c r="R94" s="11"/>
      <c r="S94" s="1096"/>
      <c r="T94" s="985">
        <v>0</v>
      </c>
      <c r="U94" s="985">
        <v>0</v>
      </c>
      <c r="V94" s="985">
        <v>0</v>
      </c>
      <c r="W94" s="1021">
        <f t="shared" si="37"/>
        <v>0</v>
      </c>
      <c r="X94" s="985">
        <v>0</v>
      </c>
      <c r="Y94" s="1021">
        <f t="shared" si="38"/>
        <v>0</v>
      </c>
      <c r="Z94" s="985">
        <v>0</v>
      </c>
      <c r="AA94" s="1021">
        <f t="shared" si="39"/>
        <v>0</v>
      </c>
      <c r="AB94" s="985">
        <v>0</v>
      </c>
      <c r="AC94" s="1021">
        <f t="shared" si="40"/>
        <v>0</v>
      </c>
      <c r="AD94" s="985">
        <v>0</v>
      </c>
      <c r="AE94" s="1021">
        <f t="shared" si="41"/>
        <v>0</v>
      </c>
      <c r="AF94" s="985">
        <v>0</v>
      </c>
      <c r="AG94" s="1021">
        <f t="shared" si="42"/>
        <v>0</v>
      </c>
      <c r="AH94" s="1021">
        <f t="shared" si="43"/>
        <v>0</v>
      </c>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row>
    <row r="95" spans="1:92" x14ac:dyDescent="0.25">
      <c r="A95" s="9" t="s">
        <v>1306</v>
      </c>
      <c r="B95" s="10">
        <v>4003</v>
      </c>
      <c r="C95" s="11">
        <v>0</v>
      </c>
      <c r="D95" s="11">
        <v>0</v>
      </c>
      <c r="E95" s="11">
        <v>200</v>
      </c>
      <c r="F95" s="1021">
        <f t="shared" ref="F95" si="45">C$4*C$5*C95+D$4*D$5*D95+E$4*E$5*E95</f>
        <v>69134.032040379563</v>
      </c>
      <c r="G95" s="11">
        <v>29557.33028445028</v>
      </c>
      <c r="H95" s="1021">
        <f t="shared" ref="H95" si="46">H$4*G95</f>
        <v>10419.486783911681</v>
      </c>
      <c r="I95" s="11">
        <v>0</v>
      </c>
      <c r="J95" s="1021">
        <f t="shared" ref="J95" si="47">J$4*I95</f>
        <v>0</v>
      </c>
      <c r="K95" s="11">
        <v>47498.276422764182</v>
      </c>
      <c r="L95" s="1021">
        <f t="shared" ref="L95" si="48">L$4*K95</f>
        <v>16743.977235772345</v>
      </c>
      <c r="M95" s="11">
        <v>4295.3088888888897</v>
      </c>
      <c r="N95" s="1021">
        <f t="shared" ref="N95" si="49">N$4*M95</f>
        <v>1720.4647952528451</v>
      </c>
      <c r="O95" s="11">
        <v>0</v>
      </c>
      <c r="P95" s="1021">
        <f t="shared" ref="P95" si="50">P$4*O95</f>
        <v>0</v>
      </c>
      <c r="Q95" s="1021">
        <f t="shared" si="36"/>
        <v>98017.960855316429</v>
      </c>
      <c r="R95" s="11"/>
      <c r="S95" s="1096" t="str">
        <f t="shared" ref="S95" si="51">CONCATENATE(831,B95)</f>
        <v>8314003</v>
      </c>
      <c r="T95" s="11">
        <v>0</v>
      </c>
      <c r="U95" s="11">
        <v>0</v>
      </c>
      <c r="V95" s="11">
        <v>0</v>
      </c>
      <c r="W95" s="1021">
        <f t="shared" si="37"/>
        <v>0</v>
      </c>
      <c r="X95" s="11">
        <v>0</v>
      </c>
      <c r="Y95" s="1021">
        <f t="shared" si="38"/>
        <v>0</v>
      </c>
      <c r="Z95" s="11">
        <v>0</v>
      </c>
      <c r="AA95" s="1021">
        <f t="shared" si="39"/>
        <v>0</v>
      </c>
      <c r="AB95" s="11">
        <v>0</v>
      </c>
      <c r="AC95" s="1021">
        <f t="shared" si="40"/>
        <v>0</v>
      </c>
      <c r="AD95" s="11">
        <v>0</v>
      </c>
      <c r="AE95" s="1021">
        <f t="shared" si="41"/>
        <v>0</v>
      </c>
      <c r="AF95" s="11">
        <v>0</v>
      </c>
      <c r="AG95" s="1021">
        <f t="shared" si="42"/>
        <v>0</v>
      </c>
      <c r="AH95" s="1021">
        <f t="shared" si="43"/>
        <v>0</v>
      </c>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row>
    <row r="96" spans="1:92" s="56" customFormat="1" x14ac:dyDescent="0.25">
      <c r="A96" s="9" t="s">
        <v>569</v>
      </c>
      <c r="B96" s="10">
        <v>6905</v>
      </c>
      <c r="C96" s="11">
        <v>0</v>
      </c>
      <c r="D96" s="11">
        <v>500</v>
      </c>
      <c r="E96" s="11">
        <v>330</v>
      </c>
      <c r="F96" s="1021">
        <f t="shared" si="30"/>
        <v>287497.36655303248</v>
      </c>
      <c r="G96" s="11">
        <v>342241.96397001017</v>
      </c>
      <c r="H96" s="1021">
        <f t="shared" si="31"/>
        <v>120646.404332448</v>
      </c>
      <c r="I96" s="11">
        <v>9293.3676442080377</v>
      </c>
      <c r="J96" s="1021">
        <f t="shared" si="32"/>
        <v>9293.3676442080377</v>
      </c>
      <c r="K96" s="11">
        <v>113954.00549313349</v>
      </c>
      <c r="L96" s="1021">
        <f t="shared" si="33"/>
        <v>40170.789712858896</v>
      </c>
      <c r="M96" s="11">
        <v>45229.602599999977</v>
      </c>
      <c r="N96" s="1021">
        <f t="shared" si="34"/>
        <v>18116.494294012446</v>
      </c>
      <c r="O96" s="11">
        <v>0</v>
      </c>
      <c r="P96" s="1021">
        <f t="shared" si="35"/>
        <v>0</v>
      </c>
      <c r="Q96" s="1021">
        <f t="shared" si="36"/>
        <v>475724.42253655987</v>
      </c>
      <c r="R96" s="11">
        <v>484410</v>
      </c>
      <c r="S96" s="1096" t="str">
        <f t="shared" si="44"/>
        <v>8316905</v>
      </c>
      <c r="T96" s="11">
        <v>0</v>
      </c>
      <c r="U96" s="11">
        <v>0</v>
      </c>
      <c r="V96" s="11">
        <v>0</v>
      </c>
      <c r="W96" s="1021">
        <f t="shared" si="37"/>
        <v>0</v>
      </c>
      <c r="X96" s="11">
        <v>0</v>
      </c>
      <c r="Y96" s="1021">
        <f t="shared" si="38"/>
        <v>0</v>
      </c>
      <c r="Z96" s="11">
        <v>0</v>
      </c>
      <c r="AA96" s="1021">
        <f t="shared" si="39"/>
        <v>0</v>
      </c>
      <c r="AB96" s="11">
        <v>0</v>
      </c>
      <c r="AC96" s="1021">
        <f t="shared" si="40"/>
        <v>0</v>
      </c>
      <c r="AD96" s="11">
        <v>0</v>
      </c>
      <c r="AE96" s="1021">
        <f t="shared" si="41"/>
        <v>0</v>
      </c>
      <c r="AF96" s="11">
        <v>0</v>
      </c>
      <c r="AG96" s="1021">
        <f t="shared" si="42"/>
        <v>0</v>
      </c>
      <c r="AH96" s="1021">
        <f t="shared" si="43"/>
        <v>0</v>
      </c>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row>
    <row r="97" spans="1:92" x14ac:dyDescent="0.25">
      <c r="A97" s="9"/>
      <c r="B97" s="10"/>
      <c r="C97" s="11"/>
      <c r="D97" s="11"/>
      <c r="E97" s="11"/>
      <c r="F97" s="1021"/>
      <c r="G97" s="11"/>
      <c r="H97" s="1021"/>
      <c r="I97" s="11"/>
      <c r="J97" s="1021"/>
      <c r="K97" s="11"/>
      <c r="L97" s="1021"/>
      <c r="M97" s="11"/>
      <c r="N97" s="1021"/>
      <c r="O97" s="11"/>
      <c r="P97" s="1021"/>
      <c r="Q97" s="1021"/>
      <c r="R97" s="11"/>
      <c r="S97" s="1096"/>
      <c r="T97" s="11"/>
      <c r="U97" s="11"/>
      <c r="V97" s="11"/>
      <c r="W97" s="1021"/>
      <c r="X97" s="11"/>
      <c r="Y97" s="1021"/>
      <c r="Z97" s="11"/>
      <c r="AA97" s="1021"/>
      <c r="AB97" s="11"/>
      <c r="AC97" s="1021"/>
      <c r="AD97" s="11"/>
      <c r="AE97" s="1021"/>
      <c r="AF97" s="11"/>
      <c r="AG97" s="1021"/>
      <c r="AH97" s="102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row>
    <row r="98" spans="1:92" x14ac:dyDescent="0.25">
      <c r="A98" s="1" t="s">
        <v>115</v>
      </c>
      <c r="B98" s="1" t="s">
        <v>115</v>
      </c>
      <c r="C98" s="29">
        <f t="shared" ref="C98:R98" si="52">SUM(C82:C96)</f>
        <v>0</v>
      </c>
      <c r="D98" s="29">
        <f t="shared" si="52"/>
        <v>8183</v>
      </c>
      <c r="E98" s="29">
        <f t="shared" si="52"/>
        <v>5308</v>
      </c>
      <c r="F98" s="1022">
        <f t="shared" si="52"/>
        <v>4673110.6235433985</v>
      </c>
      <c r="G98" s="29">
        <f t="shared" si="52"/>
        <v>5187779.2491823807</v>
      </c>
      <c r="H98" s="1022">
        <f t="shared" si="52"/>
        <v>1828784.8328826968</v>
      </c>
      <c r="I98" s="29">
        <f t="shared" si="52"/>
        <v>84558.243189635701</v>
      </c>
      <c r="J98" s="1022">
        <f t="shared" si="52"/>
        <v>84558.243189635701</v>
      </c>
      <c r="K98" s="29">
        <f t="shared" si="52"/>
        <v>2836796.7749095438</v>
      </c>
      <c r="L98" s="1022">
        <f t="shared" si="52"/>
        <v>1000020.7207273138</v>
      </c>
      <c r="M98" s="29">
        <f t="shared" si="52"/>
        <v>945479.27120872645</v>
      </c>
      <c r="N98" s="1022">
        <f t="shared" si="52"/>
        <v>378707.05991920317</v>
      </c>
      <c r="O98" s="29">
        <f t="shared" si="52"/>
        <v>0</v>
      </c>
      <c r="P98" s="1022">
        <f t="shared" si="52"/>
        <v>0</v>
      </c>
      <c r="Q98" s="1022">
        <f t="shared" si="52"/>
        <v>7965181.480262246</v>
      </c>
      <c r="R98" s="1022">
        <f t="shared" si="52"/>
        <v>8153532.6325187916</v>
      </c>
      <c r="S98" s="1097"/>
      <c r="T98" s="29">
        <f t="shared" ref="T98:AH98" si="53">SUM(T82:T96)</f>
        <v>0</v>
      </c>
      <c r="U98" s="29">
        <f t="shared" si="53"/>
        <v>7328</v>
      </c>
      <c r="V98" s="29">
        <f t="shared" si="53"/>
        <v>5092</v>
      </c>
      <c r="W98" s="1022">
        <f t="shared" si="53"/>
        <v>4174246.9064067802</v>
      </c>
      <c r="X98" s="29">
        <f t="shared" si="53"/>
        <v>5038192.8993414436</v>
      </c>
      <c r="Y98" s="1022">
        <f t="shared" si="53"/>
        <v>1776052.9731300857</v>
      </c>
      <c r="Z98" s="29">
        <f t="shared" si="53"/>
        <v>77227.093747163803</v>
      </c>
      <c r="AA98" s="1022">
        <f t="shared" si="53"/>
        <v>77227.093747163803</v>
      </c>
      <c r="AB98" s="29">
        <f t="shared" si="53"/>
        <v>2922711.3808541624</v>
      </c>
      <c r="AC98" s="1022">
        <f t="shared" si="53"/>
        <v>1030307.1292982909</v>
      </c>
      <c r="AD98" s="29">
        <f t="shared" si="53"/>
        <v>839369.61237702856</v>
      </c>
      <c r="AE98" s="1022">
        <f t="shared" si="53"/>
        <v>336205.359301474</v>
      </c>
      <c r="AF98" s="29">
        <f t="shared" si="53"/>
        <v>0</v>
      </c>
      <c r="AG98" s="1022">
        <f t="shared" si="53"/>
        <v>0</v>
      </c>
      <c r="AH98" s="1022">
        <f t="shared" si="53"/>
        <v>7394039.4618837936</v>
      </c>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row>
    <row r="99" spans="1:92" x14ac:dyDescent="0.25">
      <c r="A99" s="1"/>
      <c r="B99" s="1"/>
      <c r="C99" s="11"/>
      <c r="D99" s="11"/>
      <c r="E99" s="11"/>
      <c r="F99" s="1021"/>
      <c r="G99" s="11"/>
      <c r="H99" s="1021"/>
      <c r="I99" s="11"/>
      <c r="J99" s="1021"/>
      <c r="K99" s="11"/>
      <c r="L99" s="1021"/>
      <c r="M99" s="11"/>
      <c r="N99" s="1021"/>
      <c r="O99" s="11"/>
      <c r="P99" s="1021"/>
      <c r="Q99" s="1021"/>
      <c r="R99" s="11"/>
      <c r="S99" s="1096"/>
      <c r="T99" s="11"/>
      <c r="U99" s="11"/>
      <c r="V99" s="11"/>
      <c r="W99" s="1021"/>
      <c r="X99" s="11"/>
      <c r="Y99" s="1021"/>
      <c r="Z99" s="11"/>
      <c r="AA99" s="1021"/>
      <c r="AB99" s="11"/>
      <c r="AC99" s="1021"/>
      <c r="AD99" s="11"/>
      <c r="AE99" s="1021"/>
      <c r="AF99" s="11"/>
      <c r="AG99" s="1021"/>
      <c r="AH99" s="102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row>
    <row r="100" spans="1:92" s="56" customFormat="1" x14ac:dyDescent="0.25">
      <c r="A100" s="9" t="s">
        <v>114</v>
      </c>
      <c r="B100" s="10">
        <v>4177</v>
      </c>
      <c r="C100" s="11">
        <v>141.625</v>
      </c>
      <c r="D100" s="11">
        <v>370</v>
      </c>
      <c r="E100" s="11">
        <v>237</v>
      </c>
      <c r="F100" s="1021">
        <f t="shared" ref="F100" si="54">C$4*C$5*C100+D$4*D$5*D100+E$4*E$5*E100</f>
        <v>253636.35256012727</v>
      </c>
      <c r="G100" s="11">
        <v>535205.58841569931</v>
      </c>
      <c r="H100" s="1021">
        <f t="shared" ref="H100" si="55">H$4*G100</f>
        <v>188669.52804958884</v>
      </c>
      <c r="I100" s="11">
        <v>13271.421642412663</v>
      </c>
      <c r="J100" s="1021">
        <f t="shared" ref="J100" si="56">J$4*I100</f>
        <v>13271.421642412663</v>
      </c>
      <c r="K100" s="11">
        <v>284460.0654545452</v>
      </c>
      <c r="L100" s="1021">
        <f t="shared" ref="L100" si="57">L$4*K100</f>
        <v>100277.17254545446</v>
      </c>
      <c r="M100" s="11">
        <v>406277.95871940942</v>
      </c>
      <c r="N100" s="1021">
        <f t="shared" ref="N100" si="58">N$4*M100</f>
        <v>162732.63300622519</v>
      </c>
      <c r="O100" s="11">
        <v>184569.45799558307</v>
      </c>
      <c r="P100" s="1021">
        <f t="shared" ref="P100" si="59">P$4*O100</f>
        <v>184569.45799558307</v>
      </c>
      <c r="Q100" s="1021">
        <f t="shared" ref="Q100" si="60">P100+N100+L100+J100+H100+F100</f>
        <v>903156.56579939148</v>
      </c>
      <c r="R100" s="11">
        <v>875604.05936229508</v>
      </c>
      <c r="S100" s="1096" t="str">
        <f t="shared" ref="S100" si="61">CONCATENATE(831,B100)</f>
        <v>8314177</v>
      </c>
      <c r="T100" s="11">
        <v>43.75</v>
      </c>
      <c r="U100" s="11">
        <v>306</v>
      </c>
      <c r="V100" s="11">
        <v>262</v>
      </c>
      <c r="W100" s="1021">
        <f t="shared" ref="W100" si="62">T$4*T$5*T100+U$4*U$5*U100+V$4*V$5*V100</f>
        <v>203716.98681508188</v>
      </c>
      <c r="X100" s="11">
        <v>419089.31729419611</v>
      </c>
      <c r="Y100" s="1021">
        <f t="shared" ref="Y100" si="63">Y$4*X100</f>
        <v>147736.46878123857</v>
      </c>
      <c r="Z100" s="11">
        <v>9422.4588838617892</v>
      </c>
      <c r="AA100" s="1021">
        <f t="shared" ref="AA100" si="64">AA$4*Z100</f>
        <v>9422.4588838617892</v>
      </c>
      <c r="AB100" s="11">
        <v>278390.90469798649</v>
      </c>
      <c r="AC100" s="1021">
        <f t="shared" ref="AC100" si="65">AC$4*AB100</f>
        <v>98137.686711409377</v>
      </c>
      <c r="AD100" s="11">
        <v>314319.9136639472</v>
      </c>
      <c r="AE100" s="1021">
        <f t="shared" ref="AE100" si="66">AE$4*AD100</f>
        <v>125899.29150488241</v>
      </c>
      <c r="AF100" s="11">
        <v>104285.58609161468</v>
      </c>
      <c r="AG100" s="1021">
        <f t="shared" ref="AG100" si="67">AG$4*AF100</f>
        <v>104285.58609161468</v>
      </c>
      <c r="AH100" s="1021">
        <f t="shared" ref="AH100" si="68">AG100+AE100+AC100+AA100+Y100+W100</f>
        <v>689198.47878808866</v>
      </c>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row>
    <row r="101" spans="1:92" x14ac:dyDescent="0.25">
      <c r="A101" s="1"/>
      <c r="B101" s="1"/>
      <c r="C101" s="11"/>
      <c r="D101" s="11"/>
      <c r="E101" s="11"/>
      <c r="F101" s="1021"/>
      <c r="G101" s="11"/>
      <c r="H101" s="1021"/>
      <c r="I101" s="11"/>
      <c r="J101" s="1021"/>
      <c r="K101" s="11"/>
      <c r="L101" s="1021"/>
      <c r="M101" s="11"/>
      <c r="N101" s="1021"/>
      <c r="O101" s="11"/>
      <c r="P101" s="1021"/>
      <c r="Q101" s="1021"/>
      <c r="R101" s="11"/>
      <c r="S101" s="1096"/>
      <c r="T101" s="11"/>
      <c r="U101" s="11"/>
      <c r="V101" s="11"/>
      <c r="W101" s="1021"/>
      <c r="X101" s="11"/>
      <c r="Y101" s="1021"/>
      <c r="Z101" s="11"/>
      <c r="AA101" s="1021"/>
      <c r="AB101" s="11"/>
      <c r="AC101" s="1021"/>
      <c r="AD101" s="11"/>
      <c r="AE101" s="1021"/>
      <c r="AF101" s="11"/>
      <c r="AG101" s="1021"/>
      <c r="AH101" s="102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row>
    <row r="102" spans="1:92" s="56" customFormat="1" x14ac:dyDescent="0.25">
      <c r="A102" s="1" t="s">
        <v>848</v>
      </c>
      <c r="B102" s="1" t="s">
        <v>849</v>
      </c>
      <c r="C102" s="29">
        <f t="shared" ref="C102:R102" si="69">SUM(C100:C101)</f>
        <v>141.625</v>
      </c>
      <c r="D102" s="29">
        <f t="shared" si="69"/>
        <v>370</v>
      </c>
      <c r="E102" s="29">
        <f t="shared" si="69"/>
        <v>237</v>
      </c>
      <c r="F102" s="1022">
        <f t="shared" si="69"/>
        <v>253636.35256012727</v>
      </c>
      <c r="G102" s="29">
        <f t="shared" si="69"/>
        <v>535205.58841569931</v>
      </c>
      <c r="H102" s="1022">
        <f t="shared" si="69"/>
        <v>188669.52804958884</v>
      </c>
      <c r="I102" s="29">
        <f t="shared" si="69"/>
        <v>13271.421642412663</v>
      </c>
      <c r="J102" s="1022">
        <f t="shared" si="69"/>
        <v>13271.421642412663</v>
      </c>
      <c r="K102" s="29">
        <f t="shared" si="69"/>
        <v>284460.0654545452</v>
      </c>
      <c r="L102" s="1022">
        <f t="shared" si="69"/>
        <v>100277.17254545446</v>
      </c>
      <c r="M102" s="29">
        <f t="shared" si="69"/>
        <v>406277.95871940942</v>
      </c>
      <c r="N102" s="1022">
        <f t="shared" si="69"/>
        <v>162732.63300622519</v>
      </c>
      <c r="O102" s="29">
        <f t="shared" si="69"/>
        <v>184569.45799558307</v>
      </c>
      <c r="P102" s="1022">
        <f t="shared" si="69"/>
        <v>184569.45799558307</v>
      </c>
      <c r="Q102" s="1022">
        <f t="shared" si="69"/>
        <v>903156.56579939148</v>
      </c>
      <c r="R102" s="1022">
        <f t="shared" si="69"/>
        <v>875604.05936229508</v>
      </c>
      <c r="S102" s="1097"/>
      <c r="T102" s="29">
        <f t="shared" ref="T102:AH102" si="70">SUM(T100:T101)</f>
        <v>43.75</v>
      </c>
      <c r="U102" s="29">
        <f t="shared" si="70"/>
        <v>306</v>
      </c>
      <c r="V102" s="29">
        <f t="shared" si="70"/>
        <v>262</v>
      </c>
      <c r="W102" s="1022">
        <f t="shared" si="70"/>
        <v>203716.98681508188</v>
      </c>
      <c r="X102" s="29">
        <f t="shared" si="70"/>
        <v>419089.31729419611</v>
      </c>
      <c r="Y102" s="1022">
        <f t="shared" si="70"/>
        <v>147736.46878123857</v>
      </c>
      <c r="Z102" s="29">
        <f t="shared" si="70"/>
        <v>9422.4588838617892</v>
      </c>
      <c r="AA102" s="1022">
        <f t="shared" si="70"/>
        <v>9422.4588838617892</v>
      </c>
      <c r="AB102" s="29">
        <f t="shared" si="70"/>
        <v>278390.90469798649</v>
      </c>
      <c r="AC102" s="1022">
        <f t="shared" si="70"/>
        <v>98137.686711409377</v>
      </c>
      <c r="AD102" s="29">
        <f t="shared" si="70"/>
        <v>314319.9136639472</v>
      </c>
      <c r="AE102" s="1022">
        <f t="shared" si="70"/>
        <v>125899.29150488241</v>
      </c>
      <c r="AF102" s="29">
        <f t="shared" si="70"/>
        <v>104285.58609161468</v>
      </c>
      <c r="AG102" s="1022">
        <f t="shared" si="70"/>
        <v>104285.58609161468</v>
      </c>
      <c r="AH102" s="1022">
        <f t="shared" si="70"/>
        <v>689198.47878808866</v>
      </c>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row>
    <row r="103" spans="1:92" x14ac:dyDescent="0.25">
      <c r="A103" s="1"/>
      <c r="B103" s="10"/>
      <c r="C103" s="11"/>
      <c r="D103" s="11"/>
      <c r="E103" s="11"/>
      <c r="F103" s="1021"/>
      <c r="G103" s="11"/>
      <c r="H103" s="1021"/>
      <c r="I103" s="11"/>
      <c r="J103" s="1021"/>
      <c r="K103" s="11"/>
      <c r="L103" s="1021"/>
      <c r="M103" s="11"/>
      <c r="N103" s="1021"/>
      <c r="O103" s="11"/>
      <c r="P103" s="1021"/>
      <c r="Q103" s="1021"/>
      <c r="R103" s="1021"/>
      <c r="S103" s="1096"/>
      <c r="T103" s="11"/>
      <c r="U103" s="11"/>
      <c r="V103" s="11"/>
      <c r="W103" s="1021"/>
      <c r="X103" s="11"/>
      <c r="Y103" s="1021"/>
      <c r="Z103" s="11"/>
      <c r="AA103" s="1021"/>
      <c r="AB103" s="11"/>
      <c r="AC103" s="1021"/>
      <c r="AD103" s="11"/>
      <c r="AE103" s="1021"/>
      <c r="AF103" s="11"/>
      <c r="AG103" s="1021"/>
      <c r="AH103" s="102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row>
    <row r="104" spans="1:92" x14ac:dyDescent="0.25">
      <c r="A104" s="1" t="s">
        <v>116</v>
      </c>
      <c r="B104" s="1" t="s">
        <v>117</v>
      </c>
      <c r="C104" s="29">
        <f t="shared" ref="C104:R104" si="71">SUM(C80+C98+C102)</f>
        <v>22395.041666666664</v>
      </c>
      <c r="D104" s="29">
        <f t="shared" si="71"/>
        <v>8553</v>
      </c>
      <c r="E104" s="29">
        <f t="shared" si="71"/>
        <v>5545</v>
      </c>
      <c r="F104" s="1022">
        <f t="shared" si="71"/>
        <v>11742558.23127445</v>
      </c>
      <c r="G104" s="29">
        <f t="shared" si="71"/>
        <v>17403732.784836918</v>
      </c>
      <c r="H104" s="1022">
        <f t="shared" si="71"/>
        <v>6135126.6165516376</v>
      </c>
      <c r="I104" s="29">
        <f t="shared" si="71"/>
        <v>190248.24839585926</v>
      </c>
      <c r="J104" s="1022">
        <f t="shared" si="71"/>
        <v>190248.24839585926</v>
      </c>
      <c r="K104" s="29">
        <f t="shared" si="71"/>
        <v>3121256.8403640892</v>
      </c>
      <c r="L104" s="1022">
        <f t="shared" si="71"/>
        <v>1100297.8932727682</v>
      </c>
      <c r="M104" s="29">
        <f t="shared" si="71"/>
        <v>4383843.5868403465</v>
      </c>
      <c r="N104" s="1022">
        <f t="shared" si="71"/>
        <v>1755926.9319522213</v>
      </c>
      <c r="O104" s="29">
        <f t="shared" si="71"/>
        <v>602146.67489330529</v>
      </c>
      <c r="P104" s="1022">
        <f t="shared" si="71"/>
        <v>602146.67489330529</v>
      </c>
      <c r="Q104" s="1022">
        <f t="shared" si="71"/>
        <v>21526304.596340246</v>
      </c>
      <c r="R104" s="1022">
        <f t="shared" si="71"/>
        <v>21940847.919813879</v>
      </c>
      <c r="S104" s="1097"/>
      <c r="T104" s="29">
        <f t="shared" ref="T104:AH104" si="72">SUM(T80+T98+T102)</f>
        <v>21042.75</v>
      </c>
      <c r="U104" s="29">
        <f t="shared" si="72"/>
        <v>7634</v>
      </c>
      <c r="V104" s="29">
        <f t="shared" si="72"/>
        <v>5354</v>
      </c>
      <c r="W104" s="1022">
        <f t="shared" si="72"/>
        <v>10530047.093141222</v>
      </c>
      <c r="X104" s="29">
        <f t="shared" si="72"/>
        <v>17742138.391672775</v>
      </c>
      <c r="Y104" s="1022">
        <f t="shared" si="72"/>
        <v>6254420.6364815338</v>
      </c>
      <c r="Z104" s="29">
        <f t="shared" si="72"/>
        <v>205921.82407809046</v>
      </c>
      <c r="AA104" s="1022">
        <f t="shared" si="72"/>
        <v>205921.82407809046</v>
      </c>
      <c r="AB104" s="29">
        <f t="shared" si="72"/>
        <v>3201102.2855521487</v>
      </c>
      <c r="AC104" s="1022">
        <f t="shared" si="72"/>
        <v>1128444.8160097003</v>
      </c>
      <c r="AD104" s="29">
        <f t="shared" si="72"/>
        <v>3664003.6792418277</v>
      </c>
      <c r="AE104" s="1022">
        <f t="shared" si="72"/>
        <v>1467598.6064981529</v>
      </c>
      <c r="AF104" s="29">
        <f t="shared" si="72"/>
        <v>477793.73106487282</v>
      </c>
      <c r="AG104" s="1022">
        <f t="shared" si="72"/>
        <v>477793.73106487282</v>
      </c>
      <c r="AH104" s="1022">
        <f t="shared" si="72"/>
        <v>20064226.707273569</v>
      </c>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row>
    <row r="105" spans="1:92" x14ac:dyDescent="0.25">
      <c r="C105" s="11"/>
      <c r="D105" s="11"/>
      <c r="E105" s="11">
        <f>D104+E104</f>
        <v>14098</v>
      </c>
      <c r="F105" s="11"/>
      <c r="G105" s="11">
        <v>17403732.784836918</v>
      </c>
      <c r="H105" s="11"/>
      <c r="I105" s="11">
        <v>190248.24839585926</v>
      </c>
      <c r="J105" s="11"/>
      <c r="K105" s="11">
        <v>3121256.8403640892</v>
      </c>
      <c r="L105" s="11"/>
      <c r="M105" s="11">
        <v>4383843.5868403465</v>
      </c>
      <c r="N105" s="11"/>
      <c r="O105" s="11">
        <v>602146.67489330529</v>
      </c>
      <c r="P105" s="11"/>
      <c r="Q105" s="11"/>
      <c r="R105" s="11"/>
      <c r="S105" s="1096"/>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row>
    <row r="106" spans="1:92" x14ac:dyDescent="0.25">
      <c r="B106" s="1" t="s">
        <v>1199</v>
      </c>
      <c r="C106" s="11"/>
      <c r="D106" s="11"/>
      <c r="E106" s="11"/>
      <c r="F106" s="11"/>
      <c r="G106" s="11"/>
      <c r="H106" s="11"/>
      <c r="I106" s="11"/>
      <c r="J106" s="11"/>
      <c r="K106" s="11"/>
      <c r="L106" s="11"/>
      <c r="M106" s="11"/>
      <c r="N106" s="11"/>
      <c r="O106" s="11"/>
      <c r="P106" s="11"/>
      <c r="Q106" s="11">
        <f>AH104</f>
        <v>20064226.707273569</v>
      </c>
      <c r="R106" s="11" t="s">
        <v>1200</v>
      </c>
      <c r="S106" s="1096"/>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row>
    <row r="107" spans="1:92" x14ac:dyDescent="0.25">
      <c r="A107" s="9"/>
      <c r="B107" s="1" t="s">
        <v>1201</v>
      </c>
      <c r="C107" s="11"/>
      <c r="D107" s="11"/>
      <c r="E107" s="11"/>
      <c r="F107" s="11"/>
      <c r="G107" s="11"/>
      <c r="H107" s="11"/>
      <c r="I107" s="11"/>
      <c r="J107" s="11"/>
      <c r="K107" s="11"/>
      <c r="L107" s="11"/>
      <c r="M107" s="11"/>
      <c r="N107" s="11"/>
      <c r="O107" s="11"/>
      <c r="P107" s="11"/>
      <c r="Q107" s="11">
        <f>R96+R78</f>
        <v>671907.4736205457</v>
      </c>
      <c r="R107" s="11" t="s">
        <v>1202</v>
      </c>
      <c r="S107" s="1096"/>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row>
    <row r="108" spans="1:92" x14ac:dyDescent="0.25">
      <c r="A108" s="9"/>
      <c r="B108" s="1" t="s">
        <v>1203</v>
      </c>
      <c r="C108" s="11"/>
      <c r="D108" s="11">
        <f>D4*D5</f>
        <v>346.85242737281237</v>
      </c>
      <c r="E108" s="11"/>
      <c r="F108" s="11"/>
      <c r="G108" s="11"/>
      <c r="H108" s="11"/>
      <c r="I108" s="11"/>
      <c r="J108" s="11"/>
      <c r="K108" s="11"/>
      <c r="L108" s="11"/>
      <c r="M108" s="11"/>
      <c r="N108" s="11"/>
      <c r="O108" s="11"/>
      <c r="P108" s="11"/>
      <c r="Q108" s="11">
        <f>Q104-Q106-Q107</f>
        <v>790170.41544613184</v>
      </c>
      <c r="R108" s="11" t="s">
        <v>1204</v>
      </c>
      <c r="S108" s="1096"/>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row>
    <row r="109" spans="1:92" x14ac:dyDescent="0.25">
      <c r="A109" s="1"/>
      <c r="B109" s="1" t="s">
        <v>1</v>
      </c>
      <c r="C109" s="11"/>
      <c r="D109" s="11">
        <f>E4*E5</f>
        <v>345.67016020189783</v>
      </c>
      <c r="E109" s="11"/>
      <c r="F109" s="11"/>
      <c r="G109" s="11"/>
      <c r="H109" s="11"/>
      <c r="I109" s="11"/>
      <c r="J109" s="11"/>
      <c r="K109" s="11"/>
      <c r="L109" s="11"/>
      <c r="M109" s="11"/>
      <c r="N109" s="11"/>
      <c r="O109" s="11"/>
      <c r="P109" s="11"/>
      <c r="Q109" s="29">
        <f>SUM(Q106:Q108)</f>
        <v>21526304.596340246</v>
      </c>
      <c r="R109" s="11" t="s">
        <v>1205</v>
      </c>
      <c r="S109" s="1096"/>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row>
    <row r="110" spans="1:92" x14ac:dyDescent="0.25">
      <c r="A110" s="11" t="s">
        <v>1183</v>
      </c>
      <c r="D110" s="11">
        <f>D108+D109</f>
        <v>692.5225875747102</v>
      </c>
      <c r="S110" s="1096"/>
    </row>
    <row r="111" spans="1:92" x14ac:dyDescent="0.25">
      <c r="D111" s="739">
        <f>D110/E105</f>
        <v>4.9122044798887092E-2</v>
      </c>
      <c r="S111" s="1096"/>
    </row>
    <row r="112" spans="1:92" x14ac:dyDescent="0.25">
      <c r="C112" s="11"/>
      <c r="D112" s="11"/>
      <c r="E112" s="11"/>
      <c r="F112" s="11"/>
      <c r="G112" s="11"/>
      <c r="H112" s="11"/>
      <c r="I112" s="11"/>
      <c r="S112" s="1096"/>
      <c r="T112" s="11"/>
      <c r="U112" s="11"/>
      <c r="V112" s="11"/>
      <c r="W112" s="11"/>
      <c r="X112" s="11"/>
      <c r="Y112" s="11"/>
      <c r="Z112" s="11"/>
    </row>
    <row r="113" spans="1:26" x14ac:dyDescent="0.25">
      <c r="C113" s="1"/>
      <c r="D113" s="1"/>
      <c r="E113" s="1"/>
      <c r="F113" s="1"/>
      <c r="G113" s="1"/>
      <c r="H113" s="11"/>
      <c r="I113" s="11"/>
      <c r="S113" s="1096"/>
      <c r="T113" s="1"/>
      <c r="U113" s="1"/>
      <c r="V113" s="1"/>
      <c r="W113" s="1"/>
      <c r="X113" s="1"/>
      <c r="Y113" s="11"/>
      <c r="Z113" s="11"/>
    </row>
    <row r="114" spans="1:26" x14ac:dyDescent="0.25">
      <c r="C114" s="1"/>
      <c r="D114" s="1"/>
      <c r="E114" s="1"/>
      <c r="F114" s="1"/>
      <c r="G114" s="1"/>
      <c r="H114" s="11"/>
      <c r="I114" s="11"/>
      <c r="S114" s="1096"/>
      <c r="T114" s="1"/>
      <c r="U114" s="1"/>
      <c r="V114" s="1"/>
      <c r="W114" s="1"/>
      <c r="X114" s="1"/>
      <c r="Y114" s="11"/>
      <c r="Z114" s="11"/>
    </row>
    <row r="115" spans="1:26" x14ac:dyDescent="0.25">
      <c r="C115" s="1"/>
      <c r="D115" s="1"/>
      <c r="E115" s="1"/>
      <c r="F115" s="1"/>
      <c r="G115" s="1"/>
      <c r="H115" s="11"/>
      <c r="I115" s="11"/>
      <c r="S115" s="1096"/>
      <c r="T115" s="1"/>
      <c r="U115" s="1"/>
      <c r="V115" s="1"/>
      <c r="W115" s="1"/>
      <c r="X115" s="1"/>
      <c r="Y115" s="11"/>
      <c r="Z115" s="11"/>
    </row>
    <row r="116" spans="1:26" x14ac:dyDescent="0.25">
      <c r="C116" s="1"/>
      <c r="D116" s="1"/>
      <c r="E116" s="1"/>
      <c r="F116" s="1"/>
      <c r="G116" s="1"/>
      <c r="H116" s="11"/>
      <c r="I116" s="11"/>
      <c r="S116" s="1096"/>
      <c r="T116" s="1"/>
      <c r="U116" s="1"/>
      <c r="V116" s="1"/>
      <c r="W116" s="1"/>
      <c r="X116" s="1"/>
      <c r="Y116" s="11"/>
      <c r="Z116" s="11"/>
    </row>
    <row r="117" spans="1:26" x14ac:dyDescent="0.25">
      <c r="A117" s="30"/>
      <c r="B117" s="30"/>
      <c r="S117" s="1096"/>
    </row>
    <row r="118" spans="1:26" x14ac:dyDescent="0.25">
      <c r="S118" s="1096"/>
    </row>
    <row r="119" spans="1:26" x14ac:dyDescent="0.25">
      <c r="A119" s="30"/>
      <c r="B119" s="30"/>
      <c r="S119" s="1096"/>
    </row>
    <row r="120" spans="1:26" x14ac:dyDescent="0.25">
      <c r="A120" s="30"/>
      <c r="B120" s="30"/>
      <c r="S120" s="1096"/>
    </row>
    <row r="121" spans="1:26" x14ac:dyDescent="0.25">
      <c r="A121" s="59" t="s">
        <v>238</v>
      </c>
      <c r="B121" s="59">
        <v>206189</v>
      </c>
    </row>
    <row r="122" spans="1:26" x14ac:dyDescent="0.25">
      <c r="A122" s="59" t="s">
        <v>1301</v>
      </c>
      <c r="B122" s="59">
        <v>2014</v>
      </c>
    </row>
    <row r="123" spans="1:26" x14ac:dyDescent="0.25">
      <c r="A123" s="59" t="s">
        <v>10</v>
      </c>
      <c r="B123" s="59">
        <v>2400</v>
      </c>
    </row>
    <row r="124" spans="1:26" x14ac:dyDescent="0.25">
      <c r="A124" s="59" t="s">
        <v>73</v>
      </c>
      <c r="B124" s="59">
        <v>5414</v>
      </c>
    </row>
    <row r="125" spans="1:26" x14ac:dyDescent="0.25">
      <c r="A125" s="59" t="s">
        <v>846</v>
      </c>
      <c r="B125" s="59">
        <v>4000</v>
      </c>
    </row>
    <row r="126" spans="1:26" x14ac:dyDescent="0.25">
      <c r="A126" s="59" t="s">
        <v>11</v>
      </c>
      <c r="B126" s="59">
        <v>2443</v>
      </c>
    </row>
    <row r="127" spans="1:26" x14ac:dyDescent="0.25">
      <c r="A127" s="59" t="s">
        <v>94</v>
      </c>
      <c r="B127" s="59">
        <v>2442</v>
      </c>
    </row>
    <row r="128" spans="1:26" x14ac:dyDescent="0.25">
      <c r="A128" s="59" t="s">
        <v>241</v>
      </c>
      <c r="B128" s="59" t="s">
        <v>242</v>
      </c>
    </row>
    <row r="129" spans="1:2" x14ac:dyDescent="0.25">
      <c r="A129" s="59" t="s">
        <v>13</v>
      </c>
      <c r="B129" s="59">
        <v>2629</v>
      </c>
    </row>
    <row r="130" spans="1:2" x14ac:dyDescent="0.25">
      <c r="A130" s="59" t="s">
        <v>14</v>
      </c>
      <c r="B130" s="59">
        <v>2509</v>
      </c>
    </row>
    <row r="131" spans="1:2" x14ac:dyDescent="0.25">
      <c r="A131" s="59" t="s">
        <v>2</v>
      </c>
      <c r="B131" s="59">
        <v>1014</v>
      </c>
    </row>
    <row r="132" spans="1:2" x14ac:dyDescent="0.25">
      <c r="A132" s="59" t="s">
        <v>15</v>
      </c>
      <c r="B132" s="59">
        <v>2005</v>
      </c>
    </row>
    <row r="133" spans="1:2" x14ac:dyDescent="0.25">
      <c r="A133" s="59" t="s">
        <v>16</v>
      </c>
      <c r="B133" s="59">
        <v>2464</v>
      </c>
    </row>
    <row r="134" spans="1:2" x14ac:dyDescent="0.25">
      <c r="A134" s="59" t="s">
        <v>706</v>
      </c>
      <c r="B134" s="59" t="s">
        <v>708</v>
      </c>
    </row>
    <row r="135" spans="1:2" x14ac:dyDescent="0.25">
      <c r="A135" s="59" t="s">
        <v>17</v>
      </c>
      <c r="B135" s="59">
        <v>2004</v>
      </c>
    </row>
    <row r="136" spans="1:2" x14ac:dyDescent="0.25">
      <c r="A136" s="59" t="s">
        <v>18</v>
      </c>
      <c r="B136" s="59">
        <v>2405</v>
      </c>
    </row>
    <row r="137" spans="1:2" x14ac:dyDescent="0.25">
      <c r="A137" s="59" t="s">
        <v>243</v>
      </c>
      <c r="B137" s="59" t="s">
        <v>245</v>
      </c>
    </row>
    <row r="138" spans="1:2" x14ac:dyDescent="0.25">
      <c r="A138" s="59" t="s">
        <v>250</v>
      </c>
      <c r="B138" s="59" t="s">
        <v>709</v>
      </c>
    </row>
    <row r="139" spans="1:2" x14ac:dyDescent="0.25">
      <c r="A139" s="59" t="s">
        <v>246</v>
      </c>
      <c r="B139" s="59" t="s">
        <v>247</v>
      </c>
    </row>
    <row r="140" spans="1:2" x14ac:dyDescent="0.25">
      <c r="A140" s="59" t="s">
        <v>248</v>
      </c>
      <c r="B140" s="59" t="s">
        <v>249</v>
      </c>
    </row>
    <row r="141" spans="1:2" x14ac:dyDescent="0.25">
      <c r="A141" s="59" t="s">
        <v>19</v>
      </c>
      <c r="B141" s="59">
        <v>2011</v>
      </c>
    </row>
    <row r="142" spans="1:2" x14ac:dyDescent="0.25">
      <c r="A142" s="59" t="s">
        <v>251</v>
      </c>
      <c r="B142" s="59" t="s">
        <v>252</v>
      </c>
    </row>
    <row r="143" spans="1:2" x14ac:dyDescent="0.25">
      <c r="A143" s="59" t="s">
        <v>20</v>
      </c>
      <c r="B143" s="59">
        <v>5201</v>
      </c>
    </row>
    <row r="144" spans="1:2" x14ac:dyDescent="0.25">
      <c r="A144" s="59" t="s">
        <v>253</v>
      </c>
      <c r="B144" s="59">
        <v>206124</v>
      </c>
    </row>
    <row r="145" spans="1:2" x14ac:dyDescent="0.25">
      <c r="A145" s="59" t="s">
        <v>21</v>
      </c>
      <c r="B145" s="59">
        <v>2433</v>
      </c>
    </row>
    <row r="146" spans="1:2" x14ac:dyDescent="0.25">
      <c r="A146" s="59" t="s">
        <v>22</v>
      </c>
      <c r="B146" s="59">
        <v>2432</v>
      </c>
    </row>
    <row r="147" spans="1:2" x14ac:dyDescent="0.25">
      <c r="A147" s="59" t="s">
        <v>256</v>
      </c>
      <c r="B147" s="59" t="s">
        <v>258</v>
      </c>
    </row>
    <row r="148" spans="1:2" x14ac:dyDescent="0.25">
      <c r="A148" s="59" t="s">
        <v>188</v>
      </c>
      <c r="B148" s="59">
        <v>2447</v>
      </c>
    </row>
    <row r="149" spans="1:2" x14ac:dyDescent="0.25">
      <c r="A149" s="59" t="s">
        <v>23</v>
      </c>
      <c r="B149" s="59">
        <v>2512</v>
      </c>
    </row>
    <row r="150" spans="1:2" x14ac:dyDescent="0.25">
      <c r="A150" s="59" t="s">
        <v>259</v>
      </c>
      <c r="B150" s="59">
        <v>206126</v>
      </c>
    </row>
    <row r="151" spans="1:2" x14ac:dyDescent="0.25">
      <c r="A151" s="59" t="s">
        <v>261</v>
      </c>
      <c r="B151" s="59">
        <v>206111</v>
      </c>
    </row>
    <row r="152" spans="1:2" x14ac:dyDescent="0.25">
      <c r="A152" s="59" t="s">
        <v>263</v>
      </c>
      <c r="B152" s="59">
        <v>206091</v>
      </c>
    </row>
    <row r="153" spans="1:2" x14ac:dyDescent="0.25">
      <c r="A153" s="59" t="s">
        <v>24</v>
      </c>
      <c r="B153" s="59">
        <v>2456</v>
      </c>
    </row>
    <row r="154" spans="1:2" x14ac:dyDescent="0.25">
      <c r="A154" s="59" t="s">
        <v>3</v>
      </c>
      <c r="B154" s="59">
        <v>1017</v>
      </c>
    </row>
    <row r="155" spans="1:2" x14ac:dyDescent="0.25">
      <c r="A155" s="59" t="s">
        <v>25</v>
      </c>
      <c r="B155" s="59">
        <v>2449</v>
      </c>
    </row>
    <row r="156" spans="1:2" x14ac:dyDescent="0.25">
      <c r="A156" s="59" t="s">
        <v>26</v>
      </c>
      <c r="B156" s="59">
        <v>2448</v>
      </c>
    </row>
    <row r="157" spans="1:2" x14ac:dyDescent="0.25">
      <c r="A157" s="59" t="s">
        <v>4</v>
      </c>
      <c r="B157" s="59">
        <v>1006</v>
      </c>
    </row>
    <row r="158" spans="1:2" x14ac:dyDescent="0.25">
      <c r="A158" s="59" t="s">
        <v>27</v>
      </c>
      <c r="B158" s="59">
        <v>2467</v>
      </c>
    </row>
    <row r="159" spans="1:2" x14ac:dyDescent="0.25">
      <c r="A159" s="59" t="s">
        <v>1373</v>
      </c>
      <c r="B159" s="59">
        <v>484300</v>
      </c>
    </row>
    <row r="160" spans="1:2" x14ac:dyDescent="0.25">
      <c r="A160" s="59" t="s">
        <v>75</v>
      </c>
      <c r="B160" s="59">
        <v>5402</v>
      </c>
    </row>
    <row r="161" spans="1:2" x14ac:dyDescent="0.25">
      <c r="A161" s="59" t="s">
        <v>28</v>
      </c>
      <c r="B161" s="59">
        <v>2455</v>
      </c>
    </row>
    <row r="162" spans="1:2" x14ac:dyDescent="0.25">
      <c r="A162" s="59" t="s">
        <v>29</v>
      </c>
      <c r="B162" s="59">
        <v>5203</v>
      </c>
    </row>
    <row r="163" spans="1:2" x14ac:dyDescent="0.25">
      <c r="A163" s="59" t="s">
        <v>30</v>
      </c>
      <c r="B163" s="59">
        <v>2451</v>
      </c>
    </row>
    <row r="164" spans="1:2" x14ac:dyDescent="0.25">
      <c r="A164" s="59" t="s">
        <v>265</v>
      </c>
      <c r="B164" s="59" t="s">
        <v>266</v>
      </c>
    </row>
    <row r="165" spans="1:2" x14ac:dyDescent="0.25">
      <c r="A165" s="59" t="s">
        <v>267</v>
      </c>
      <c r="B165" s="59">
        <v>206128</v>
      </c>
    </row>
    <row r="166" spans="1:2" x14ac:dyDescent="0.25">
      <c r="A166" s="59" t="s">
        <v>438</v>
      </c>
      <c r="B166" s="59">
        <v>4002</v>
      </c>
    </row>
    <row r="167" spans="1:2" x14ac:dyDescent="0.25">
      <c r="A167" s="59" t="s">
        <v>441</v>
      </c>
      <c r="B167" s="59">
        <v>2430</v>
      </c>
    </row>
    <row r="168" spans="1:2" x14ac:dyDescent="0.25">
      <c r="A168" s="59" t="s">
        <v>269</v>
      </c>
      <c r="B168" s="59" t="s">
        <v>710</v>
      </c>
    </row>
    <row r="169" spans="1:2" x14ac:dyDescent="0.25">
      <c r="A169" s="59" t="s">
        <v>711</v>
      </c>
      <c r="B169" s="59" t="s">
        <v>712</v>
      </c>
    </row>
    <row r="170" spans="1:2" x14ac:dyDescent="0.25">
      <c r="A170" s="59" t="s">
        <v>68</v>
      </c>
      <c r="B170" s="59">
        <v>4608</v>
      </c>
    </row>
    <row r="171" spans="1:2" x14ac:dyDescent="0.25">
      <c r="A171" s="59" t="s">
        <v>31</v>
      </c>
      <c r="B171" s="59">
        <v>2409</v>
      </c>
    </row>
    <row r="172" spans="1:2" x14ac:dyDescent="0.25">
      <c r="A172" s="59" t="s">
        <v>270</v>
      </c>
      <c r="B172" s="59" t="s">
        <v>271</v>
      </c>
    </row>
    <row r="173" spans="1:2" x14ac:dyDescent="0.25">
      <c r="A173" s="59" t="s">
        <v>1283</v>
      </c>
      <c r="B173" s="59" t="s">
        <v>714</v>
      </c>
    </row>
    <row r="174" spans="1:2" x14ac:dyDescent="0.25">
      <c r="A174" s="59" t="s">
        <v>525</v>
      </c>
      <c r="B174" s="59">
        <v>205921</v>
      </c>
    </row>
    <row r="175" spans="1:2" x14ac:dyDescent="0.25">
      <c r="A175" s="59" t="s">
        <v>1256</v>
      </c>
      <c r="B175" s="59" t="s">
        <v>719</v>
      </c>
    </row>
    <row r="176" spans="1:2" x14ac:dyDescent="0.25">
      <c r="A176" s="59" t="s">
        <v>1375</v>
      </c>
      <c r="B176" s="59">
        <v>398922</v>
      </c>
    </row>
    <row r="177" spans="1:2" x14ac:dyDescent="0.25">
      <c r="A177" s="59" t="s">
        <v>1374</v>
      </c>
      <c r="B177" s="59">
        <v>479804</v>
      </c>
    </row>
    <row r="178" spans="1:2" x14ac:dyDescent="0.25">
      <c r="A178" s="59" t="s">
        <v>524</v>
      </c>
      <c r="B178" s="59">
        <v>205999</v>
      </c>
    </row>
    <row r="179" spans="1:2" x14ac:dyDescent="0.25">
      <c r="A179" s="59" t="s">
        <v>523</v>
      </c>
      <c r="B179" s="59" t="s">
        <v>272</v>
      </c>
    </row>
    <row r="180" spans="1:2" x14ac:dyDescent="0.25">
      <c r="A180" s="59" t="s">
        <v>1257</v>
      </c>
      <c r="B180" s="59">
        <v>206065</v>
      </c>
    </row>
    <row r="181" spans="1:2" x14ac:dyDescent="0.25">
      <c r="A181" s="59" t="s">
        <v>1376</v>
      </c>
      <c r="B181" s="59">
        <v>314105</v>
      </c>
    </row>
    <row r="182" spans="1:2" x14ac:dyDescent="0.25">
      <c r="A182" s="59" t="s">
        <v>1400</v>
      </c>
      <c r="B182" s="59" t="s">
        <v>277</v>
      </c>
    </row>
    <row r="183" spans="1:2" x14ac:dyDescent="0.25">
      <c r="A183" s="59" t="s">
        <v>1377</v>
      </c>
      <c r="B183" s="59">
        <v>206076</v>
      </c>
    </row>
    <row r="184" spans="1:2" x14ac:dyDescent="0.25">
      <c r="A184" s="59" t="s">
        <v>561</v>
      </c>
      <c r="B184" s="59" t="s">
        <v>727</v>
      </c>
    </row>
    <row r="185" spans="1:2" x14ac:dyDescent="0.25">
      <c r="A185" s="59" t="s">
        <v>1399</v>
      </c>
      <c r="B185" s="59" t="s">
        <v>730</v>
      </c>
    </row>
    <row r="186" spans="1:2" x14ac:dyDescent="0.25">
      <c r="A186" s="59" t="s">
        <v>562</v>
      </c>
      <c r="B186" s="59" t="s">
        <v>275</v>
      </c>
    </row>
    <row r="187" spans="1:2" x14ac:dyDescent="0.25">
      <c r="A187" s="59" t="s">
        <v>1258</v>
      </c>
      <c r="B187" s="59" t="s">
        <v>724</v>
      </c>
    </row>
    <row r="188" spans="1:2" x14ac:dyDescent="0.25">
      <c r="A188" s="59" t="s">
        <v>1259</v>
      </c>
      <c r="B188" s="59">
        <v>205919</v>
      </c>
    </row>
    <row r="189" spans="1:2" x14ac:dyDescent="0.25">
      <c r="A189" s="59" t="s">
        <v>526</v>
      </c>
      <c r="B189" s="59" t="s">
        <v>276</v>
      </c>
    </row>
    <row r="190" spans="1:2" x14ac:dyDescent="0.25">
      <c r="A190" s="59" t="s">
        <v>1378</v>
      </c>
      <c r="B190" s="59">
        <v>477405</v>
      </c>
    </row>
    <row r="191" spans="1:2" x14ac:dyDescent="0.25">
      <c r="A191" s="59" t="s">
        <v>1260</v>
      </c>
      <c r="B191" s="59" t="s">
        <v>734</v>
      </c>
    </row>
    <row r="192" spans="1:2" x14ac:dyDescent="0.25">
      <c r="A192" s="59" t="s">
        <v>1379</v>
      </c>
      <c r="B192" s="59">
        <v>401536</v>
      </c>
    </row>
    <row r="193" spans="1:2" x14ac:dyDescent="0.25">
      <c r="A193" s="59" t="s">
        <v>1261</v>
      </c>
      <c r="B193" s="59" t="s">
        <v>736</v>
      </c>
    </row>
    <row r="194" spans="1:2" x14ac:dyDescent="0.25">
      <c r="A194" s="59" t="s">
        <v>1263</v>
      </c>
      <c r="B194" s="59" t="s">
        <v>739</v>
      </c>
    </row>
    <row r="195" spans="1:2" x14ac:dyDescent="0.25">
      <c r="A195" s="59" t="s">
        <v>1262</v>
      </c>
      <c r="B195" s="59">
        <v>205849</v>
      </c>
    </row>
    <row r="196" spans="1:2" x14ac:dyDescent="0.25">
      <c r="A196" s="59" t="s">
        <v>566</v>
      </c>
      <c r="B196" s="59" t="s">
        <v>273</v>
      </c>
    </row>
    <row r="197" spans="1:2" x14ac:dyDescent="0.25">
      <c r="A197" s="59" t="s">
        <v>1264</v>
      </c>
      <c r="B197" s="59" t="s">
        <v>741</v>
      </c>
    </row>
    <row r="198" spans="1:2" x14ac:dyDescent="0.25">
      <c r="A198" s="59" t="s">
        <v>1268</v>
      </c>
      <c r="B198" s="59">
        <v>205922</v>
      </c>
    </row>
    <row r="199" spans="1:2" x14ac:dyDescent="0.25">
      <c r="A199" s="59" t="s">
        <v>1267</v>
      </c>
      <c r="B199" s="59">
        <v>205881</v>
      </c>
    </row>
    <row r="200" spans="1:2" x14ac:dyDescent="0.25">
      <c r="A200" s="59" t="s">
        <v>1265</v>
      </c>
      <c r="B200" s="59" t="s">
        <v>744</v>
      </c>
    </row>
    <row r="201" spans="1:2" x14ac:dyDescent="0.25">
      <c r="A201" s="59" t="s">
        <v>527</v>
      </c>
      <c r="B201" s="59" t="s">
        <v>278</v>
      </c>
    </row>
    <row r="202" spans="1:2" x14ac:dyDescent="0.25">
      <c r="A202" s="59" t="s">
        <v>1266</v>
      </c>
      <c r="B202" s="59" t="s">
        <v>749</v>
      </c>
    </row>
    <row r="203" spans="1:2" x14ac:dyDescent="0.25">
      <c r="A203" s="59" t="s">
        <v>1380</v>
      </c>
      <c r="B203" s="59">
        <v>462623</v>
      </c>
    </row>
    <row r="204" spans="1:2" x14ac:dyDescent="0.25">
      <c r="A204" s="59" t="s">
        <v>750</v>
      </c>
      <c r="B204" s="59" t="s">
        <v>751</v>
      </c>
    </row>
    <row r="205" spans="1:2" x14ac:dyDescent="0.25">
      <c r="A205" s="59" t="s">
        <v>1269</v>
      </c>
      <c r="B205" s="59" t="s">
        <v>754</v>
      </c>
    </row>
    <row r="206" spans="1:2" x14ac:dyDescent="0.25">
      <c r="A206" s="59" t="s">
        <v>528</v>
      </c>
      <c r="B206" s="59">
        <v>2</v>
      </c>
    </row>
    <row r="207" spans="1:2" x14ac:dyDescent="0.25">
      <c r="A207" s="59" t="s">
        <v>1270</v>
      </c>
      <c r="B207" s="59" t="s">
        <v>621</v>
      </c>
    </row>
    <row r="208" spans="1:2" x14ac:dyDescent="0.25">
      <c r="A208" s="59" t="s">
        <v>1271</v>
      </c>
      <c r="B208" s="59" t="s">
        <v>639</v>
      </c>
    </row>
    <row r="209" spans="1:2" x14ac:dyDescent="0.25">
      <c r="A209" s="59" t="s">
        <v>1271</v>
      </c>
      <c r="B209" s="59">
        <v>205878</v>
      </c>
    </row>
    <row r="210" spans="1:2" x14ac:dyDescent="0.25">
      <c r="A210" s="59" t="s">
        <v>529</v>
      </c>
      <c r="B210" s="59">
        <v>205956</v>
      </c>
    </row>
    <row r="211" spans="1:2" x14ac:dyDescent="0.25">
      <c r="A211" s="59" t="s">
        <v>1273</v>
      </c>
      <c r="B211" s="59" t="s">
        <v>759</v>
      </c>
    </row>
    <row r="212" spans="1:2" x14ac:dyDescent="0.25">
      <c r="A212" s="59" t="s">
        <v>1382</v>
      </c>
      <c r="B212" s="59">
        <v>472319</v>
      </c>
    </row>
    <row r="213" spans="1:2" x14ac:dyDescent="0.25">
      <c r="A213" s="59" t="s">
        <v>1272</v>
      </c>
      <c r="B213" s="59">
        <v>260849</v>
      </c>
    </row>
    <row r="214" spans="1:2" x14ac:dyDescent="0.25">
      <c r="A214" s="59" t="s">
        <v>1383</v>
      </c>
      <c r="B214" s="59">
        <v>482805</v>
      </c>
    </row>
    <row r="215" spans="1:2" x14ac:dyDescent="0.25">
      <c r="A215" s="59" t="s">
        <v>1381</v>
      </c>
      <c r="B215" s="59">
        <v>447579</v>
      </c>
    </row>
    <row r="216" spans="1:2" x14ac:dyDescent="0.25">
      <c r="A216" s="59" t="s">
        <v>1274</v>
      </c>
      <c r="B216" s="59" t="s">
        <v>280</v>
      </c>
    </row>
    <row r="217" spans="1:2" x14ac:dyDescent="0.25">
      <c r="A217" s="59" t="s">
        <v>1275</v>
      </c>
      <c r="B217" s="59" t="s">
        <v>762</v>
      </c>
    </row>
    <row r="218" spans="1:2" x14ac:dyDescent="0.25">
      <c r="A218" s="59" t="s">
        <v>1277</v>
      </c>
      <c r="B218" s="59" t="s">
        <v>766</v>
      </c>
    </row>
    <row r="219" spans="1:2" x14ac:dyDescent="0.25">
      <c r="A219" s="59" t="s">
        <v>1276</v>
      </c>
      <c r="B219" s="59" t="s">
        <v>764</v>
      </c>
    </row>
    <row r="220" spans="1:2" x14ac:dyDescent="0.25">
      <c r="A220" s="59" t="s">
        <v>1279</v>
      </c>
      <c r="B220" s="59" t="s">
        <v>771</v>
      </c>
    </row>
    <row r="221" spans="1:2" x14ac:dyDescent="0.25">
      <c r="A221" s="437" t="s">
        <v>1278</v>
      </c>
      <c r="B221" s="529" t="s">
        <v>768</v>
      </c>
    </row>
    <row r="222" spans="1:2" x14ac:dyDescent="0.25">
      <c r="A222" s="437" t="s">
        <v>564</v>
      </c>
      <c r="B222" s="529" t="s">
        <v>281</v>
      </c>
    </row>
    <row r="223" spans="1:2" x14ac:dyDescent="0.25">
      <c r="A223" s="59" t="s">
        <v>1284</v>
      </c>
      <c r="B223" s="59" t="s">
        <v>774</v>
      </c>
    </row>
    <row r="224" spans="1:2" x14ac:dyDescent="0.25">
      <c r="A224" s="59" t="s">
        <v>1384</v>
      </c>
      <c r="B224" s="59">
        <v>484039</v>
      </c>
    </row>
    <row r="225" spans="1:2" x14ac:dyDescent="0.25">
      <c r="A225" s="59" t="s">
        <v>1285</v>
      </c>
      <c r="B225" s="59" t="s">
        <v>776</v>
      </c>
    </row>
    <row r="226" spans="1:2" x14ac:dyDescent="0.25">
      <c r="A226" s="59" t="s">
        <v>1385</v>
      </c>
      <c r="B226" s="59">
        <v>343478</v>
      </c>
    </row>
    <row r="227" spans="1:2" x14ac:dyDescent="0.25">
      <c r="A227" s="59" t="s">
        <v>532</v>
      </c>
      <c r="B227" s="59" t="s">
        <v>283</v>
      </c>
    </row>
    <row r="228" spans="1:2" x14ac:dyDescent="0.25">
      <c r="A228" s="59" t="s">
        <v>1280</v>
      </c>
      <c r="B228" s="59">
        <v>206031</v>
      </c>
    </row>
    <row r="229" spans="1:2" x14ac:dyDescent="0.25">
      <c r="A229" s="59" t="s">
        <v>531</v>
      </c>
      <c r="B229" s="59" t="s">
        <v>284</v>
      </c>
    </row>
    <row r="230" spans="1:2" x14ac:dyDescent="0.25">
      <c r="A230" s="59" t="s">
        <v>530</v>
      </c>
      <c r="B230" s="59" t="s">
        <v>282</v>
      </c>
    </row>
    <row r="231" spans="1:2" x14ac:dyDescent="0.25">
      <c r="A231" s="59" t="s">
        <v>1281</v>
      </c>
      <c r="B231" s="59" t="s">
        <v>781</v>
      </c>
    </row>
    <row r="232" spans="1:2" x14ac:dyDescent="0.25">
      <c r="A232" s="59" t="s">
        <v>1255</v>
      </c>
      <c r="B232" s="59" t="s">
        <v>285</v>
      </c>
    </row>
    <row r="233" spans="1:2" x14ac:dyDescent="0.25">
      <c r="A233" s="59" t="s">
        <v>1289</v>
      </c>
      <c r="B233" s="59">
        <v>260848</v>
      </c>
    </row>
    <row r="234" spans="1:2" x14ac:dyDescent="0.25">
      <c r="A234" s="59" t="s">
        <v>565</v>
      </c>
      <c r="B234" s="59">
        <v>206043</v>
      </c>
    </row>
    <row r="235" spans="1:2" x14ac:dyDescent="0.25">
      <c r="A235" s="59" t="s">
        <v>533</v>
      </c>
      <c r="B235" s="59" t="s">
        <v>286</v>
      </c>
    </row>
    <row r="236" spans="1:2" x14ac:dyDescent="0.25">
      <c r="A236" s="59" t="s">
        <v>533</v>
      </c>
      <c r="B236" s="59">
        <v>505502</v>
      </c>
    </row>
    <row r="237" spans="1:2" x14ac:dyDescent="0.25">
      <c r="A237" s="59" t="s">
        <v>563</v>
      </c>
      <c r="B237" s="59">
        <v>205978</v>
      </c>
    </row>
    <row r="238" spans="1:2" x14ac:dyDescent="0.25">
      <c r="A238" s="59" t="s">
        <v>1296</v>
      </c>
      <c r="B238" s="59">
        <v>435150</v>
      </c>
    </row>
    <row r="239" spans="1:2" x14ac:dyDescent="0.25">
      <c r="A239" s="59" t="s">
        <v>1288</v>
      </c>
      <c r="B239" s="59">
        <v>206067</v>
      </c>
    </row>
    <row r="240" spans="1:2" x14ac:dyDescent="0.25">
      <c r="A240" s="59" t="s">
        <v>534</v>
      </c>
      <c r="B240" s="59" t="s">
        <v>287</v>
      </c>
    </row>
    <row r="241" spans="1:2" x14ac:dyDescent="0.25">
      <c r="A241" s="59" t="s">
        <v>1282</v>
      </c>
      <c r="B241" s="59" t="s">
        <v>279</v>
      </c>
    </row>
    <row r="242" spans="1:2" x14ac:dyDescent="0.25">
      <c r="A242" s="59" t="s">
        <v>535</v>
      </c>
      <c r="B242" s="59" t="s">
        <v>288</v>
      </c>
    </row>
    <row r="243" spans="1:2" x14ac:dyDescent="0.25">
      <c r="A243" s="59" t="s">
        <v>1286</v>
      </c>
      <c r="B243" s="59" t="s">
        <v>793</v>
      </c>
    </row>
    <row r="244" spans="1:2" x14ac:dyDescent="0.25">
      <c r="A244" s="59" t="s">
        <v>1386</v>
      </c>
      <c r="B244" s="59">
        <v>414019</v>
      </c>
    </row>
    <row r="245" spans="1:2" x14ac:dyDescent="0.25">
      <c r="A245" s="59" t="s">
        <v>567</v>
      </c>
      <c r="B245" s="59" t="s">
        <v>274</v>
      </c>
    </row>
    <row r="246" spans="1:2" x14ac:dyDescent="0.25">
      <c r="A246" s="59" t="s">
        <v>1387</v>
      </c>
      <c r="B246" s="59">
        <v>458078</v>
      </c>
    </row>
    <row r="247" spans="1:2" x14ac:dyDescent="0.25">
      <c r="A247" s="59" t="s">
        <v>1287</v>
      </c>
      <c r="B247" s="59" t="s">
        <v>795</v>
      </c>
    </row>
    <row r="248" spans="1:2" x14ac:dyDescent="0.25">
      <c r="A248" s="59" t="s">
        <v>289</v>
      </c>
      <c r="B248" s="59" t="s">
        <v>290</v>
      </c>
    </row>
    <row r="249" spans="1:2" x14ac:dyDescent="0.25">
      <c r="A249" s="59" t="s">
        <v>1306</v>
      </c>
      <c r="B249" s="59">
        <v>4003</v>
      </c>
    </row>
    <row r="250" spans="1:2" x14ac:dyDescent="0.25">
      <c r="A250" s="59" t="s">
        <v>797</v>
      </c>
      <c r="B250" s="59" t="s">
        <v>798</v>
      </c>
    </row>
    <row r="251" spans="1:2" x14ac:dyDescent="0.25">
      <c r="A251" s="59" t="s">
        <v>291</v>
      </c>
      <c r="B251" s="59" t="s">
        <v>293</v>
      </c>
    </row>
    <row r="252" spans="1:2" x14ac:dyDescent="0.25">
      <c r="A252" s="59" t="s">
        <v>111</v>
      </c>
      <c r="B252" s="59">
        <v>4178</v>
      </c>
    </row>
    <row r="253" spans="1:2" x14ac:dyDescent="0.25">
      <c r="A253" s="59" t="s">
        <v>98</v>
      </c>
      <c r="B253" s="59">
        <v>3158</v>
      </c>
    </row>
    <row r="254" spans="1:2" x14ac:dyDescent="0.25">
      <c r="A254" s="59" t="s">
        <v>32</v>
      </c>
      <c r="B254" s="59">
        <v>2619</v>
      </c>
    </row>
    <row r="255" spans="1:2" x14ac:dyDescent="0.25">
      <c r="A255" s="59" t="s">
        <v>1388</v>
      </c>
      <c r="B255" s="59">
        <v>479542</v>
      </c>
    </row>
    <row r="256" spans="1:2" x14ac:dyDescent="0.25">
      <c r="A256" s="59" t="s">
        <v>1389</v>
      </c>
      <c r="B256" s="59" t="s">
        <v>1390</v>
      </c>
    </row>
    <row r="257" spans="1:2" x14ac:dyDescent="0.25">
      <c r="A257" s="59" t="s">
        <v>799</v>
      </c>
      <c r="B257" s="59" t="s">
        <v>800</v>
      </c>
    </row>
    <row r="258" spans="1:2" x14ac:dyDescent="0.25">
      <c r="A258" s="59" t="s">
        <v>1391</v>
      </c>
      <c r="B258" s="59">
        <v>487369</v>
      </c>
    </row>
    <row r="259" spans="1:2" x14ac:dyDescent="0.25">
      <c r="A259" s="59" t="s">
        <v>1392</v>
      </c>
      <c r="B259" s="59">
        <v>477763</v>
      </c>
    </row>
    <row r="260" spans="1:2" x14ac:dyDescent="0.25">
      <c r="A260" s="59" t="s">
        <v>294</v>
      </c>
      <c r="B260" s="59" t="s">
        <v>295</v>
      </c>
    </row>
    <row r="261" spans="1:2" x14ac:dyDescent="0.25">
      <c r="A261" s="59" t="s">
        <v>296</v>
      </c>
      <c r="B261" s="59">
        <v>258417</v>
      </c>
    </row>
    <row r="262" spans="1:2" x14ac:dyDescent="0.25">
      <c r="A262" s="59" t="s">
        <v>298</v>
      </c>
      <c r="B262" s="59" t="s">
        <v>300</v>
      </c>
    </row>
    <row r="263" spans="1:2" x14ac:dyDescent="0.25">
      <c r="A263" s="59" t="s">
        <v>301</v>
      </c>
      <c r="B263" s="59" t="s">
        <v>303</v>
      </c>
    </row>
    <row r="264" spans="1:2" x14ac:dyDescent="0.25">
      <c r="A264" s="59" t="s">
        <v>33</v>
      </c>
      <c r="B264" s="59">
        <v>2518</v>
      </c>
    </row>
    <row r="265" spans="1:2" x14ac:dyDescent="0.25">
      <c r="A265" s="59" t="s">
        <v>801</v>
      </c>
      <c r="B265" s="59" t="s">
        <v>802</v>
      </c>
    </row>
    <row r="266" spans="1:2" x14ac:dyDescent="0.25">
      <c r="A266" s="59" t="s">
        <v>304</v>
      </c>
      <c r="B266" s="59">
        <v>206106</v>
      </c>
    </row>
    <row r="267" spans="1:2" x14ac:dyDescent="0.25">
      <c r="A267" s="59" t="s">
        <v>306</v>
      </c>
      <c r="B267" s="59" t="s">
        <v>307</v>
      </c>
    </row>
    <row r="268" spans="1:2" x14ac:dyDescent="0.25">
      <c r="A268" s="59" t="s">
        <v>803</v>
      </c>
      <c r="B268" s="59" t="s">
        <v>804</v>
      </c>
    </row>
    <row r="269" spans="1:2" x14ac:dyDescent="0.25">
      <c r="A269" s="59" t="s">
        <v>34</v>
      </c>
      <c r="B269" s="59">
        <v>2457</v>
      </c>
    </row>
    <row r="270" spans="1:2" x14ac:dyDescent="0.25">
      <c r="A270" s="59" t="s">
        <v>99</v>
      </c>
      <c r="B270" s="59">
        <v>2010</v>
      </c>
    </row>
    <row r="271" spans="1:2" x14ac:dyDescent="0.25">
      <c r="A271" s="59" t="s">
        <v>35</v>
      </c>
      <c r="B271" s="59">
        <v>2002</v>
      </c>
    </row>
    <row r="272" spans="1:2" x14ac:dyDescent="0.25">
      <c r="A272" s="59" t="s">
        <v>36</v>
      </c>
      <c r="B272" s="59">
        <v>3544</v>
      </c>
    </row>
    <row r="273" spans="1:2" x14ac:dyDescent="0.25">
      <c r="A273" s="59" t="s">
        <v>5</v>
      </c>
      <c r="B273" s="59">
        <v>1008</v>
      </c>
    </row>
    <row r="274" spans="1:2" x14ac:dyDescent="0.25">
      <c r="A274" s="59" t="s">
        <v>308</v>
      </c>
      <c r="B274" s="59" t="s">
        <v>309</v>
      </c>
    </row>
    <row r="275" spans="1:2" x14ac:dyDescent="0.25">
      <c r="A275" s="59" t="s">
        <v>100</v>
      </c>
      <c r="B275" s="59">
        <v>2006</v>
      </c>
    </row>
    <row r="276" spans="1:2" x14ac:dyDescent="0.25">
      <c r="A276" s="59" t="s">
        <v>310</v>
      </c>
      <c r="B276" s="59" t="s">
        <v>311</v>
      </c>
    </row>
    <row r="277" spans="1:2" x14ac:dyDescent="0.25">
      <c r="A277" s="59" t="s">
        <v>312</v>
      </c>
      <c r="B277" s="59">
        <v>206133</v>
      </c>
    </row>
    <row r="278" spans="1:2" x14ac:dyDescent="0.25">
      <c r="A278" s="59" t="s">
        <v>806</v>
      </c>
      <c r="B278" s="59" t="s">
        <v>807</v>
      </c>
    </row>
    <row r="279" spans="1:2" x14ac:dyDescent="0.25">
      <c r="A279" s="59" t="s">
        <v>314</v>
      </c>
      <c r="B279" s="59" t="s">
        <v>316</v>
      </c>
    </row>
    <row r="280" spans="1:2" x14ac:dyDescent="0.25">
      <c r="A280" s="59" t="s">
        <v>317</v>
      </c>
      <c r="B280" s="59">
        <v>206134</v>
      </c>
    </row>
    <row r="281" spans="1:2" x14ac:dyDescent="0.25">
      <c r="A281" s="59" t="s">
        <v>321</v>
      </c>
      <c r="B281" s="59" t="s">
        <v>322</v>
      </c>
    </row>
    <row r="282" spans="1:2" x14ac:dyDescent="0.25">
      <c r="A282" s="59" t="s">
        <v>319</v>
      </c>
      <c r="B282" s="59" t="s">
        <v>320</v>
      </c>
    </row>
    <row r="283" spans="1:2" x14ac:dyDescent="0.25">
      <c r="A283" s="59" t="s">
        <v>323</v>
      </c>
      <c r="B283" s="59" t="s">
        <v>324</v>
      </c>
    </row>
    <row r="284" spans="1:2" x14ac:dyDescent="0.25">
      <c r="A284" s="59" t="s">
        <v>325</v>
      </c>
      <c r="B284" s="59">
        <v>206109</v>
      </c>
    </row>
    <row r="285" spans="1:2" x14ac:dyDescent="0.25">
      <c r="A285" s="59" t="s">
        <v>37</v>
      </c>
      <c r="B285" s="59">
        <v>2434</v>
      </c>
    </row>
    <row r="286" spans="1:2" x14ac:dyDescent="0.25">
      <c r="A286" s="59" t="s">
        <v>42</v>
      </c>
      <c r="B286" s="59">
        <v>2009</v>
      </c>
    </row>
    <row r="287" spans="1:2" x14ac:dyDescent="0.25">
      <c r="A287" s="59" t="s">
        <v>569</v>
      </c>
      <c r="B287" s="59">
        <v>6905</v>
      </c>
    </row>
    <row r="288" spans="1:2" x14ac:dyDescent="0.25">
      <c r="A288" s="59" t="s">
        <v>38</v>
      </c>
      <c r="B288" s="59">
        <v>2522</v>
      </c>
    </row>
    <row r="289" spans="1:2" x14ac:dyDescent="0.25">
      <c r="A289" s="59" t="s">
        <v>327</v>
      </c>
      <c r="B289" s="59">
        <v>206110</v>
      </c>
    </row>
    <row r="290" spans="1:2" x14ac:dyDescent="0.25">
      <c r="A290" s="59" t="s">
        <v>329</v>
      </c>
      <c r="B290" s="59">
        <v>206135</v>
      </c>
    </row>
    <row r="291" spans="1:2" x14ac:dyDescent="0.25">
      <c r="A291" s="59" t="s">
        <v>69</v>
      </c>
      <c r="B291" s="59">
        <v>4181</v>
      </c>
    </row>
    <row r="292" spans="1:2" x14ac:dyDescent="0.25">
      <c r="A292" s="59" t="s">
        <v>331</v>
      </c>
      <c r="B292" s="59">
        <v>509195</v>
      </c>
    </row>
    <row r="293" spans="1:2" x14ac:dyDescent="0.25">
      <c r="A293" s="59" t="s">
        <v>1393</v>
      </c>
      <c r="B293" s="59">
        <v>480857</v>
      </c>
    </row>
    <row r="294" spans="1:2" x14ac:dyDescent="0.25">
      <c r="A294" s="59" t="s">
        <v>333</v>
      </c>
      <c r="B294" s="59" t="s">
        <v>334</v>
      </c>
    </row>
    <row r="295" spans="1:2" x14ac:dyDescent="0.25">
      <c r="A295" s="59" t="s">
        <v>335</v>
      </c>
      <c r="B295" s="59" t="s">
        <v>336</v>
      </c>
    </row>
    <row r="296" spans="1:2" x14ac:dyDescent="0.25">
      <c r="A296" s="59" t="s">
        <v>1394</v>
      </c>
      <c r="B296" s="59">
        <v>492973</v>
      </c>
    </row>
    <row r="297" spans="1:2" x14ac:dyDescent="0.25">
      <c r="A297" s="59" t="s">
        <v>337</v>
      </c>
      <c r="B297" s="59" t="s">
        <v>339</v>
      </c>
    </row>
    <row r="298" spans="1:2" x14ac:dyDescent="0.25">
      <c r="A298" s="59" t="s">
        <v>340</v>
      </c>
      <c r="B298" s="59">
        <v>509199</v>
      </c>
    </row>
    <row r="299" spans="1:2" x14ac:dyDescent="0.25">
      <c r="A299" s="59" t="s">
        <v>342</v>
      </c>
      <c r="B299" s="59">
        <v>509197</v>
      </c>
    </row>
    <row r="300" spans="1:2" x14ac:dyDescent="0.25">
      <c r="A300" s="59" t="s">
        <v>808</v>
      </c>
      <c r="B300" s="59">
        <v>479383</v>
      </c>
    </row>
    <row r="301" spans="1:2" x14ac:dyDescent="0.25">
      <c r="A301" s="59" t="s">
        <v>347</v>
      </c>
      <c r="B301" s="59" t="s">
        <v>348</v>
      </c>
    </row>
    <row r="302" spans="1:2" x14ac:dyDescent="0.25">
      <c r="A302" s="59" t="s">
        <v>70</v>
      </c>
      <c r="B302" s="59">
        <v>4182</v>
      </c>
    </row>
    <row r="303" spans="1:2" x14ac:dyDescent="0.25">
      <c r="A303" s="59" t="s">
        <v>344</v>
      </c>
      <c r="B303" s="59" t="s">
        <v>346</v>
      </c>
    </row>
    <row r="304" spans="1:2" x14ac:dyDescent="0.25">
      <c r="A304" s="59" t="s">
        <v>6</v>
      </c>
      <c r="B304" s="59">
        <v>1005</v>
      </c>
    </row>
    <row r="305" spans="1:2" x14ac:dyDescent="0.25">
      <c r="A305" s="59" t="s">
        <v>809</v>
      </c>
      <c r="B305" s="59" t="s">
        <v>810</v>
      </c>
    </row>
    <row r="306" spans="1:2" x14ac:dyDescent="0.25">
      <c r="A306" s="59" t="s">
        <v>39</v>
      </c>
      <c r="B306" s="59">
        <v>2436</v>
      </c>
    </row>
    <row r="307" spans="1:2" x14ac:dyDescent="0.25">
      <c r="A307" s="59" t="s">
        <v>349</v>
      </c>
      <c r="B307" s="59">
        <v>206117</v>
      </c>
    </row>
    <row r="308" spans="1:2" x14ac:dyDescent="0.25">
      <c r="A308" s="59" t="s">
        <v>40</v>
      </c>
      <c r="B308" s="59">
        <v>2452</v>
      </c>
    </row>
    <row r="309" spans="1:2" x14ac:dyDescent="0.25">
      <c r="A309" s="59" t="s">
        <v>71</v>
      </c>
      <c r="B309" s="59">
        <v>4001</v>
      </c>
    </row>
    <row r="310" spans="1:2" x14ac:dyDescent="0.25">
      <c r="A310" s="59" t="s">
        <v>351</v>
      </c>
      <c r="B310" s="59">
        <v>206141</v>
      </c>
    </row>
    <row r="311" spans="1:2" x14ac:dyDescent="0.25">
      <c r="A311" s="59" t="s">
        <v>41</v>
      </c>
      <c r="B311" s="59">
        <v>2627</v>
      </c>
    </row>
    <row r="312" spans="1:2" x14ac:dyDescent="0.25">
      <c r="A312" s="59" t="s">
        <v>112</v>
      </c>
      <c r="B312" s="59">
        <v>5406</v>
      </c>
    </row>
    <row r="313" spans="1:2" x14ac:dyDescent="0.25">
      <c r="A313" s="59" t="s">
        <v>113</v>
      </c>
      <c r="B313" s="59">
        <v>5407</v>
      </c>
    </row>
    <row r="314" spans="1:2" x14ac:dyDescent="0.25">
      <c r="A314" s="59" t="s">
        <v>353</v>
      </c>
      <c r="B314" s="59" t="s">
        <v>355</v>
      </c>
    </row>
    <row r="315" spans="1:2" x14ac:dyDescent="0.25">
      <c r="A315" s="59" t="s">
        <v>356</v>
      </c>
      <c r="B315" s="59">
        <v>258404</v>
      </c>
    </row>
    <row r="316" spans="1:2" x14ac:dyDescent="0.25">
      <c r="A316" s="59" t="s">
        <v>101</v>
      </c>
      <c r="B316" s="59">
        <v>2473</v>
      </c>
    </row>
    <row r="317" spans="1:2" x14ac:dyDescent="0.25">
      <c r="A317" s="59" t="s">
        <v>44</v>
      </c>
      <c r="B317" s="59">
        <v>2471</v>
      </c>
    </row>
    <row r="318" spans="1:2" x14ac:dyDescent="0.25">
      <c r="A318" s="59" t="s">
        <v>358</v>
      </c>
      <c r="B318" s="59">
        <v>258405</v>
      </c>
    </row>
    <row r="319" spans="1:2" x14ac:dyDescent="0.25">
      <c r="A319" s="59" t="s">
        <v>360</v>
      </c>
      <c r="B319" s="59">
        <v>258406</v>
      </c>
    </row>
    <row r="320" spans="1:2" x14ac:dyDescent="0.25">
      <c r="A320" s="59" t="s">
        <v>1395</v>
      </c>
      <c r="B320" s="59">
        <v>206145</v>
      </c>
    </row>
    <row r="321" spans="1:2" x14ac:dyDescent="0.25">
      <c r="A321" s="59" t="s">
        <v>43</v>
      </c>
      <c r="B321" s="59">
        <v>2420</v>
      </c>
    </row>
    <row r="322" spans="1:2" x14ac:dyDescent="0.25">
      <c r="A322" s="59" t="s">
        <v>362</v>
      </c>
      <c r="B322" s="59">
        <v>206160</v>
      </c>
    </row>
    <row r="323" spans="1:2" x14ac:dyDescent="0.25">
      <c r="A323" s="59" t="s">
        <v>45</v>
      </c>
      <c r="B323" s="59">
        <v>2003</v>
      </c>
    </row>
    <row r="324" spans="1:2" x14ac:dyDescent="0.25">
      <c r="A324" s="59" t="s">
        <v>46</v>
      </c>
      <c r="B324" s="59">
        <v>2423</v>
      </c>
    </row>
    <row r="325" spans="1:2" x14ac:dyDescent="0.25">
      <c r="A325" s="59" t="s">
        <v>47</v>
      </c>
      <c r="B325" s="59">
        <v>2424</v>
      </c>
    </row>
    <row r="326" spans="1:2" x14ac:dyDescent="0.25">
      <c r="A326" s="59" t="s">
        <v>364</v>
      </c>
      <c r="B326" s="59" t="s">
        <v>366</v>
      </c>
    </row>
    <row r="327" spans="1:2" x14ac:dyDescent="0.25">
      <c r="A327" s="59" t="s">
        <v>367</v>
      </c>
      <c r="B327" s="59" t="s">
        <v>368</v>
      </c>
    </row>
    <row r="328" spans="1:2" x14ac:dyDescent="0.25">
      <c r="A328" s="59" t="s">
        <v>369</v>
      </c>
      <c r="B328" s="59" t="s">
        <v>371</v>
      </c>
    </row>
    <row r="329" spans="1:2" x14ac:dyDescent="0.25">
      <c r="A329" s="59" t="s">
        <v>811</v>
      </c>
      <c r="B329" s="59" t="s">
        <v>812</v>
      </c>
    </row>
    <row r="330" spans="1:2" x14ac:dyDescent="0.25">
      <c r="A330" s="59" t="s">
        <v>372</v>
      </c>
      <c r="B330" s="59">
        <v>206146</v>
      </c>
    </row>
    <row r="331" spans="1:2" x14ac:dyDescent="0.25">
      <c r="A331" s="59" t="s">
        <v>48</v>
      </c>
      <c r="B331" s="59">
        <v>2439</v>
      </c>
    </row>
    <row r="332" spans="1:2" x14ac:dyDescent="0.25">
      <c r="A332" s="59" t="s">
        <v>49</v>
      </c>
      <c r="B332" s="59">
        <v>2440</v>
      </c>
    </row>
    <row r="333" spans="1:2" x14ac:dyDescent="0.25">
      <c r="A333" s="59" t="s">
        <v>374</v>
      </c>
      <c r="B333" s="59" t="s">
        <v>375</v>
      </c>
    </row>
    <row r="334" spans="1:2" x14ac:dyDescent="0.25">
      <c r="A334" s="59" t="s">
        <v>813</v>
      </c>
      <c r="B334" s="59" t="s">
        <v>814</v>
      </c>
    </row>
    <row r="335" spans="1:2" x14ac:dyDescent="0.25">
      <c r="A335" s="59" t="s">
        <v>815</v>
      </c>
      <c r="B335" s="59" t="s">
        <v>816</v>
      </c>
    </row>
    <row r="336" spans="1:2" x14ac:dyDescent="0.25">
      <c r="A336" s="67" t="s">
        <v>377</v>
      </c>
      <c r="B336" s="67" t="s">
        <v>378</v>
      </c>
    </row>
    <row r="337" spans="1:2" x14ac:dyDescent="0.25">
      <c r="A337" s="105" t="s">
        <v>377</v>
      </c>
      <c r="B337" s="110" t="s">
        <v>817</v>
      </c>
    </row>
    <row r="338" spans="1:2" x14ac:dyDescent="0.25">
      <c r="A338" s="105" t="s">
        <v>102</v>
      </c>
      <c r="B338" s="110">
        <v>2462</v>
      </c>
    </row>
    <row r="339" spans="1:2" x14ac:dyDescent="0.25">
      <c r="A339" s="105" t="s">
        <v>50</v>
      </c>
      <c r="B339" s="110">
        <v>2463</v>
      </c>
    </row>
    <row r="340" spans="1:2" x14ac:dyDescent="0.25">
      <c r="A340" s="105" t="s">
        <v>51</v>
      </c>
      <c r="B340" s="67">
        <v>2505</v>
      </c>
    </row>
    <row r="341" spans="1:2" x14ac:dyDescent="0.25">
      <c r="A341" s="105" t="s">
        <v>1304</v>
      </c>
      <c r="B341" s="110">
        <v>2000</v>
      </c>
    </row>
    <row r="342" spans="1:2" x14ac:dyDescent="0.25">
      <c r="A342" s="105" t="s">
        <v>53</v>
      </c>
      <c r="B342" s="67">
        <v>2458</v>
      </c>
    </row>
    <row r="343" spans="1:2" x14ac:dyDescent="0.25">
      <c r="A343" s="105" t="s">
        <v>379</v>
      </c>
      <c r="B343" s="67" t="s">
        <v>381</v>
      </c>
    </row>
    <row r="344" spans="1:2" x14ac:dyDescent="0.25">
      <c r="A344" s="105" t="s">
        <v>54</v>
      </c>
      <c r="B344" s="67">
        <v>2001</v>
      </c>
    </row>
    <row r="345" spans="1:2" x14ac:dyDescent="0.25">
      <c r="A345" s="105" t="s">
        <v>382</v>
      </c>
      <c r="B345" s="67" t="s">
        <v>383</v>
      </c>
    </row>
    <row r="346" spans="1:2" x14ac:dyDescent="0.25">
      <c r="A346" s="105" t="s">
        <v>55</v>
      </c>
      <c r="B346" s="67">
        <v>2429</v>
      </c>
    </row>
    <row r="347" spans="1:2" x14ac:dyDescent="0.25">
      <c r="A347" s="105" t="s">
        <v>384</v>
      </c>
      <c r="B347" s="67">
        <v>113044</v>
      </c>
    </row>
    <row r="348" spans="1:2" x14ac:dyDescent="0.25">
      <c r="A348" s="105" t="s">
        <v>386</v>
      </c>
      <c r="B348" s="67" t="s">
        <v>388</v>
      </c>
    </row>
    <row r="349" spans="1:2" x14ac:dyDescent="0.25">
      <c r="A349" s="105" t="s">
        <v>72</v>
      </c>
      <c r="B349" s="67">
        <v>4607</v>
      </c>
    </row>
    <row r="350" spans="1:2" x14ac:dyDescent="0.25">
      <c r="A350" s="105" t="s">
        <v>818</v>
      </c>
      <c r="B350" s="67" t="s">
        <v>819</v>
      </c>
    </row>
    <row r="351" spans="1:2" x14ac:dyDescent="0.25">
      <c r="A351" s="105" t="s">
        <v>820</v>
      </c>
      <c r="B351" s="67" t="s">
        <v>821</v>
      </c>
    </row>
    <row r="352" spans="1:2" x14ac:dyDescent="0.25">
      <c r="A352" s="105" t="s">
        <v>56</v>
      </c>
      <c r="B352" s="67">
        <v>2444</v>
      </c>
    </row>
    <row r="353" spans="1:2" x14ac:dyDescent="0.25">
      <c r="A353" s="105" t="s">
        <v>57</v>
      </c>
      <c r="B353" s="67">
        <v>5209</v>
      </c>
    </row>
    <row r="354" spans="1:2" x14ac:dyDescent="0.25">
      <c r="A354" s="105" t="s">
        <v>389</v>
      </c>
      <c r="B354" s="67" t="s">
        <v>391</v>
      </c>
    </row>
    <row r="355" spans="1:2" x14ac:dyDescent="0.25">
      <c r="A355" s="105" t="s">
        <v>392</v>
      </c>
      <c r="B355" s="67" t="s">
        <v>394</v>
      </c>
    </row>
    <row r="356" spans="1:2" x14ac:dyDescent="0.25">
      <c r="A356" s="105" t="s">
        <v>58</v>
      </c>
      <c r="B356" s="67">
        <v>2469</v>
      </c>
    </row>
    <row r="357" spans="1:2" x14ac:dyDescent="0.25">
      <c r="A357" s="105" t="s">
        <v>395</v>
      </c>
      <c r="B357" s="110" t="s">
        <v>397</v>
      </c>
    </row>
    <row r="358" spans="1:2" x14ac:dyDescent="0.25">
      <c r="A358" s="105" t="s">
        <v>398</v>
      </c>
      <c r="B358" s="67" t="s">
        <v>399</v>
      </c>
    </row>
    <row r="359" spans="1:2" x14ac:dyDescent="0.25">
      <c r="A359" s="59" t="s">
        <v>59</v>
      </c>
      <c r="B359" s="59">
        <v>2466</v>
      </c>
    </row>
    <row r="360" spans="1:2" x14ac:dyDescent="0.25">
      <c r="A360" s="59" t="s">
        <v>60</v>
      </c>
      <c r="B360" s="59">
        <v>3543</v>
      </c>
    </row>
    <row r="361" spans="1:2" x14ac:dyDescent="0.25">
      <c r="A361" s="59" t="s">
        <v>400</v>
      </c>
      <c r="B361" s="59">
        <v>206152</v>
      </c>
    </row>
    <row r="362" spans="1:2" x14ac:dyDescent="0.25">
      <c r="A362" s="59" t="s">
        <v>402</v>
      </c>
      <c r="B362" s="59">
        <v>206153</v>
      </c>
    </row>
    <row r="363" spans="1:2" x14ac:dyDescent="0.25">
      <c r="A363" s="59" t="s">
        <v>62</v>
      </c>
      <c r="B363" s="59">
        <v>3531</v>
      </c>
    </row>
    <row r="364" spans="1:2" x14ac:dyDescent="0.25">
      <c r="A364" s="59" t="s">
        <v>63</v>
      </c>
      <c r="B364" s="59">
        <v>3526</v>
      </c>
    </row>
    <row r="365" spans="1:2" x14ac:dyDescent="0.25">
      <c r="A365" s="59" t="s">
        <v>104</v>
      </c>
      <c r="B365" s="59">
        <v>3535</v>
      </c>
    </row>
    <row r="366" spans="1:2" x14ac:dyDescent="0.25">
      <c r="A366" s="59" t="s">
        <v>64</v>
      </c>
      <c r="B366" s="59">
        <v>2008</v>
      </c>
    </row>
    <row r="367" spans="1:2" x14ac:dyDescent="0.25">
      <c r="A367" s="59" t="s">
        <v>105</v>
      </c>
      <c r="B367" s="59">
        <v>3542</v>
      </c>
    </row>
    <row r="368" spans="1:2" x14ac:dyDescent="0.25">
      <c r="A368" s="59" t="s">
        <v>404</v>
      </c>
      <c r="B368" s="59">
        <v>206154</v>
      </c>
    </row>
    <row r="369" spans="1:2" x14ac:dyDescent="0.25">
      <c r="A369" s="59" t="s">
        <v>106</v>
      </c>
      <c r="B369" s="59">
        <v>3528</v>
      </c>
    </row>
    <row r="370" spans="1:2" x14ac:dyDescent="0.25">
      <c r="A370" s="59" t="s">
        <v>406</v>
      </c>
      <c r="B370" s="59" t="s">
        <v>407</v>
      </c>
    </row>
    <row r="371" spans="1:2" x14ac:dyDescent="0.25">
      <c r="A371" s="59" t="s">
        <v>107</v>
      </c>
      <c r="B371" s="59">
        <v>3534</v>
      </c>
    </row>
    <row r="372" spans="1:2" x14ac:dyDescent="0.25">
      <c r="A372" s="59" t="s">
        <v>108</v>
      </c>
      <c r="B372" s="59">
        <v>3532</v>
      </c>
    </row>
    <row r="373" spans="1:2" x14ac:dyDescent="0.25">
      <c r="A373" s="59" t="s">
        <v>7</v>
      </c>
      <c r="B373" s="59">
        <v>1010</v>
      </c>
    </row>
    <row r="374" spans="1:2" x14ac:dyDescent="0.25">
      <c r="A374" s="59" t="s">
        <v>1396</v>
      </c>
      <c r="B374" s="59">
        <v>484523</v>
      </c>
    </row>
    <row r="375" spans="1:2" x14ac:dyDescent="0.25">
      <c r="A375" s="59" t="s">
        <v>408</v>
      </c>
      <c r="B375" s="59" t="s">
        <v>410</v>
      </c>
    </row>
    <row r="376" spans="1:2" x14ac:dyDescent="0.25">
      <c r="A376" s="59" t="s">
        <v>114</v>
      </c>
      <c r="B376" s="59">
        <v>4177</v>
      </c>
    </row>
    <row r="377" spans="1:2" x14ac:dyDescent="0.25">
      <c r="A377" s="59" t="s">
        <v>822</v>
      </c>
      <c r="B377" s="59" t="s">
        <v>824</v>
      </c>
    </row>
    <row r="378" spans="1:2" x14ac:dyDescent="0.25">
      <c r="A378" s="59" t="s">
        <v>411</v>
      </c>
      <c r="B378" s="59" t="s">
        <v>413</v>
      </c>
    </row>
    <row r="379" spans="1:2" x14ac:dyDescent="0.25">
      <c r="A379" s="59" t="s">
        <v>414</v>
      </c>
      <c r="B379" s="59">
        <v>206103</v>
      </c>
    </row>
    <row r="380" spans="1:2" x14ac:dyDescent="0.25">
      <c r="A380" s="59" t="s">
        <v>415</v>
      </c>
      <c r="B380" s="59" t="s">
        <v>417</v>
      </c>
    </row>
    <row r="381" spans="1:2" x14ac:dyDescent="0.25">
      <c r="A381" s="59" t="s">
        <v>418</v>
      </c>
      <c r="B381" s="59" t="s">
        <v>420</v>
      </c>
    </row>
    <row r="382" spans="1:2" x14ac:dyDescent="0.25">
      <c r="A382" s="59" t="s">
        <v>421</v>
      </c>
      <c r="B382" s="59">
        <v>258420</v>
      </c>
    </row>
    <row r="383" spans="1:2" x14ac:dyDescent="0.25">
      <c r="A383" s="59" t="s">
        <v>423</v>
      </c>
      <c r="B383" s="59">
        <v>258424</v>
      </c>
    </row>
    <row r="384" spans="1:2" x14ac:dyDescent="0.25">
      <c r="A384" s="59" t="s">
        <v>1397</v>
      </c>
      <c r="B384" s="59">
        <v>482634</v>
      </c>
    </row>
    <row r="385" spans="1:2" x14ac:dyDescent="0.25">
      <c r="A385" s="59" t="s">
        <v>425</v>
      </c>
      <c r="B385" s="59" t="s">
        <v>426</v>
      </c>
    </row>
    <row r="386" spans="1:2" x14ac:dyDescent="0.25">
      <c r="A386" s="59" t="s">
        <v>65</v>
      </c>
      <c r="B386" s="59">
        <v>3546</v>
      </c>
    </row>
    <row r="387" spans="1:2" x14ac:dyDescent="0.25">
      <c r="A387" s="59" t="s">
        <v>8</v>
      </c>
      <c r="B387" s="59">
        <v>1009</v>
      </c>
    </row>
    <row r="388" spans="1:2" x14ac:dyDescent="0.25">
      <c r="A388" s="59" t="s">
        <v>1398</v>
      </c>
      <c r="B388" s="59">
        <v>476554</v>
      </c>
    </row>
    <row r="389" spans="1:2" x14ac:dyDescent="0.25">
      <c r="A389" s="59" t="s">
        <v>66</v>
      </c>
      <c r="B389" s="59">
        <v>3530</v>
      </c>
    </row>
    <row r="390" spans="1:2" x14ac:dyDescent="0.25">
      <c r="A390" s="59" t="s">
        <v>74</v>
      </c>
      <c r="B390" s="59">
        <v>5412</v>
      </c>
    </row>
    <row r="391" spans="1:2" x14ac:dyDescent="0.25">
      <c r="A391" s="59" t="s">
        <v>432</v>
      </c>
      <c r="B391" s="59" t="s">
        <v>433</v>
      </c>
    </row>
    <row r="392" spans="1:2" x14ac:dyDescent="0.25">
      <c r="A392" s="59" t="s">
        <v>427</v>
      </c>
      <c r="B392" s="59" t="s">
        <v>429</v>
      </c>
    </row>
    <row r="393" spans="1:2" x14ac:dyDescent="0.25">
      <c r="A393" s="59" t="s">
        <v>9</v>
      </c>
      <c r="B393" s="59">
        <v>1015</v>
      </c>
    </row>
    <row r="394" spans="1:2" x14ac:dyDescent="0.25">
      <c r="A394" s="59" t="s">
        <v>430</v>
      </c>
      <c r="B394" s="59" t="s">
        <v>431</v>
      </c>
    </row>
    <row r="395" spans="1:2" x14ac:dyDescent="0.25">
      <c r="A395" s="59" t="s">
        <v>434</v>
      </c>
      <c r="B395" s="59">
        <v>509204</v>
      </c>
    </row>
    <row r="396" spans="1:2" x14ac:dyDescent="0.25">
      <c r="A396" s="59" t="s">
        <v>434</v>
      </c>
      <c r="B396" s="59" t="s">
        <v>825</v>
      </c>
    </row>
    <row r="397" spans="1:2" x14ac:dyDescent="0.25">
      <c r="A397" s="59" t="s">
        <v>67</v>
      </c>
      <c r="B397" s="59">
        <v>2459</v>
      </c>
    </row>
    <row r="398" spans="1:2" x14ac:dyDescent="0.25">
      <c r="A398" s="59" t="s">
        <v>96</v>
      </c>
      <c r="B398" s="59">
        <v>2007</v>
      </c>
    </row>
  </sheetData>
  <sheetProtection password="EF5C" sheet="1" objects="1" scenarios="1"/>
  <pageMargins left="0.7" right="0.7" top="0.75" bottom="0.75" header="0.3" footer="0.3"/>
  <pageSetup paperSize="9" orientation="portrait"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B050"/>
  </sheetPr>
  <dimension ref="A1:S447"/>
  <sheetViews>
    <sheetView workbookViewId="0">
      <pane xSplit="2" ySplit="6" topLeftCell="C166" activePane="bottomRight" state="frozen"/>
      <selection activeCell="C118" sqref="C118"/>
      <selection pane="topRight" activeCell="C118" sqref="C118"/>
      <selection pane="bottomLeft" activeCell="C118" sqref="C118"/>
      <selection pane="bottomRight" activeCell="F180" sqref="F180"/>
    </sheetView>
  </sheetViews>
  <sheetFormatPr defaultColWidth="9.109375" defaultRowHeight="13.2" x14ac:dyDescent="0.25"/>
  <cols>
    <col min="1" max="1" width="52.44140625" style="11" bestFit="1" customWidth="1"/>
    <col min="2" max="2" width="17.109375" style="2" bestFit="1" customWidth="1"/>
    <col min="3" max="3" width="14.44140625" style="11" customWidth="1"/>
    <col min="4" max="4" width="11.44140625" style="11" customWidth="1"/>
    <col min="5" max="5" width="10.88671875" style="11" customWidth="1"/>
    <col min="6" max="6" width="13.109375" style="11" customWidth="1"/>
    <col min="7" max="7" width="9.109375" style="11"/>
    <col min="8" max="9" width="13.109375" style="11" customWidth="1"/>
    <col min="10" max="10" width="11.6640625" style="11" customWidth="1"/>
    <col min="11" max="11" width="11.88671875" style="11" customWidth="1"/>
    <col min="12" max="12" width="12.6640625" style="11" customWidth="1"/>
    <col min="13" max="13" width="9.109375" style="11"/>
    <col min="14" max="14" width="16.44140625" style="14" customWidth="1"/>
    <col min="15" max="15" width="12.109375" style="30" bestFit="1" customWidth="1"/>
    <col min="16" max="16" width="20.88671875" style="30" customWidth="1"/>
    <col min="17" max="17" width="10.109375" style="30" bestFit="1" customWidth="1"/>
    <col min="18" max="18" width="9.33203125" style="30" bestFit="1" customWidth="1"/>
    <col min="19" max="16384" width="9.109375" style="30"/>
  </cols>
  <sheetData>
    <row r="1" spans="1:16" ht="12.75" customHeight="1" x14ac:dyDescent="0.25">
      <c r="A1" s="1" t="s">
        <v>958</v>
      </c>
      <c r="C1" s="1253" t="s">
        <v>1160</v>
      </c>
      <c r="D1" s="4"/>
      <c r="E1" s="2" t="s">
        <v>1161</v>
      </c>
      <c r="F1" s="4"/>
      <c r="G1" s="4"/>
      <c r="H1" s="4"/>
      <c r="I1" s="4"/>
      <c r="J1" s="18">
        <f>-B121</f>
        <v>-67.33</v>
      </c>
      <c r="K1" s="19"/>
      <c r="L1" s="19"/>
      <c r="M1" s="4"/>
      <c r="N1" s="23"/>
      <c r="O1" s="23"/>
      <c r="P1" s="22"/>
    </row>
    <row r="2" spans="1:16" x14ac:dyDescent="0.25">
      <c r="A2" s="1" t="s">
        <v>77</v>
      </c>
      <c r="C2" s="1253"/>
      <c r="D2" s="4"/>
      <c r="E2" s="4"/>
      <c r="F2" s="4"/>
      <c r="G2" s="4"/>
      <c r="H2" s="4"/>
      <c r="I2" s="4"/>
      <c r="J2" s="19"/>
      <c r="K2" s="19"/>
      <c r="L2" s="19"/>
      <c r="M2" s="4"/>
      <c r="O2" s="22"/>
      <c r="P2" s="22"/>
    </row>
    <row r="3" spans="1:16" x14ac:dyDescent="0.25">
      <c r="A3" s="1" t="s">
        <v>78</v>
      </c>
      <c r="C3" s="20"/>
      <c r="D3" s="3"/>
      <c r="E3" s="4"/>
      <c r="F3" s="4"/>
      <c r="G3" s="4"/>
      <c r="H3" s="4"/>
      <c r="I3" s="21"/>
      <c r="J3" s="19"/>
      <c r="K3" s="18">
        <f>-C121</f>
        <v>-60.85</v>
      </c>
      <c r="L3" s="19"/>
      <c r="M3" s="4">
        <f>C121</f>
        <v>60.85</v>
      </c>
      <c r="O3" s="22"/>
      <c r="P3" s="22"/>
    </row>
    <row r="4" spans="1:16" x14ac:dyDescent="0.25">
      <c r="A4" s="1" t="s">
        <v>79</v>
      </c>
      <c r="C4" s="20"/>
      <c r="D4" s="3"/>
      <c r="E4" s="3"/>
      <c r="F4" s="3"/>
      <c r="G4" s="3"/>
      <c r="H4" s="3"/>
      <c r="I4" s="3"/>
      <c r="J4" s="18"/>
      <c r="K4" s="18"/>
      <c r="L4" s="18">
        <f>-C121</f>
        <v>-60.85</v>
      </c>
      <c r="M4" s="3"/>
      <c r="O4" s="22"/>
      <c r="P4" s="22"/>
    </row>
    <row r="5" spans="1:16" ht="12.75" x14ac:dyDescent="0.2">
      <c r="A5" s="1" t="s">
        <v>80</v>
      </c>
      <c r="C5" s="20"/>
      <c r="D5" s="3"/>
      <c r="E5" s="3"/>
      <c r="F5" s="3"/>
      <c r="G5" s="3"/>
      <c r="H5" s="3"/>
      <c r="I5" s="32"/>
      <c r="J5" s="3"/>
      <c r="K5" s="3"/>
      <c r="L5" s="18"/>
      <c r="M5" s="3"/>
      <c r="O5" s="22"/>
      <c r="P5" s="21"/>
    </row>
    <row r="6" spans="1:16" ht="63.75" x14ac:dyDescent="0.2">
      <c r="A6" s="13" t="s">
        <v>118</v>
      </c>
      <c r="B6" s="6" t="s">
        <v>119</v>
      </c>
      <c r="C6" s="7" t="s">
        <v>82</v>
      </c>
      <c r="D6" s="7" t="s">
        <v>83</v>
      </c>
      <c r="E6" s="7" t="s">
        <v>84</v>
      </c>
      <c r="F6" s="7" t="s">
        <v>85</v>
      </c>
      <c r="G6" s="7" t="s">
        <v>86</v>
      </c>
      <c r="H6" s="7" t="s">
        <v>87</v>
      </c>
      <c r="I6" s="7" t="s">
        <v>88</v>
      </c>
      <c r="J6" s="5" t="s">
        <v>89</v>
      </c>
      <c r="K6" s="5" t="s">
        <v>90</v>
      </c>
      <c r="L6" s="5" t="s">
        <v>91</v>
      </c>
      <c r="M6" s="5" t="s">
        <v>92</v>
      </c>
      <c r="N6" s="15" t="s">
        <v>1162</v>
      </c>
    </row>
    <row r="7" spans="1:16" ht="12.75" x14ac:dyDescent="0.2">
      <c r="A7" s="729" t="s">
        <v>1301</v>
      </c>
      <c r="B7" s="27">
        <v>2014</v>
      </c>
      <c r="C7" s="729"/>
      <c r="D7" s="729"/>
      <c r="E7" s="729"/>
      <c r="F7" s="729"/>
      <c r="G7" s="729"/>
      <c r="H7" s="729"/>
      <c r="I7" s="729"/>
      <c r="J7" s="729"/>
      <c r="K7" s="729"/>
      <c r="L7" s="729"/>
      <c r="M7" s="729"/>
      <c r="N7" s="731"/>
      <c r="O7" s="33" t="s">
        <v>1302</v>
      </c>
    </row>
    <row r="8" spans="1:16" ht="12.75" x14ac:dyDescent="0.2">
      <c r="A8" s="729" t="s">
        <v>10</v>
      </c>
      <c r="B8" s="27">
        <v>2012</v>
      </c>
      <c r="C8" s="729"/>
      <c r="D8" s="729"/>
      <c r="E8" s="729"/>
      <c r="F8" s="729"/>
      <c r="G8" s="729"/>
      <c r="H8" s="729"/>
      <c r="I8" s="729"/>
      <c r="J8" s="729"/>
      <c r="K8" s="729"/>
      <c r="L8" s="729"/>
      <c r="M8" s="729"/>
      <c r="N8" s="731"/>
      <c r="O8" s="33" t="s">
        <v>1163</v>
      </c>
    </row>
    <row r="9" spans="1:16" ht="12.75" x14ac:dyDescent="0.2">
      <c r="A9" s="9" t="s">
        <v>11</v>
      </c>
      <c r="B9" s="10">
        <v>2443</v>
      </c>
      <c r="C9" s="9">
        <v>264</v>
      </c>
      <c r="D9" s="9">
        <v>0</v>
      </c>
      <c r="E9" s="9">
        <v>0</v>
      </c>
      <c r="F9" s="9">
        <f t="shared" ref="F9:F71" si="0">SUM(C9:E9)</f>
        <v>264</v>
      </c>
      <c r="G9" s="9">
        <v>0</v>
      </c>
      <c r="H9" s="9">
        <v>0</v>
      </c>
      <c r="I9" s="9">
        <v>0</v>
      </c>
      <c r="J9" s="9">
        <f t="shared" ref="J9:L72" si="1">C9-G9</f>
        <v>264</v>
      </c>
      <c r="K9" s="9">
        <f t="shared" si="1"/>
        <v>0</v>
      </c>
      <c r="L9" s="9">
        <f t="shared" si="1"/>
        <v>0</v>
      </c>
      <c r="M9" s="9">
        <f t="shared" ref="M9:M72" si="2">SUM(J9:L9)</f>
        <v>264</v>
      </c>
      <c r="N9" s="16">
        <f t="shared" ref="N9:N71" si="3">SUM(J9*$J$1)+SUM(K9*$K$3)+SUM(L9*$L$4)</f>
        <v>-17775.12</v>
      </c>
    </row>
    <row r="10" spans="1:16" ht="12.75" x14ac:dyDescent="0.2">
      <c r="A10" s="9" t="s">
        <v>94</v>
      </c>
      <c r="B10" s="10">
        <v>2442</v>
      </c>
      <c r="C10" s="9">
        <v>334</v>
      </c>
      <c r="D10" s="9">
        <v>0</v>
      </c>
      <c r="E10" s="9">
        <v>0</v>
      </c>
      <c r="F10" s="9">
        <f t="shared" si="0"/>
        <v>334</v>
      </c>
      <c r="G10" s="9">
        <v>14</v>
      </c>
      <c r="H10" s="9">
        <v>0</v>
      </c>
      <c r="I10" s="9">
        <v>0</v>
      </c>
      <c r="J10" s="9">
        <f t="shared" si="1"/>
        <v>320</v>
      </c>
      <c r="K10" s="9">
        <f t="shared" si="1"/>
        <v>0</v>
      </c>
      <c r="L10" s="9">
        <f t="shared" si="1"/>
        <v>0</v>
      </c>
      <c r="M10" s="9">
        <f t="shared" si="2"/>
        <v>320</v>
      </c>
      <c r="N10" s="16">
        <f t="shared" si="3"/>
        <v>-21545.599999999999</v>
      </c>
    </row>
    <row r="11" spans="1:16" ht="12.75" x14ac:dyDescent="0.2">
      <c r="A11" s="9" t="s">
        <v>13</v>
      </c>
      <c r="B11" s="10">
        <v>2629</v>
      </c>
      <c r="C11" s="9">
        <v>483.5</v>
      </c>
      <c r="D11" s="9">
        <v>0</v>
      </c>
      <c r="E11" s="9">
        <v>0</v>
      </c>
      <c r="F11" s="9">
        <f t="shared" si="0"/>
        <v>483.5</v>
      </c>
      <c r="G11" s="9">
        <v>5</v>
      </c>
      <c r="H11" s="9">
        <v>0</v>
      </c>
      <c r="I11" s="9">
        <v>0</v>
      </c>
      <c r="J11" s="9">
        <f t="shared" si="1"/>
        <v>478.5</v>
      </c>
      <c r="K11" s="9">
        <f t="shared" si="1"/>
        <v>0</v>
      </c>
      <c r="L11" s="9">
        <f t="shared" si="1"/>
        <v>0</v>
      </c>
      <c r="M11" s="9">
        <f t="shared" si="2"/>
        <v>478.5</v>
      </c>
      <c r="N11" s="16">
        <f t="shared" si="3"/>
        <v>-32217.404999999999</v>
      </c>
    </row>
    <row r="12" spans="1:16" ht="12.75" x14ac:dyDescent="0.2">
      <c r="A12" s="9" t="s">
        <v>14</v>
      </c>
      <c r="B12" s="10">
        <v>2509</v>
      </c>
      <c r="C12" s="9">
        <v>206</v>
      </c>
      <c r="D12" s="9">
        <v>0</v>
      </c>
      <c r="E12" s="9">
        <v>0</v>
      </c>
      <c r="F12" s="9">
        <f t="shared" si="0"/>
        <v>206</v>
      </c>
      <c r="G12" s="9">
        <v>0</v>
      </c>
      <c r="H12" s="9">
        <v>0</v>
      </c>
      <c r="I12" s="9">
        <v>0</v>
      </c>
      <c r="J12" s="9">
        <f t="shared" si="1"/>
        <v>206</v>
      </c>
      <c r="K12" s="9">
        <f t="shared" si="1"/>
        <v>0</v>
      </c>
      <c r="L12" s="9">
        <f t="shared" si="1"/>
        <v>0</v>
      </c>
      <c r="M12" s="9">
        <f t="shared" si="2"/>
        <v>206</v>
      </c>
      <c r="N12" s="16">
        <f t="shared" si="3"/>
        <v>-13869.98</v>
      </c>
    </row>
    <row r="13" spans="1:16" ht="12.75" x14ac:dyDescent="0.2">
      <c r="A13" s="9" t="s">
        <v>15</v>
      </c>
      <c r="B13" s="10">
        <v>2005</v>
      </c>
      <c r="C13" s="9">
        <v>319</v>
      </c>
      <c r="D13" s="9">
        <v>0</v>
      </c>
      <c r="E13" s="9">
        <v>0</v>
      </c>
      <c r="F13" s="9">
        <f t="shared" si="0"/>
        <v>319</v>
      </c>
      <c r="G13" s="9">
        <v>0</v>
      </c>
      <c r="H13" s="9">
        <v>0</v>
      </c>
      <c r="I13" s="9">
        <v>0</v>
      </c>
      <c r="J13" s="9">
        <f t="shared" si="1"/>
        <v>319</v>
      </c>
      <c r="K13" s="9">
        <f t="shared" si="1"/>
        <v>0</v>
      </c>
      <c r="L13" s="9">
        <f t="shared" si="1"/>
        <v>0</v>
      </c>
      <c r="M13" s="9">
        <f t="shared" si="2"/>
        <v>319</v>
      </c>
      <c r="N13" s="16">
        <f t="shared" si="3"/>
        <v>-21478.27</v>
      </c>
    </row>
    <row r="14" spans="1:16" ht="12.75" x14ac:dyDescent="0.2">
      <c r="A14" s="9" t="s">
        <v>16</v>
      </c>
      <c r="B14" s="10">
        <v>2464</v>
      </c>
      <c r="C14" s="9">
        <v>201</v>
      </c>
      <c r="D14" s="9">
        <v>0</v>
      </c>
      <c r="E14" s="9">
        <v>0</v>
      </c>
      <c r="F14" s="9">
        <f t="shared" si="0"/>
        <v>201</v>
      </c>
      <c r="G14" s="9">
        <v>0</v>
      </c>
      <c r="H14" s="9">
        <v>0</v>
      </c>
      <c r="I14" s="9">
        <v>0</v>
      </c>
      <c r="J14" s="9">
        <f t="shared" si="1"/>
        <v>201</v>
      </c>
      <c r="K14" s="9">
        <f t="shared" si="1"/>
        <v>0</v>
      </c>
      <c r="L14" s="9">
        <f t="shared" si="1"/>
        <v>0</v>
      </c>
      <c r="M14" s="9">
        <f t="shared" si="2"/>
        <v>201</v>
      </c>
      <c r="N14" s="16">
        <f t="shared" si="3"/>
        <v>-13533.33</v>
      </c>
    </row>
    <row r="15" spans="1:16" ht="12.75" x14ac:dyDescent="0.2">
      <c r="A15" s="9" t="s">
        <v>17</v>
      </c>
      <c r="B15" s="10">
        <v>2004</v>
      </c>
      <c r="C15" s="9">
        <v>254</v>
      </c>
      <c r="D15" s="9">
        <v>0</v>
      </c>
      <c r="E15" s="9">
        <v>0</v>
      </c>
      <c r="F15" s="9">
        <f t="shared" si="0"/>
        <v>254</v>
      </c>
      <c r="G15" s="9">
        <v>0</v>
      </c>
      <c r="H15" s="9">
        <v>0</v>
      </c>
      <c r="I15" s="9">
        <v>0</v>
      </c>
      <c r="J15" s="9">
        <f t="shared" si="1"/>
        <v>254</v>
      </c>
      <c r="K15" s="9">
        <f t="shared" si="1"/>
        <v>0</v>
      </c>
      <c r="L15" s="9">
        <f t="shared" si="1"/>
        <v>0</v>
      </c>
      <c r="M15" s="9">
        <f t="shared" si="2"/>
        <v>254</v>
      </c>
      <c r="N15" s="16">
        <f t="shared" si="3"/>
        <v>-17101.82</v>
      </c>
    </row>
    <row r="16" spans="1:16" ht="12.75" x14ac:dyDescent="0.2">
      <c r="A16" s="9" t="s">
        <v>18</v>
      </c>
      <c r="B16" s="10">
        <v>2405</v>
      </c>
      <c r="C16" s="9">
        <v>204</v>
      </c>
      <c r="D16" s="9">
        <v>0</v>
      </c>
      <c r="E16" s="9">
        <v>0</v>
      </c>
      <c r="F16" s="9">
        <f t="shared" si="0"/>
        <v>204</v>
      </c>
      <c r="G16" s="9">
        <v>6</v>
      </c>
      <c r="H16" s="9">
        <v>0</v>
      </c>
      <c r="I16" s="9">
        <v>0</v>
      </c>
      <c r="J16" s="9">
        <f t="shared" si="1"/>
        <v>198</v>
      </c>
      <c r="K16" s="9">
        <f t="shared" si="1"/>
        <v>0</v>
      </c>
      <c r="L16" s="9">
        <f t="shared" si="1"/>
        <v>0</v>
      </c>
      <c r="M16" s="9">
        <f t="shared" si="2"/>
        <v>198</v>
      </c>
      <c r="N16" s="16">
        <f t="shared" si="3"/>
        <v>-13331.34</v>
      </c>
    </row>
    <row r="17" spans="1:15" s="33" customFormat="1" ht="12.75" x14ac:dyDescent="0.2">
      <c r="A17" s="729" t="s">
        <v>95</v>
      </c>
      <c r="B17" s="27">
        <v>2011</v>
      </c>
      <c r="C17" s="729"/>
      <c r="D17" s="729"/>
      <c r="E17" s="729"/>
      <c r="F17" s="729"/>
      <c r="G17" s="729"/>
      <c r="H17" s="729"/>
      <c r="I17" s="729"/>
      <c r="J17" s="729"/>
      <c r="K17" s="729"/>
      <c r="L17" s="729"/>
      <c r="M17" s="729"/>
      <c r="N17" s="731"/>
      <c r="O17" s="33" t="s">
        <v>1163</v>
      </c>
    </row>
    <row r="18" spans="1:15" ht="12.75" x14ac:dyDescent="0.2">
      <c r="A18" s="9" t="s">
        <v>20</v>
      </c>
      <c r="B18" s="10">
        <v>5201</v>
      </c>
      <c r="C18" s="9">
        <v>414</v>
      </c>
      <c r="D18" s="9">
        <v>0</v>
      </c>
      <c r="E18" s="9">
        <v>0</v>
      </c>
      <c r="F18" s="9">
        <f t="shared" si="0"/>
        <v>414</v>
      </c>
      <c r="G18" s="9">
        <v>0</v>
      </c>
      <c r="H18" s="9">
        <v>0</v>
      </c>
      <c r="I18" s="9">
        <v>0</v>
      </c>
      <c r="J18" s="9">
        <f t="shared" si="1"/>
        <v>414</v>
      </c>
      <c r="K18" s="9">
        <f t="shared" si="1"/>
        <v>0</v>
      </c>
      <c r="L18" s="9">
        <f t="shared" si="1"/>
        <v>0</v>
      </c>
      <c r="M18" s="9">
        <f t="shared" si="2"/>
        <v>414</v>
      </c>
      <c r="N18" s="16">
        <f t="shared" si="3"/>
        <v>-27874.62</v>
      </c>
    </row>
    <row r="19" spans="1:15" s="33" customFormat="1" ht="12.75" x14ac:dyDescent="0.2">
      <c r="A19" s="729" t="s">
        <v>96</v>
      </c>
      <c r="B19" s="27">
        <v>2007</v>
      </c>
      <c r="C19" s="729"/>
      <c r="D19" s="729"/>
      <c r="E19" s="729"/>
      <c r="F19" s="729"/>
      <c r="G19" s="729"/>
      <c r="H19" s="729"/>
      <c r="I19" s="729"/>
      <c r="J19" s="729"/>
      <c r="K19" s="729"/>
      <c r="L19" s="729"/>
      <c r="M19" s="729"/>
      <c r="N19" s="731"/>
      <c r="O19" s="33" t="s">
        <v>539</v>
      </c>
    </row>
    <row r="20" spans="1:15" ht="12.75" x14ac:dyDescent="0.2">
      <c r="A20" s="9" t="s">
        <v>21</v>
      </c>
      <c r="B20" s="10">
        <v>2433</v>
      </c>
      <c r="C20" s="9">
        <v>196</v>
      </c>
      <c r="D20" s="9">
        <v>0</v>
      </c>
      <c r="E20" s="9">
        <v>0</v>
      </c>
      <c r="F20" s="9">
        <f t="shared" si="0"/>
        <v>196</v>
      </c>
      <c r="G20" s="9">
        <v>30</v>
      </c>
      <c r="H20" s="9">
        <v>0</v>
      </c>
      <c r="I20" s="9">
        <v>0</v>
      </c>
      <c r="J20" s="9">
        <f t="shared" si="1"/>
        <v>166</v>
      </c>
      <c r="K20" s="9">
        <f t="shared" si="1"/>
        <v>0</v>
      </c>
      <c r="L20" s="9">
        <f t="shared" si="1"/>
        <v>0</v>
      </c>
      <c r="M20" s="9">
        <f t="shared" si="2"/>
        <v>166</v>
      </c>
      <c r="N20" s="16">
        <f t="shared" si="3"/>
        <v>-11176.779999999999</v>
      </c>
    </row>
    <row r="21" spans="1:15" ht="12.75" x14ac:dyDescent="0.2">
      <c r="A21" s="9" t="s">
        <v>22</v>
      </c>
      <c r="B21" s="10">
        <v>2432</v>
      </c>
      <c r="C21" s="9">
        <v>242</v>
      </c>
      <c r="D21" s="9">
        <v>0</v>
      </c>
      <c r="E21" s="9">
        <v>0</v>
      </c>
      <c r="F21" s="9">
        <f t="shared" si="0"/>
        <v>242</v>
      </c>
      <c r="G21" s="9">
        <v>38</v>
      </c>
      <c r="H21" s="9">
        <v>0</v>
      </c>
      <c r="I21" s="9">
        <v>0</v>
      </c>
      <c r="J21" s="9">
        <f t="shared" si="1"/>
        <v>204</v>
      </c>
      <c r="K21" s="9">
        <f t="shared" si="1"/>
        <v>0</v>
      </c>
      <c r="L21" s="9">
        <f t="shared" si="1"/>
        <v>0</v>
      </c>
      <c r="M21" s="9">
        <f t="shared" si="2"/>
        <v>204</v>
      </c>
      <c r="N21" s="16">
        <f t="shared" si="3"/>
        <v>-13735.32</v>
      </c>
    </row>
    <row r="22" spans="1:15" ht="12.75" x14ac:dyDescent="0.2">
      <c r="A22" s="9" t="s">
        <v>188</v>
      </c>
      <c r="B22" s="10">
        <v>2447</v>
      </c>
      <c r="C22" s="9">
        <v>424</v>
      </c>
      <c r="D22" s="9">
        <v>0</v>
      </c>
      <c r="E22" s="9">
        <v>0</v>
      </c>
      <c r="F22" s="9">
        <f t="shared" si="0"/>
        <v>424</v>
      </c>
      <c r="G22" s="9">
        <v>0</v>
      </c>
      <c r="H22" s="9">
        <v>0</v>
      </c>
      <c r="I22" s="9">
        <v>0</v>
      </c>
      <c r="J22" s="9">
        <f t="shared" si="1"/>
        <v>424</v>
      </c>
      <c r="K22" s="9">
        <f t="shared" si="1"/>
        <v>0</v>
      </c>
      <c r="L22" s="9">
        <f t="shared" si="1"/>
        <v>0</v>
      </c>
      <c r="M22" s="9">
        <f t="shared" si="2"/>
        <v>424</v>
      </c>
      <c r="N22" s="16">
        <f t="shared" si="3"/>
        <v>-28547.919999999998</v>
      </c>
    </row>
    <row r="23" spans="1:15" ht="12.75" x14ac:dyDescent="0.2">
      <c r="A23" s="9" t="s">
        <v>23</v>
      </c>
      <c r="B23" s="10">
        <v>2512</v>
      </c>
      <c r="C23" s="9">
        <v>213</v>
      </c>
      <c r="D23" s="9">
        <v>0</v>
      </c>
      <c r="E23" s="9">
        <v>0</v>
      </c>
      <c r="F23" s="9">
        <f t="shared" si="0"/>
        <v>213</v>
      </c>
      <c r="G23" s="9">
        <v>0</v>
      </c>
      <c r="H23" s="9">
        <v>0</v>
      </c>
      <c r="I23" s="9">
        <v>0</v>
      </c>
      <c r="J23" s="9">
        <f t="shared" si="1"/>
        <v>213</v>
      </c>
      <c r="K23" s="9">
        <f t="shared" si="1"/>
        <v>0</v>
      </c>
      <c r="L23" s="9">
        <f t="shared" si="1"/>
        <v>0</v>
      </c>
      <c r="M23" s="9">
        <f t="shared" si="2"/>
        <v>213</v>
      </c>
      <c r="N23" s="16">
        <f t="shared" si="3"/>
        <v>-14341.289999999999</v>
      </c>
    </row>
    <row r="24" spans="1:15" ht="12.75" x14ac:dyDescent="0.2">
      <c r="A24" s="9" t="s">
        <v>24</v>
      </c>
      <c r="B24" s="10">
        <v>2456</v>
      </c>
      <c r="C24" s="9">
        <v>176</v>
      </c>
      <c r="D24" s="9">
        <v>0</v>
      </c>
      <c r="E24" s="9">
        <v>0</v>
      </c>
      <c r="F24" s="9">
        <f t="shared" si="0"/>
        <v>176</v>
      </c>
      <c r="G24" s="9">
        <v>0</v>
      </c>
      <c r="H24" s="9">
        <v>0</v>
      </c>
      <c r="I24" s="9">
        <v>0</v>
      </c>
      <c r="J24" s="9">
        <f t="shared" si="1"/>
        <v>176</v>
      </c>
      <c r="K24" s="9">
        <f t="shared" si="1"/>
        <v>0</v>
      </c>
      <c r="L24" s="9">
        <f t="shared" si="1"/>
        <v>0</v>
      </c>
      <c r="M24" s="9">
        <f t="shared" si="2"/>
        <v>176</v>
      </c>
      <c r="N24" s="16">
        <f t="shared" si="3"/>
        <v>-11850.08</v>
      </c>
    </row>
    <row r="25" spans="1:15" ht="12.75" x14ac:dyDescent="0.2">
      <c r="A25" s="9" t="s">
        <v>25</v>
      </c>
      <c r="B25" s="10">
        <v>2449</v>
      </c>
      <c r="C25" s="9">
        <v>267</v>
      </c>
      <c r="D25" s="9">
        <v>0</v>
      </c>
      <c r="E25" s="9">
        <v>0</v>
      </c>
      <c r="F25" s="9">
        <f t="shared" si="0"/>
        <v>267</v>
      </c>
      <c r="G25" s="9">
        <v>0</v>
      </c>
      <c r="H25" s="9">
        <v>0</v>
      </c>
      <c r="I25" s="9">
        <v>0</v>
      </c>
      <c r="J25" s="9">
        <f t="shared" si="1"/>
        <v>267</v>
      </c>
      <c r="K25" s="9">
        <f t="shared" si="1"/>
        <v>0</v>
      </c>
      <c r="L25" s="9">
        <f t="shared" si="1"/>
        <v>0</v>
      </c>
      <c r="M25" s="9">
        <f t="shared" si="2"/>
        <v>267</v>
      </c>
      <c r="N25" s="16">
        <f t="shared" si="3"/>
        <v>-17977.11</v>
      </c>
    </row>
    <row r="26" spans="1:15" ht="12.75" x14ac:dyDescent="0.2">
      <c r="A26" s="9" t="s">
        <v>26</v>
      </c>
      <c r="B26" s="10">
        <v>2448</v>
      </c>
      <c r="C26" s="9">
        <v>345</v>
      </c>
      <c r="D26" s="9">
        <v>0</v>
      </c>
      <c r="E26" s="9">
        <v>0</v>
      </c>
      <c r="F26" s="9">
        <f t="shared" si="0"/>
        <v>345</v>
      </c>
      <c r="G26" s="9">
        <v>0</v>
      </c>
      <c r="H26" s="9">
        <v>0</v>
      </c>
      <c r="I26" s="9">
        <v>0</v>
      </c>
      <c r="J26" s="9">
        <f t="shared" si="1"/>
        <v>345</v>
      </c>
      <c r="K26" s="9">
        <f t="shared" si="1"/>
        <v>0</v>
      </c>
      <c r="L26" s="9">
        <f t="shared" si="1"/>
        <v>0</v>
      </c>
      <c r="M26" s="9">
        <f t="shared" si="2"/>
        <v>345</v>
      </c>
      <c r="N26" s="16">
        <f t="shared" si="3"/>
        <v>-23228.85</v>
      </c>
    </row>
    <row r="27" spans="1:15" ht="12.75" x14ac:dyDescent="0.2">
      <c r="A27" s="9" t="s">
        <v>97</v>
      </c>
      <c r="B27" s="10">
        <v>2467</v>
      </c>
      <c r="C27" s="9">
        <v>338</v>
      </c>
      <c r="D27" s="9">
        <v>0</v>
      </c>
      <c r="E27" s="9">
        <v>0</v>
      </c>
      <c r="F27" s="9">
        <f t="shared" si="0"/>
        <v>338</v>
      </c>
      <c r="G27" s="9">
        <v>0</v>
      </c>
      <c r="H27" s="9">
        <v>0</v>
      </c>
      <c r="I27" s="9">
        <v>0</v>
      </c>
      <c r="J27" s="9">
        <f t="shared" si="1"/>
        <v>338</v>
      </c>
      <c r="K27" s="9">
        <f t="shared" si="1"/>
        <v>0</v>
      </c>
      <c r="L27" s="9">
        <f t="shared" si="1"/>
        <v>0</v>
      </c>
      <c r="M27" s="9">
        <f t="shared" si="2"/>
        <v>338</v>
      </c>
      <c r="N27" s="16">
        <f t="shared" si="3"/>
        <v>-22757.54</v>
      </c>
    </row>
    <row r="28" spans="1:15" ht="12.75" x14ac:dyDescent="0.2">
      <c r="A28" s="9" t="s">
        <v>28</v>
      </c>
      <c r="B28" s="10">
        <v>2455</v>
      </c>
      <c r="C28" s="9">
        <v>354</v>
      </c>
      <c r="D28" s="9">
        <v>0</v>
      </c>
      <c r="E28" s="9">
        <v>0</v>
      </c>
      <c r="F28" s="9">
        <f t="shared" si="0"/>
        <v>354</v>
      </c>
      <c r="G28" s="9">
        <v>0</v>
      </c>
      <c r="H28" s="9">
        <v>0</v>
      </c>
      <c r="I28" s="9">
        <v>0</v>
      </c>
      <c r="J28" s="9">
        <f t="shared" si="1"/>
        <v>354</v>
      </c>
      <c r="K28" s="9">
        <f t="shared" si="1"/>
        <v>0</v>
      </c>
      <c r="L28" s="9">
        <f t="shared" si="1"/>
        <v>0</v>
      </c>
      <c r="M28" s="9">
        <f t="shared" si="2"/>
        <v>354</v>
      </c>
      <c r="N28" s="16">
        <f t="shared" si="3"/>
        <v>-23834.82</v>
      </c>
    </row>
    <row r="29" spans="1:15" ht="12.75" x14ac:dyDescent="0.2">
      <c r="A29" s="9" t="s">
        <v>29</v>
      </c>
      <c r="B29" s="10">
        <v>5203</v>
      </c>
      <c r="C29" s="9">
        <v>491</v>
      </c>
      <c r="D29" s="9">
        <v>0</v>
      </c>
      <c r="E29" s="9">
        <v>0</v>
      </c>
      <c r="F29" s="9">
        <f t="shared" si="0"/>
        <v>491</v>
      </c>
      <c r="G29" s="9">
        <v>0</v>
      </c>
      <c r="H29" s="9">
        <v>0</v>
      </c>
      <c r="I29" s="9">
        <v>0</v>
      </c>
      <c r="J29" s="9">
        <f t="shared" si="1"/>
        <v>491</v>
      </c>
      <c r="K29" s="9">
        <f t="shared" si="1"/>
        <v>0</v>
      </c>
      <c r="L29" s="9">
        <f t="shared" si="1"/>
        <v>0</v>
      </c>
      <c r="M29" s="9">
        <f t="shared" si="2"/>
        <v>491</v>
      </c>
      <c r="N29" s="16">
        <f t="shared" si="3"/>
        <v>-33059.03</v>
      </c>
    </row>
    <row r="30" spans="1:15" ht="12.75" x14ac:dyDescent="0.2">
      <c r="A30" s="9" t="s">
        <v>30</v>
      </c>
      <c r="B30" s="10">
        <v>2451</v>
      </c>
      <c r="C30" s="9">
        <v>508</v>
      </c>
      <c r="D30" s="9">
        <v>0</v>
      </c>
      <c r="E30" s="9">
        <v>0</v>
      </c>
      <c r="F30" s="9">
        <f t="shared" si="0"/>
        <v>508</v>
      </c>
      <c r="G30" s="9">
        <v>0</v>
      </c>
      <c r="H30" s="9">
        <v>0</v>
      </c>
      <c r="I30" s="9">
        <v>0</v>
      </c>
      <c r="J30" s="9">
        <f t="shared" si="1"/>
        <v>508</v>
      </c>
      <c r="K30" s="9">
        <f t="shared" si="1"/>
        <v>0</v>
      </c>
      <c r="L30" s="9">
        <f t="shared" si="1"/>
        <v>0</v>
      </c>
      <c r="M30" s="9">
        <f t="shared" si="2"/>
        <v>508</v>
      </c>
      <c r="N30" s="16">
        <f t="shared" si="3"/>
        <v>-34203.64</v>
      </c>
    </row>
    <row r="31" spans="1:15" ht="12.75" x14ac:dyDescent="0.2">
      <c r="A31" s="9" t="s">
        <v>31</v>
      </c>
      <c r="B31" s="10">
        <v>2409</v>
      </c>
      <c r="C31" s="9">
        <v>544</v>
      </c>
      <c r="D31" s="9">
        <v>0</v>
      </c>
      <c r="E31" s="9">
        <v>0</v>
      </c>
      <c r="F31" s="9">
        <f t="shared" si="0"/>
        <v>544</v>
      </c>
      <c r="G31" s="9">
        <v>0</v>
      </c>
      <c r="H31" s="9">
        <v>0</v>
      </c>
      <c r="I31" s="9">
        <v>0</v>
      </c>
      <c r="J31" s="9">
        <f t="shared" si="1"/>
        <v>544</v>
      </c>
      <c r="K31" s="9">
        <f t="shared" si="1"/>
        <v>0</v>
      </c>
      <c r="L31" s="9">
        <f t="shared" si="1"/>
        <v>0</v>
      </c>
      <c r="M31" s="9">
        <f t="shared" si="2"/>
        <v>544</v>
      </c>
      <c r="N31" s="16">
        <f t="shared" si="3"/>
        <v>-36627.519999999997</v>
      </c>
    </row>
    <row r="32" spans="1:15" ht="12.75" x14ac:dyDescent="0.2">
      <c r="A32" s="9" t="s">
        <v>98</v>
      </c>
      <c r="B32" s="10">
        <v>3158</v>
      </c>
      <c r="C32" s="9">
        <v>120</v>
      </c>
      <c r="D32" s="9">
        <v>0</v>
      </c>
      <c r="E32" s="9">
        <v>0</v>
      </c>
      <c r="F32" s="9">
        <f t="shared" si="0"/>
        <v>120</v>
      </c>
      <c r="G32" s="9">
        <v>0</v>
      </c>
      <c r="H32" s="9">
        <v>0</v>
      </c>
      <c r="I32" s="9">
        <v>0</v>
      </c>
      <c r="J32" s="9">
        <f t="shared" si="1"/>
        <v>120</v>
      </c>
      <c r="K32" s="9">
        <f t="shared" si="1"/>
        <v>0</v>
      </c>
      <c r="L32" s="9">
        <f t="shared" si="1"/>
        <v>0</v>
      </c>
      <c r="M32" s="9">
        <f t="shared" si="2"/>
        <v>120</v>
      </c>
      <c r="N32" s="16">
        <f t="shared" si="3"/>
        <v>-8079.5999999999995</v>
      </c>
    </row>
    <row r="33" spans="1:15" ht="12.75" x14ac:dyDescent="0.2">
      <c r="A33" s="9" t="s">
        <v>32</v>
      </c>
      <c r="B33" s="10">
        <v>2619</v>
      </c>
      <c r="C33" s="9">
        <v>221.08333333333331</v>
      </c>
      <c r="D33" s="9">
        <v>0</v>
      </c>
      <c r="E33" s="9">
        <v>0</v>
      </c>
      <c r="F33" s="9">
        <f t="shared" si="0"/>
        <v>221.08333333333331</v>
      </c>
      <c r="G33" s="9">
        <v>0</v>
      </c>
      <c r="H33" s="9">
        <v>0</v>
      </c>
      <c r="I33" s="9">
        <v>0</v>
      </c>
      <c r="J33" s="9">
        <f t="shared" si="1"/>
        <v>221.08333333333331</v>
      </c>
      <c r="K33" s="9">
        <f t="shared" si="1"/>
        <v>0</v>
      </c>
      <c r="L33" s="9">
        <f t="shared" si="1"/>
        <v>0</v>
      </c>
      <c r="M33" s="9">
        <f t="shared" si="2"/>
        <v>221.08333333333331</v>
      </c>
      <c r="N33" s="16">
        <f t="shared" si="3"/>
        <v>-14885.540833333333</v>
      </c>
    </row>
    <row r="34" spans="1:15" ht="12.75" x14ac:dyDescent="0.2">
      <c r="A34" s="983" t="s">
        <v>33</v>
      </c>
      <c r="B34" s="1085">
        <v>2518</v>
      </c>
      <c r="C34" s="983">
        <v>315</v>
      </c>
      <c r="D34" s="983">
        <v>0</v>
      </c>
      <c r="E34" s="983">
        <v>0</v>
      </c>
      <c r="F34" s="983">
        <f t="shared" si="0"/>
        <v>315</v>
      </c>
      <c r="G34" s="983">
        <v>0</v>
      </c>
      <c r="H34" s="983">
        <v>0</v>
      </c>
      <c r="I34" s="983">
        <v>0</v>
      </c>
      <c r="J34" s="983">
        <f t="shared" si="1"/>
        <v>315</v>
      </c>
      <c r="K34" s="983">
        <f t="shared" si="1"/>
        <v>0</v>
      </c>
      <c r="L34" s="983">
        <f t="shared" si="1"/>
        <v>0</v>
      </c>
      <c r="M34" s="983">
        <f t="shared" si="2"/>
        <v>315</v>
      </c>
      <c r="N34" s="1086">
        <f t="shared" si="3"/>
        <v>-21208.95</v>
      </c>
      <c r="O34" s="1033" t="s">
        <v>1303</v>
      </c>
    </row>
    <row r="35" spans="1:15" ht="12.75" x14ac:dyDescent="0.2">
      <c r="A35" s="9" t="s">
        <v>34</v>
      </c>
      <c r="B35" s="10">
        <v>2457</v>
      </c>
      <c r="C35" s="9">
        <v>366</v>
      </c>
      <c r="D35" s="9">
        <v>0</v>
      </c>
      <c r="E35" s="9">
        <v>0</v>
      </c>
      <c r="F35" s="9">
        <f t="shared" si="0"/>
        <v>366</v>
      </c>
      <c r="G35" s="9">
        <v>0</v>
      </c>
      <c r="H35" s="9">
        <v>0</v>
      </c>
      <c r="I35" s="9">
        <v>0</v>
      </c>
      <c r="J35" s="9">
        <f t="shared" si="1"/>
        <v>366</v>
      </c>
      <c r="K35" s="9">
        <f t="shared" si="1"/>
        <v>0</v>
      </c>
      <c r="L35" s="9">
        <f t="shared" si="1"/>
        <v>0</v>
      </c>
      <c r="M35" s="9">
        <f t="shared" si="2"/>
        <v>366</v>
      </c>
      <c r="N35" s="16">
        <f t="shared" si="3"/>
        <v>-24642.78</v>
      </c>
    </row>
    <row r="36" spans="1:15" s="33" customFormat="1" ht="12.75" x14ac:dyDescent="0.2">
      <c r="A36" s="729" t="s">
        <v>99</v>
      </c>
      <c r="B36" s="27">
        <v>2010</v>
      </c>
      <c r="C36" s="729"/>
      <c r="D36" s="729"/>
      <c r="E36" s="729"/>
      <c r="F36" s="729"/>
      <c r="G36" s="729"/>
      <c r="H36" s="729"/>
      <c r="I36" s="729"/>
      <c r="J36" s="729"/>
      <c r="K36" s="729"/>
      <c r="L36" s="729"/>
      <c r="M36" s="729"/>
      <c r="N36" s="731"/>
      <c r="O36" s="33" t="s">
        <v>539</v>
      </c>
    </row>
    <row r="37" spans="1:15" ht="12.75" x14ac:dyDescent="0.2">
      <c r="A37" s="9" t="s">
        <v>35</v>
      </c>
      <c r="B37" s="10">
        <v>2002</v>
      </c>
      <c r="C37" s="9">
        <v>430</v>
      </c>
      <c r="D37" s="9">
        <v>0</v>
      </c>
      <c r="E37" s="9">
        <v>0</v>
      </c>
      <c r="F37" s="9">
        <f t="shared" si="0"/>
        <v>430</v>
      </c>
      <c r="G37" s="9">
        <v>0</v>
      </c>
      <c r="H37" s="9">
        <v>0</v>
      </c>
      <c r="I37" s="9">
        <v>0</v>
      </c>
      <c r="J37" s="9">
        <f t="shared" si="1"/>
        <v>430</v>
      </c>
      <c r="K37" s="9">
        <f t="shared" si="1"/>
        <v>0</v>
      </c>
      <c r="L37" s="9">
        <f t="shared" si="1"/>
        <v>0</v>
      </c>
      <c r="M37" s="9">
        <f t="shared" si="2"/>
        <v>430</v>
      </c>
      <c r="N37" s="16">
        <f t="shared" si="3"/>
        <v>-28951.899999999998</v>
      </c>
    </row>
    <row r="38" spans="1:15" ht="12.75" x14ac:dyDescent="0.2">
      <c r="A38" s="9" t="s">
        <v>36</v>
      </c>
      <c r="B38" s="10">
        <v>3544</v>
      </c>
      <c r="C38" s="9">
        <v>532</v>
      </c>
      <c r="D38" s="9">
        <v>0</v>
      </c>
      <c r="E38" s="9">
        <v>0</v>
      </c>
      <c r="F38" s="9">
        <f t="shared" si="0"/>
        <v>532</v>
      </c>
      <c r="G38" s="9">
        <v>0</v>
      </c>
      <c r="H38" s="9">
        <v>0</v>
      </c>
      <c r="I38" s="9">
        <v>0</v>
      </c>
      <c r="J38" s="9">
        <f t="shared" si="1"/>
        <v>532</v>
      </c>
      <c r="K38" s="9">
        <f t="shared" si="1"/>
        <v>0</v>
      </c>
      <c r="L38" s="9">
        <f t="shared" si="1"/>
        <v>0</v>
      </c>
      <c r="M38" s="9">
        <f t="shared" si="2"/>
        <v>532</v>
      </c>
      <c r="N38" s="16">
        <f t="shared" si="3"/>
        <v>-35819.56</v>
      </c>
    </row>
    <row r="39" spans="1:15" ht="12.75" x14ac:dyDescent="0.2">
      <c r="A39" s="9" t="s">
        <v>100</v>
      </c>
      <c r="B39" s="10">
        <v>2006</v>
      </c>
      <c r="C39" s="9">
        <v>288</v>
      </c>
      <c r="D39" s="9">
        <v>0</v>
      </c>
      <c r="E39" s="9">
        <v>0</v>
      </c>
      <c r="F39" s="9">
        <f t="shared" si="0"/>
        <v>288</v>
      </c>
      <c r="G39" s="9">
        <v>0</v>
      </c>
      <c r="H39" s="9">
        <v>0</v>
      </c>
      <c r="I39" s="9">
        <v>0</v>
      </c>
      <c r="J39" s="9">
        <f t="shared" si="1"/>
        <v>288</v>
      </c>
      <c r="K39" s="9">
        <f t="shared" si="1"/>
        <v>0</v>
      </c>
      <c r="L39" s="9">
        <f t="shared" si="1"/>
        <v>0</v>
      </c>
      <c r="M39" s="9">
        <f t="shared" si="2"/>
        <v>288</v>
      </c>
      <c r="N39" s="16">
        <f t="shared" si="3"/>
        <v>-19391.04</v>
      </c>
    </row>
    <row r="40" spans="1:15" ht="12.75" x14ac:dyDescent="0.2">
      <c r="A40" s="9" t="s">
        <v>37</v>
      </c>
      <c r="B40" s="10">
        <v>2434</v>
      </c>
      <c r="C40" s="9">
        <v>541.5</v>
      </c>
      <c r="D40" s="9">
        <v>0</v>
      </c>
      <c r="E40" s="9">
        <v>0</v>
      </c>
      <c r="F40" s="9">
        <f t="shared" si="0"/>
        <v>541.5</v>
      </c>
      <c r="G40" s="9">
        <v>14</v>
      </c>
      <c r="H40" s="9">
        <v>0</v>
      </c>
      <c r="I40" s="9">
        <v>0</v>
      </c>
      <c r="J40" s="9">
        <f t="shared" si="1"/>
        <v>527.5</v>
      </c>
      <c r="K40" s="9">
        <f t="shared" si="1"/>
        <v>0</v>
      </c>
      <c r="L40" s="9">
        <f t="shared" si="1"/>
        <v>0</v>
      </c>
      <c r="M40" s="9">
        <f t="shared" si="2"/>
        <v>527.5</v>
      </c>
      <c r="N40" s="16">
        <f t="shared" si="3"/>
        <v>-35516.574999999997</v>
      </c>
    </row>
    <row r="41" spans="1:15" ht="12.75" x14ac:dyDescent="0.2">
      <c r="A41" s="9" t="s">
        <v>38</v>
      </c>
      <c r="B41" s="10">
        <v>2522</v>
      </c>
      <c r="C41" s="9">
        <v>395</v>
      </c>
      <c r="D41" s="9">
        <v>0</v>
      </c>
      <c r="E41" s="9">
        <v>0</v>
      </c>
      <c r="F41" s="9">
        <f t="shared" si="0"/>
        <v>395</v>
      </c>
      <c r="G41" s="9">
        <v>0</v>
      </c>
      <c r="H41" s="9">
        <v>0</v>
      </c>
      <c r="I41" s="9">
        <v>0</v>
      </c>
      <c r="J41" s="9">
        <f t="shared" si="1"/>
        <v>395</v>
      </c>
      <c r="K41" s="9">
        <f t="shared" si="1"/>
        <v>0</v>
      </c>
      <c r="L41" s="9">
        <f t="shared" si="1"/>
        <v>0</v>
      </c>
      <c r="M41" s="9">
        <f t="shared" si="2"/>
        <v>395</v>
      </c>
      <c r="N41" s="16">
        <f t="shared" si="3"/>
        <v>-26595.35</v>
      </c>
    </row>
    <row r="42" spans="1:15" ht="12.75" x14ac:dyDescent="0.2">
      <c r="A42" s="9" t="s">
        <v>39</v>
      </c>
      <c r="B42" s="10">
        <v>2436</v>
      </c>
      <c r="C42" s="9">
        <v>353</v>
      </c>
      <c r="D42" s="9">
        <v>0</v>
      </c>
      <c r="E42" s="9">
        <v>0</v>
      </c>
      <c r="F42" s="9">
        <f t="shared" si="0"/>
        <v>353</v>
      </c>
      <c r="G42" s="9">
        <v>6</v>
      </c>
      <c r="H42" s="9">
        <v>0</v>
      </c>
      <c r="I42" s="9">
        <v>0</v>
      </c>
      <c r="J42" s="9">
        <f t="shared" si="1"/>
        <v>347</v>
      </c>
      <c r="K42" s="9">
        <f t="shared" si="1"/>
        <v>0</v>
      </c>
      <c r="L42" s="9">
        <f t="shared" si="1"/>
        <v>0</v>
      </c>
      <c r="M42" s="9">
        <f t="shared" si="2"/>
        <v>347</v>
      </c>
      <c r="N42" s="16">
        <f t="shared" si="3"/>
        <v>-23363.51</v>
      </c>
    </row>
    <row r="43" spans="1:15" ht="12.75" x14ac:dyDescent="0.2">
      <c r="A43" s="9" t="s">
        <v>40</v>
      </c>
      <c r="B43" s="10">
        <v>2452</v>
      </c>
      <c r="C43" s="9">
        <v>195</v>
      </c>
      <c r="D43" s="9">
        <v>0</v>
      </c>
      <c r="E43" s="9">
        <v>0</v>
      </c>
      <c r="F43" s="9">
        <f t="shared" si="0"/>
        <v>195</v>
      </c>
      <c r="G43" s="9">
        <v>0</v>
      </c>
      <c r="H43" s="9">
        <v>0</v>
      </c>
      <c r="I43" s="9">
        <v>0</v>
      </c>
      <c r="J43" s="9">
        <f t="shared" si="1"/>
        <v>195</v>
      </c>
      <c r="K43" s="9">
        <f t="shared" si="1"/>
        <v>0</v>
      </c>
      <c r="L43" s="9">
        <f t="shared" si="1"/>
        <v>0</v>
      </c>
      <c r="M43" s="9">
        <f t="shared" si="2"/>
        <v>195</v>
      </c>
      <c r="N43" s="16">
        <f>SUM(J43*$J$1)+SUM(K43*$K$3)+SUM(L43*$L$4)</f>
        <v>-13129.35</v>
      </c>
    </row>
    <row r="44" spans="1:15" ht="12.75" x14ac:dyDescent="0.2">
      <c r="A44" s="9" t="s">
        <v>41</v>
      </c>
      <c r="B44" s="10">
        <v>2627</v>
      </c>
      <c r="C44" s="9">
        <v>394</v>
      </c>
      <c r="D44" s="9">
        <v>0</v>
      </c>
      <c r="E44" s="9">
        <v>0</v>
      </c>
      <c r="F44" s="9">
        <f t="shared" si="0"/>
        <v>394</v>
      </c>
      <c r="G44" s="9">
        <v>0</v>
      </c>
      <c r="H44" s="9">
        <v>0</v>
      </c>
      <c r="I44" s="9">
        <v>0</v>
      </c>
      <c r="J44" s="9">
        <f t="shared" si="1"/>
        <v>394</v>
      </c>
      <c r="K44" s="9">
        <f t="shared" si="1"/>
        <v>0</v>
      </c>
      <c r="L44" s="9">
        <f t="shared" si="1"/>
        <v>0</v>
      </c>
      <c r="M44" s="9">
        <f t="shared" si="2"/>
        <v>394</v>
      </c>
      <c r="N44" s="16">
        <f t="shared" si="3"/>
        <v>-26528.02</v>
      </c>
    </row>
    <row r="45" spans="1:15" s="33" customFormat="1" ht="12.75" x14ac:dyDescent="0.2">
      <c r="A45" s="729" t="s">
        <v>42</v>
      </c>
      <c r="B45" s="27">
        <v>2009</v>
      </c>
      <c r="C45" s="729"/>
      <c r="D45" s="729"/>
      <c r="E45" s="729"/>
      <c r="F45" s="729"/>
      <c r="G45" s="729"/>
      <c r="H45" s="729"/>
      <c r="I45" s="729"/>
      <c r="J45" s="729"/>
      <c r="K45" s="729"/>
      <c r="L45" s="729"/>
      <c r="M45" s="729"/>
      <c r="N45" s="731"/>
      <c r="O45" s="33" t="s">
        <v>539</v>
      </c>
    </row>
    <row r="46" spans="1:15" ht="12.75" x14ac:dyDescent="0.2">
      <c r="A46" s="9" t="s">
        <v>101</v>
      </c>
      <c r="B46" s="10">
        <v>2473</v>
      </c>
      <c r="C46" s="9">
        <v>262</v>
      </c>
      <c r="D46" s="9">
        <v>0</v>
      </c>
      <c r="E46" s="9">
        <v>0</v>
      </c>
      <c r="F46" s="9">
        <f t="shared" si="0"/>
        <v>262</v>
      </c>
      <c r="G46" s="9">
        <v>0</v>
      </c>
      <c r="H46" s="9">
        <v>0</v>
      </c>
      <c r="I46" s="9">
        <v>0</v>
      </c>
      <c r="J46" s="9">
        <f t="shared" si="1"/>
        <v>262</v>
      </c>
      <c r="K46" s="9">
        <f t="shared" si="1"/>
        <v>0</v>
      </c>
      <c r="L46" s="9">
        <f t="shared" si="1"/>
        <v>0</v>
      </c>
      <c r="M46" s="9">
        <f t="shared" si="2"/>
        <v>262</v>
      </c>
      <c r="N46" s="16">
        <f>SUM(J46*$J$1)+SUM(K46*$K$3)+SUM(L46*$L$4)</f>
        <v>-17640.46</v>
      </c>
    </row>
    <row r="47" spans="1:15" ht="12.75" x14ac:dyDescent="0.2">
      <c r="A47" s="9" t="s">
        <v>44</v>
      </c>
      <c r="B47" s="10">
        <v>2471</v>
      </c>
      <c r="C47" s="9">
        <v>353</v>
      </c>
      <c r="D47" s="9">
        <v>0</v>
      </c>
      <c r="E47" s="9">
        <v>0</v>
      </c>
      <c r="F47" s="9">
        <f t="shared" si="0"/>
        <v>353</v>
      </c>
      <c r="G47" s="9">
        <v>0</v>
      </c>
      <c r="H47" s="9">
        <v>0</v>
      </c>
      <c r="I47" s="9">
        <v>0</v>
      </c>
      <c r="J47" s="9">
        <f t="shared" si="1"/>
        <v>353</v>
      </c>
      <c r="K47" s="9">
        <f t="shared" si="1"/>
        <v>0</v>
      </c>
      <c r="L47" s="9">
        <f t="shared" si="1"/>
        <v>0</v>
      </c>
      <c r="M47" s="9">
        <f t="shared" si="2"/>
        <v>353</v>
      </c>
      <c r="N47" s="16">
        <f t="shared" si="3"/>
        <v>-23767.489999999998</v>
      </c>
    </row>
    <row r="48" spans="1:15" ht="12.75" x14ac:dyDescent="0.2">
      <c r="A48" s="9" t="s">
        <v>43</v>
      </c>
      <c r="B48" s="10">
        <v>2420</v>
      </c>
      <c r="C48" s="9">
        <v>520.83333333333337</v>
      </c>
      <c r="D48" s="9">
        <v>0</v>
      </c>
      <c r="E48" s="9">
        <v>0</v>
      </c>
      <c r="F48" s="9">
        <f t="shared" si="0"/>
        <v>520.83333333333337</v>
      </c>
      <c r="G48" s="9">
        <v>0</v>
      </c>
      <c r="H48" s="9">
        <v>0</v>
      </c>
      <c r="I48" s="9">
        <v>0</v>
      </c>
      <c r="J48" s="9">
        <f t="shared" si="1"/>
        <v>520.83333333333337</v>
      </c>
      <c r="K48" s="9">
        <f t="shared" si="1"/>
        <v>0</v>
      </c>
      <c r="L48" s="9">
        <f t="shared" si="1"/>
        <v>0</v>
      </c>
      <c r="M48" s="9">
        <f t="shared" si="2"/>
        <v>520.83333333333337</v>
      </c>
      <c r="N48" s="16">
        <f t="shared" si="3"/>
        <v>-35067.708333333336</v>
      </c>
    </row>
    <row r="49" spans="1:14" ht="12.75" x14ac:dyDescent="0.2">
      <c r="A49" s="9" t="s">
        <v>45</v>
      </c>
      <c r="B49" s="10">
        <v>2003</v>
      </c>
      <c r="C49" s="9">
        <v>210</v>
      </c>
      <c r="D49" s="9">
        <v>0</v>
      </c>
      <c r="E49" s="9">
        <v>0</v>
      </c>
      <c r="F49" s="9">
        <f t="shared" si="0"/>
        <v>210</v>
      </c>
      <c r="G49" s="9">
        <v>0</v>
      </c>
      <c r="H49" s="9">
        <v>0</v>
      </c>
      <c r="I49" s="9">
        <v>0</v>
      </c>
      <c r="J49" s="9">
        <f t="shared" si="1"/>
        <v>210</v>
      </c>
      <c r="K49" s="9">
        <f t="shared" si="1"/>
        <v>0</v>
      </c>
      <c r="L49" s="9">
        <f t="shared" si="1"/>
        <v>0</v>
      </c>
      <c r="M49" s="9">
        <f t="shared" si="2"/>
        <v>210</v>
      </c>
      <c r="N49" s="16">
        <f t="shared" si="3"/>
        <v>-14139.3</v>
      </c>
    </row>
    <row r="50" spans="1:14" ht="12.75" x14ac:dyDescent="0.2">
      <c r="A50" s="9" t="s">
        <v>46</v>
      </c>
      <c r="B50" s="10">
        <v>2423</v>
      </c>
      <c r="C50" s="9">
        <v>341</v>
      </c>
      <c r="D50" s="9">
        <v>0</v>
      </c>
      <c r="E50" s="9">
        <v>0</v>
      </c>
      <c r="F50" s="9">
        <f t="shared" si="0"/>
        <v>341</v>
      </c>
      <c r="G50" s="9">
        <v>0</v>
      </c>
      <c r="H50" s="9">
        <v>0</v>
      </c>
      <c r="I50" s="9">
        <v>0</v>
      </c>
      <c r="J50" s="9">
        <f t="shared" si="1"/>
        <v>341</v>
      </c>
      <c r="K50" s="9">
        <f t="shared" si="1"/>
        <v>0</v>
      </c>
      <c r="L50" s="9">
        <f t="shared" si="1"/>
        <v>0</v>
      </c>
      <c r="M50" s="9">
        <f t="shared" si="2"/>
        <v>341</v>
      </c>
      <c r="N50" s="16">
        <f t="shared" si="3"/>
        <v>-22959.53</v>
      </c>
    </row>
    <row r="51" spans="1:14" ht="12.75" x14ac:dyDescent="0.2">
      <c r="A51" s="9" t="s">
        <v>47</v>
      </c>
      <c r="B51" s="10">
        <v>2424</v>
      </c>
      <c r="C51" s="9">
        <v>262</v>
      </c>
      <c r="D51" s="9">
        <v>0</v>
      </c>
      <c r="E51" s="9">
        <v>0</v>
      </c>
      <c r="F51" s="9">
        <f t="shared" si="0"/>
        <v>262</v>
      </c>
      <c r="G51" s="9">
        <v>0</v>
      </c>
      <c r="H51" s="9">
        <v>0</v>
      </c>
      <c r="I51" s="9">
        <v>0</v>
      </c>
      <c r="J51" s="9">
        <f t="shared" si="1"/>
        <v>262</v>
      </c>
      <c r="K51" s="9">
        <f t="shared" si="1"/>
        <v>0</v>
      </c>
      <c r="L51" s="9">
        <f t="shared" si="1"/>
        <v>0</v>
      </c>
      <c r="M51" s="9">
        <f t="shared" si="2"/>
        <v>262</v>
      </c>
      <c r="N51" s="16">
        <f t="shared" si="3"/>
        <v>-17640.46</v>
      </c>
    </row>
    <row r="52" spans="1:14" ht="12.75" x14ac:dyDescent="0.2">
      <c r="A52" s="9" t="s">
        <v>48</v>
      </c>
      <c r="B52" s="10">
        <v>2439</v>
      </c>
      <c r="C52" s="9">
        <v>260</v>
      </c>
      <c r="D52" s="9">
        <v>0</v>
      </c>
      <c r="E52" s="9">
        <v>0</v>
      </c>
      <c r="F52" s="9">
        <f t="shared" si="0"/>
        <v>260</v>
      </c>
      <c r="G52" s="9">
        <v>0</v>
      </c>
      <c r="H52" s="9">
        <v>0</v>
      </c>
      <c r="I52" s="9">
        <v>0</v>
      </c>
      <c r="J52" s="9">
        <f t="shared" si="1"/>
        <v>260</v>
      </c>
      <c r="K52" s="9">
        <f t="shared" si="1"/>
        <v>0</v>
      </c>
      <c r="L52" s="9">
        <f t="shared" si="1"/>
        <v>0</v>
      </c>
      <c r="M52" s="9">
        <f t="shared" si="2"/>
        <v>260</v>
      </c>
      <c r="N52" s="16">
        <f t="shared" si="3"/>
        <v>-17505.8</v>
      </c>
    </row>
    <row r="53" spans="1:14" ht="12.75" x14ac:dyDescent="0.2">
      <c r="A53" s="9" t="s">
        <v>49</v>
      </c>
      <c r="B53" s="10">
        <v>2440</v>
      </c>
      <c r="C53" s="9">
        <v>326</v>
      </c>
      <c r="D53" s="9">
        <v>0</v>
      </c>
      <c r="E53" s="9">
        <v>0</v>
      </c>
      <c r="F53" s="9">
        <f t="shared" si="0"/>
        <v>326</v>
      </c>
      <c r="G53" s="9">
        <v>0</v>
      </c>
      <c r="H53" s="9">
        <v>0</v>
      </c>
      <c r="I53" s="9">
        <v>0</v>
      </c>
      <c r="J53" s="9">
        <f t="shared" si="1"/>
        <v>326</v>
      </c>
      <c r="K53" s="9">
        <f t="shared" si="1"/>
        <v>0</v>
      </c>
      <c r="L53" s="9">
        <f t="shared" si="1"/>
        <v>0</v>
      </c>
      <c r="M53" s="9">
        <f t="shared" si="2"/>
        <v>326</v>
      </c>
      <c r="N53" s="16">
        <f t="shared" si="3"/>
        <v>-21949.579999999998</v>
      </c>
    </row>
    <row r="54" spans="1:14" ht="12.75" x14ac:dyDescent="0.2">
      <c r="A54" s="9" t="s">
        <v>102</v>
      </c>
      <c r="B54" s="10">
        <v>2462</v>
      </c>
      <c r="C54" s="9">
        <v>218</v>
      </c>
      <c r="D54" s="9">
        <v>0</v>
      </c>
      <c r="E54" s="9">
        <v>0</v>
      </c>
      <c r="F54" s="9">
        <f t="shared" si="0"/>
        <v>218</v>
      </c>
      <c r="G54" s="9">
        <v>0</v>
      </c>
      <c r="H54" s="9">
        <v>0</v>
      </c>
      <c r="I54" s="9">
        <v>0</v>
      </c>
      <c r="J54" s="9">
        <f t="shared" si="1"/>
        <v>218</v>
      </c>
      <c r="K54" s="9">
        <f t="shared" si="1"/>
        <v>0</v>
      </c>
      <c r="L54" s="9">
        <f t="shared" si="1"/>
        <v>0</v>
      </c>
      <c r="M54" s="9">
        <f t="shared" si="2"/>
        <v>218</v>
      </c>
      <c r="N54" s="16">
        <f t="shared" si="3"/>
        <v>-14677.94</v>
      </c>
    </row>
    <row r="55" spans="1:14" ht="12.75" x14ac:dyDescent="0.2">
      <c r="A55" s="9" t="s">
        <v>50</v>
      </c>
      <c r="B55" s="10">
        <v>2463</v>
      </c>
      <c r="C55" s="9">
        <v>348</v>
      </c>
      <c r="D55" s="9">
        <v>0</v>
      </c>
      <c r="E55" s="9">
        <v>0</v>
      </c>
      <c r="F55" s="9">
        <f t="shared" si="0"/>
        <v>348</v>
      </c>
      <c r="G55" s="9">
        <v>0</v>
      </c>
      <c r="H55" s="9">
        <v>0</v>
      </c>
      <c r="I55" s="9">
        <v>0</v>
      </c>
      <c r="J55" s="9">
        <f t="shared" si="1"/>
        <v>348</v>
      </c>
      <c r="K55" s="9">
        <f t="shared" si="1"/>
        <v>0</v>
      </c>
      <c r="L55" s="9">
        <f t="shared" si="1"/>
        <v>0</v>
      </c>
      <c r="M55" s="9">
        <f t="shared" si="2"/>
        <v>348</v>
      </c>
      <c r="N55" s="16">
        <f t="shared" si="3"/>
        <v>-23430.84</v>
      </c>
    </row>
    <row r="56" spans="1:14" ht="12.75" x14ac:dyDescent="0.2">
      <c r="A56" s="9" t="s">
        <v>51</v>
      </c>
      <c r="B56" s="10">
        <v>2505</v>
      </c>
      <c r="C56" s="9">
        <v>561</v>
      </c>
      <c r="D56" s="9">
        <v>0</v>
      </c>
      <c r="E56" s="9">
        <v>0</v>
      </c>
      <c r="F56" s="9">
        <f t="shared" si="0"/>
        <v>561</v>
      </c>
      <c r="G56" s="9">
        <v>0</v>
      </c>
      <c r="H56" s="9">
        <v>0</v>
      </c>
      <c r="I56" s="9">
        <v>0</v>
      </c>
      <c r="J56" s="9">
        <f t="shared" si="1"/>
        <v>561</v>
      </c>
      <c r="K56" s="9">
        <f t="shared" si="1"/>
        <v>0</v>
      </c>
      <c r="L56" s="9">
        <f t="shared" si="1"/>
        <v>0</v>
      </c>
      <c r="M56" s="9">
        <f t="shared" si="2"/>
        <v>561</v>
      </c>
      <c r="N56" s="16">
        <f t="shared" si="3"/>
        <v>-37772.129999999997</v>
      </c>
    </row>
    <row r="57" spans="1:14" ht="12.75" x14ac:dyDescent="0.2">
      <c r="A57" s="9" t="s">
        <v>1304</v>
      </c>
      <c r="B57" s="10">
        <v>2000</v>
      </c>
      <c r="C57" s="9">
        <v>324</v>
      </c>
      <c r="D57" s="9">
        <v>0</v>
      </c>
      <c r="E57" s="9">
        <v>0</v>
      </c>
      <c r="F57" s="9">
        <f t="shared" si="0"/>
        <v>324</v>
      </c>
      <c r="G57" s="9">
        <v>28</v>
      </c>
      <c r="H57" s="9">
        <v>0</v>
      </c>
      <c r="I57" s="9">
        <v>0</v>
      </c>
      <c r="J57" s="9">
        <f t="shared" si="1"/>
        <v>296</v>
      </c>
      <c r="K57" s="9">
        <f t="shared" si="1"/>
        <v>0</v>
      </c>
      <c r="L57" s="9">
        <f t="shared" si="1"/>
        <v>0</v>
      </c>
      <c r="M57" s="9">
        <f t="shared" si="2"/>
        <v>296</v>
      </c>
      <c r="N57" s="16">
        <f t="shared" si="3"/>
        <v>-19929.68</v>
      </c>
    </row>
    <row r="58" spans="1:14" ht="12.75" x14ac:dyDescent="0.2">
      <c r="A58" s="9" t="s">
        <v>53</v>
      </c>
      <c r="B58" s="10">
        <v>2458</v>
      </c>
      <c r="C58" s="9">
        <v>269</v>
      </c>
      <c r="D58" s="9">
        <v>0</v>
      </c>
      <c r="E58" s="9">
        <v>0</v>
      </c>
      <c r="F58" s="9">
        <f t="shared" si="0"/>
        <v>269</v>
      </c>
      <c r="G58" s="9">
        <v>0</v>
      </c>
      <c r="H58" s="9">
        <v>0</v>
      </c>
      <c r="I58" s="9">
        <v>0</v>
      </c>
      <c r="J58" s="9">
        <f t="shared" si="1"/>
        <v>269</v>
      </c>
      <c r="K58" s="9">
        <f t="shared" si="1"/>
        <v>0</v>
      </c>
      <c r="L58" s="9">
        <f t="shared" si="1"/>
        <v>0</v>
      </c>
      <c r="M58" s="9">
        <f t="shared" si="2"/>
        <v>269</v>
      </c>
      <c r="N58" s="16">
        <f t="shared" si="3"/>
        <v>-18111.77</v>
      </c>
    </row>
    <row r="59" spans="1:14" ht="12.75" x14ac:dyDescent="0.2">
      <c r="A59" s="9" t="s">
        <v>54</v>
      </c>
      <c r="B59" s="10">
        <v>2001</v>
      </c>
      <c r="C59" s="9">
        <v>357</v>
      </c>
      <c r="D59" s="9">
        <v>0</v>
      </c>
      <c r="E59" s="9">
        <v>0</v>
      </c>
      <c r="F59" s="9">
        <f t="shared" si="0"/>
        <v>357</v>
      </c>
      <c r="G59" s="9">
        <v>0</v>
      </c>
      <c r="H59" s="9">
        <v>0</v>
      </c>
      <c r="I59" s="9">
        <v>0</v>
      </c>
      <c r="J59" s="9">
        <f t="shared" si="1"/>
        <v>357</v>
      </c>
      <c r="K59" s="9">
        <f t="shared" si="1"/>
        <v>0</v>
      </c>
      <c r="L59" s="9">
        <f t="shared" si="1"/>
        <v>0</v>
      </c>
      <c r="M59" s="9">
        <f t="shared" si="2"/>
        <v>357</v>
      </c>
      <c r="N59" s="16">
        <f t="shared" si="3"/>
        <v>-24036.809999999998</v>
      </c>
    </row>
    <row r="60" spans="1:14" ht="12.75" x14ac:dyDescent="0.2">
      <c r="A60" s="9" t="s">
        <v>55</v>
      </c>
      <c r="B60" s="10">
        <v>2429</v>
      </c>
      <c r="C60" s="9">
        <v>147</v>
      </c>
      <c r="D60" s="9">
        <v>0</v>
      </c>
      <c r="E60" s="9">
        <v>0</v>
      </c>
      <c r="F60" s="9">
        <f t="shared" si="0"/>
        <v>147</v>
      </c>
      <c r="G60" s="9">
        <v>0</v>
      </c>
      <c r="H60" s="9">
        <v>0</v>
      </c>
      <c r="I60" s="9">
        <v>0</v>
      </c>
      <c r="J60" s="9">
        <f t="shared" si="1"/>
        <v>147</v>
      </c>
      <c r="K60" s="9">
        <f t="shared" si="1"/>
        <v>0</v>
      </c>
      <c r="L60" s="9">
        <f t="shared" si="1"/>
        <v>0</v>
      </c>
      <c r="M60" s="9">
        <f t="shared" si="2"/>
        <v>147</v>
      </c>
      <c r="N60" s="16">
        <f t="shared" si="3"/>
        <v>-9897.51</v>
      </c>
    </row>
    <row r="61" spans="1:14" ht="12.75" x14ac:dyDescent="0.2">
      <c r="A61" s="9" t="s">
        <v>56</v>
      </c>
      <c r="B61" s="10">
        <v>2444</v>
      </c>
      <c r="C61" s="9">
        <v>211</v>
      </c>
      <c r="D61" s="9">
        <v>0</v>
      </c>
      <c r="E61" s="9">
        <v>0</v>
      </c>
      <c r="F61" s="9">
        <f t="shared" si="0"/>
        <v>211</v>
      </c>
      <c r="G61" s="9">
        <v>0</v>
      </c>
      <c r="H61" s="9">
        <v>0</v>
      </c>
      <c r="I61" s="9">
        <v>0</v>
      </c>
      <c r="J61" s="9">
        <f t="shared" si="1"/>
        <v>211</v>
      </c>
      <c r="K61" s="9">
        <f t="shared" si="1"/>
        <v>0</v>
      </c>
      <c r="L61" s="9">
        <f t="shared" si="1"/>
        <v>0</v>
      </c>
      <c r="M61" s="9">
        <f t="shared" si="2"/>
        <v>211</v>
      </c>
      <c r="N61" s="16">
        <f t="shared" si="3"/>
        <v>-14206.63</v>
      </c>
    </row>
    <row r="62" spans="1:14" ht="12.75" x14ac:dyDescent="0.2">
      <c r="A62" s="9" t="s">
        <v>57</v>
      </c>
      <c r="B62" s="10">
        <v>5209</v>
      </c>
      <c r="C62" s="9">
        <v>261</v>
      </c>
      <c r="D62" s="9">
        <v>0</v>
      </c>
      <c r="E62" s="9">
        <v>0</v>
      </c>
      <c r="F62" s="9">
        <f t="shared" si="0"/>
        <v>261</v>
      </c>
      <c r="G62" s="9">
        <v>0</v>
      </c>
      <c r="H62" s="9">
        <v>0</v>
      </c>
      <c r="I62" s="9">
        <v>0</v>
      </c>
      <c r="J62" s="9">
        <f t="shared" si="1"/>
        <v>261</v>
      </c>
      <c r="K62" s="9">
        <f t="shared" si="1"/>
        <v>0</v>
      </c>
      <c r="L62" s="9">
        <f t="shared" si="1"/>
        <v>0</v>
      </c>
      <c r="M62" s="9">
        <f t="shared" si="2"/>
        <v>261</v>
      </c>
      <c r="N62" s="16">
        <f t="shared" si="3"/>
        <v>-17573.13</v>
      </c>
    </row>
    <row r="63" spans="1:14" ht="12.75" x14ac:dyDescent="0.2">
      <c r="A63" s="9" t="s">
        <v>58</v>
      </c>
      <c r="B63" s="10">
        <v>2469</v>
      </c>
      <c r="C63" s="9">
        <v>417</v>
      </c>
      <c r="D63" s="9">
        <v>0</v>
      </c>
      <c r="E63" s="9">
        <v>0</v>
      </c>
      <c r="F63" s="9">
        <f t="shared" si="0"/>
        <v>417</v>
      </c>
      <c r="G63" s="9">
        <v>0</v>
      </c>
      <c r="H63" s="9">
        <v>0</v>
      </c>
      <c r="I63" s="9">
        <v>0</v>
      </c>
      <c r="J63" s="9">
        <f t="shared" si="1"/>
        <v>417</v>
      </c>
      <c r="K63" s="9">
        <f t="shared" si="1"/>
        <v>0</v>
      </c>
      <c r="L63" s="9">
        <f t="shared" si="1"/>
        <v>0</v>
      </c>
      <c r="M63" s="9">
        <f t="shared" si="2"/>
        <v>417</v>
      </c>
      <c r="N63" s="16">
        <f t="shared" si="3"/>
        <v>-28076.61</v>
      </c>
    </row>
    <row r="64" spans="1:14" ht="12.75" x14ac:dyDescent="0.2">
      <c r="A64" s="22" t="s">
        <v>437</v>
      </c>
      <c r="B64" s="10">
        <v>2430</v>
      </c>
      <c r="C64" s="9">
        <v>126</v>
      </c>
      <c r="D64" s="9">
        <v>0</v>
      </c>
      <c r="E64" s="9">
        <v>0</v>
      </c>
      <c r="F64" s="9">
        <f t="shared" si="0"/>
        <v>126</v>
      </c>
      <c r="G64" s="9">
        <v>0</v>
      </c>
      <c r="H64" s="9">
        <v>0</v>
      </c>
      <c r="I64" s="9">
        <v>0</v>
      </c>
      <c r="J64" s="9">
        <f t="shared" si="1"/>
        <v>126</v>
      </c>
      <c r="K64" s="9">
        <f t="shared" si="1"/>
        <v>0</v>
      </c>
      <c r="L64" s="9">
        <f t="shared" si="1"/>
        <v>0</v>
      </c>
      <c r="M64" s="9">
        <f t="shared" si="2"/>
        <v>126</v>
      </c>
      <c r="N64" s="16">
        <f t="shared" si="3"/>
        <v>-8483.58</v>
      </c>
    </row>
    <row r="65" spans="1:15" ht="12.75" x14ac:dyDescent="0.2">
      <c r="A65" s="9" t="s">
        <v>59</v>
      </c>
      <c r="B65" s="10">
        <v>2466</v>
      </c>
      <c r="C65" s="9">
        <v>240</v>
      </c>
      <c r="D65" s="9">
        <v>0</v>
      </c>
      <c r="E65" s="9">
        <v>0</v>
      </c>
      <c r="F65" s="9">
        <f t="shared" si="0"/>
        <v>240</v>
      </c>
      <c r="G65" s="9">
        <v>19</v>
      </c>
      <c r="H65" s="9">
        <v>0</v>
      </c>
      <c r="I65" s="9">
        <v>0</v>
      </c>
      <c r="J65" s="9">
        <f t="shared" si="1"/>
        <v>221</v>
      </c>
      <c r="K65" s="9">
        <f t="shared" si="1"/>
        <v>0</v>
      </c>
      <c r="L65" s="9">
        <f t="shared" si="1"/>
        <v>0</v>
      </c>
      <c r="M65" s="9">
        <f t="shared" si="2"/>
        <v>221</v>
      </c>
      <c r="N65" s="16">
        <f t="shared" si="3"/>
        <v>-14879.93</v>
      </c>
    </row>
    <row r="66" spans="1:15" ht="12.75" x14ac:dyDescent="0.2">
      <c r="A66" s="9" t="s">
        <v>60</v>
      </c>
      <c r="B66" s="10">
        <v>3543</v>
      </c>
      <c r="C66" s="9">
        <v>303</v>
      </c>
      <c r="D66" s="9">
        <v>0</v>
      </c>
      <c r="E66" s="9">
        <v>0</v>
      </c>
      <c r="F66" s="9">
        <f t="shared" si="0"/>
        <v>303</v>
      </c>
      <c r="G66" s="9">
        <v>0</v>
      </c>
      <c r="H66" s="9">
        <v>0</v>
      </c>
      <c r="I66" s="9">
        <v>0</v>
      </c>
      <c r="J66" s="9">
        <f t="shared" si="1"/>
        <v>303</v>
      </c>
      <c r="K66" s="9">
        <f t="shared" si="1"/>
        <v>0</v>
      </c>
      <c r="L66" s="9">
        <f t="shared" si="1"/>
        <v>0</v>
      </c>
      <c r="M66" s="9">
        <f t="shared" si="2"/>
        <v>303</v>
      </c>
      <c r="N66" s="16">
        <f t="shared" si="3"/>
        <v>-20400.989999999998</v>
      </c>
    </row>
    <row r="67" spans="1:15" s="33" customFormat="1" ht="12.75" x14ac:dyDescent="0.2">
      <c r="A67" s="729" t="s">
        <v>62</v>
      </c>
      <c r="B67" s="27">
        <v>3531</v>
      </c>
      <c r="C67" s="729"/>
      <c r="D67" s="729"/>
      <c r="E67" s="729"/>
      <c r="F67" s="729"/>
      <c r="G67" s="729"/>
      <c r="H67" s="729"/>
      <c r="I67" s="729"/>
      <c r="J67" s="729"/>
      <c r="K67" s="729"/>
      <c r="L67" s="729"/>
      <c r="M67" s="729"/>
      <c r="N67" s="731"/>
      <c r="O67" s="33" t="s">
        <v>539</v>
      </c>
    </row>
    <row r="68" spans="1:15" ht="12.75" x14ac:dyDescent="0.2">
      <c r="A68" s="9" t="s">
        <v>103</v>
      </c>
      <c r="B68" s="10">
        <v>3526</v>
      </c>
      <c r="C68" s="9">
        <v>90</v>
      </c>
      <c r="D68" s="9">
        <v>0</v>
      </c>
      <c r="E68" s="9">
        <v>0</v>
      </c>
      <c r="F68" s="9">
        <f t="shared" si="0"/>
        <v>90</v>
      </c>
      <c r="G68" s="9">
        <v>0</v>
      </c>
      <c r="H68" s="9">
        <v>0</v>
      </c>
      <c r="I68" s="9">
        <v>0</v>
      </c>
      <c r="J68" s="9">
        <f t="shared" si="1"/>
        <v>90</v>
      </c>
      <c r="K68" s="9">
        <f t="shared" si="1"/>
        <v>0</v>
      </c>
      <c r="L68" s="9">
        <f t="shared" si="1"/>
        <v>0</v>
      </c>
      <c r="M68" s="9">
        <f t="shared" si="2"/>
        <v>90</v>
      </c>
      <c r="N68" s="16">
        <f t="shared" si="3"/>
        <v>-6059.7</v>
      </c>
    </row>
    <row r="69" spans="1:15" ht="12.75" x14ac:dyDescent="0.2">
      <c r="A69" s="9" t="s">
        <v>104</v>
      </c>
      <c r="B69" s="10">
        <v>3535</v>
      </c>
      <c r="C69" s="9">
        <v>283</v>
      </c>
      <c r="D69" s="9">
        <v>0</v>
      </c>
      <c r="E69" s="9">
        <v>0</v>
      </c>
      <c r="F69" s="9">
        <f t="shared" si="0"/>
        <v>283</v>
      </c>
      <c r="G69" s="9">
        <v>0</v>
      </c>
      <c r="H69" s="9">
        <v>0</v>
      </c>
      <c r="I69" s="9">
        <v>0</v>
      </c>
      <c r="J69" s="9">
        <f t="shared" si="1"/>
        <v>283</v>
      </c>
      <c r="K69" s="9">
        <f t="shared" si="1"/>
        <v>0</v>
      </c>
      <c r="L69" s="9">
        <f t="shared" si="1"/>
        <v>0</v>
      </c>
      <c r="M69" s="9">
        <f t="shared" si="2"/>
        <v>283</v>
      </c>
      <c r="N69" s="16">
        <f t="shared" si="3"/>
        <v>-19054.39</v>
      </c>
    </row>
    <row r="70" spans="1:15" s="33" customFormat="1" ht="12.75" x14ac:dyDescent="0.2">
      <c r="A70" s="734" t="s">
        <v>64</v>
      </c>
      <c r="B70" s="27">
        <v>2008</v>
      </c>
      <c r="C70" s="729"/>
      <c r="D70" s="729"/>
      <c r="E70" s="729"/>
      <c r="F70" s="729"/>
      <c r="G70" s="729"/>
      <c r="H70" s="729"/>
      <c r="I70" s="729"/>
      <c r="J70" s="729"/>
      <c r="K70" s="729"/>
      <c r="L70" s="729"/>
      <c r="M70" s="729"/>
      <c r="N70" s="731"/>
      <c r="O70" s="33" t="s">
        <v>539</v>
      </c>
    </row>
    <row r="71" spans="1:15" ht="12.75" x14ac:dyDescent="0.2">
      <c r="A71" s="9" t="s">
        <v>105</v>
      </c>
      <c r="B71" s="10">
        <v>3542</v>
      </c>
      <c r="C71" s="9">
        <v>352</v>
      </c>
      <c r="D71" s="9">
        <v>0</v>
      </c>
      <c r="E71" s="9">
        <v>0</v>
      </c>
      <c r="F71" s="9">
        <f t="shared" si="0"/>
        <v>352</v>
      </c>
      <c r="G71" s="9">
        <v>0</v>
      </c>
      <c r="H71" s="9">
        <v>0</v>
      </c>
      <c r="I71" s="9">
        <v>0</v>
      </c>
      <c r="J71" s="9">
        <f t="shared" si="1"/>
        <v>352</v>
      </c>
      <c r="K71" s="9">
        <f t="shared" si="1"/>
        <v>0</v>
      </c>
      <c r="L71" s="9">
        <f t="shared" si="1"/>
        <v>0</v>
      </c>
      <c r="M71" s="9">
        <f t="shared" si="2"/>
        <v>352</v>
      </c>
      <c r="N71" s="16">
        <f t="shared" si="3"/>
        <v>-23700.16</v>
      </c>
    </row>
    <row r="72" spans="1:15" ht="12.75" x14ac:dyDescent="0.2">
      <c r="A72" s="9" t="s">
        <v>106</v>
      </c>
      <c r="B72" s="10">
        <v>3528</v>
      </c>
      <c r="C72" s="9">
        <v>346</v>
      </c>
      <c r="D72" s="9">
        <v>0</v>
      </c>
      <c r="E72" s="9">
        <v>0</v>
      </c>
      <c r="F72" s="9">
        <f t="shared" ref="F72:F77" si="4">SUM(C72:E72)</f>
        <v>346</v>
      </c>
      <c r="G72" s="9">
        <v>0</v>
      </c>
      <c r="H72" s="9">
        <v>0</v>
      </c>
      <c r="I72" s="9">
        <v>0</v>
      </c>
      <c r="J72" s="9">
        <f t="shared" si="1"/>
        <v>346</v>
      </c>
      <c r="K72" s="9">
        <f t="shared" si="1"/>
        <v>0</v>
      </c>
      <c r="L72" s="9">
        <f t="shared" si="1"/>
        <v>0</v>
      </c>
      <c r="M72" s="9">
        <f t="shared" si="2"/>
        <v>346</v>
      </c>
      <c r="N72" s="16">
        <f t="shared" ref="N72:N77" si="5">SUM(J72*$J$1)+SUM(K72*$K$3)+SUM(L72*$L$4)</f>
        <v>-23296.18</v>
      </c>
    </row>
    <row r="73" spans="1:15" ht="12.75" x14ac:dyDescent="0.2">
      <c r="A73" s="9" t="s">
        <v>107</v>
      </c>
      <c r="B73" s="10">
        <v>3534</v>
      </c>
      <c r="C73" s="9">
        <v>255</v>
      </c>
      <c r="D73" s="9">
        <v>0</v>
      </c>
      <c r="E73" s="9">
        <v>0</v>
      </c>
      <c r="F73" s="9">
        <f t="shared" si="4"/>
        <v>255</v>
      </c>
      <c r="G73" s="9">
        <v>0</v>
      </c>
      <c r="H73" s="9">
        <v>0</v>
      </c>
      <c r="I73" s="9">
        <v>0</v>
      </c>
      <c r="J73" s="9">
        <f t="shared" ref="J73:L77" si="6">C73-G73</f>
        <v>255</v>
      </c>
      <c r="K73" s="9">
        <f t="shared" si="6"/>
        <v>0</v>
      </c>
      <c r="L73" s="9">
        <f t="shared" si="6"/>
        <v>0</v>
      </c>
      <c r="M73" s="9">
        <f t="shared" ref="M73:M77" si="7">SUM(J73:L73)</f>
        <v>255</v>
      </c>
      <c r="N73" s="16">
        <f t="shared" si="5"/>
        <v>-17169.149999999998</v>
      </c>
    </row>
    <row r="74" spans="1:15" ht="12.75" x14ac:dyDescent="0.2">
      <c r="A74" s="9" t="s">
        <v>108</v>
      </c>
      <c r="B74" s="10">
        <v>3532</v>
      </c>
      <c r="C74" s="9">
        <v>317</v>
      </c>
      <c r="D74" s="9">
        <v>0</v>
      </c>
      <c r="E74" s="9">
        <v>0</v>
      </c>
      <c r="F74" s="9">
        <f t="shared" si="4"/>
        <v>317</v>
      </c>
      <c r="G74" s="9">
        <v>0</v>
      </c>
      <c r="H74" s="9">
        <v>0</v>
      </c>
      <c r="I74" s="9">
        <v>0</v>
      </c>
      <c r="J74" s="9">
        <f t="shared" si="6"/>
        <v>317</v>
      </c>
      <c r="K74" s="9">
        <f t="shared" si="6"/>
        <v>0</v>
      </c>
      <c r="L74" s="9">
        <f t="shared" si="6"/>
        <v>0</v>
      </c>
      <c r="M74" s="9">
        <f t="shared" si="7"/>
        <v>317</v>
      </c>
      <c r="N74" s="16">
        <f t="shared" si="5"/>
        <v>-21343.61</v>
      </c>
    </row>
    <row r="75" spans="1:15" ht="12.75" x14ac:dyDescent="0.2">
      <c r="A75" s="9" t="s">
        <v>65</v>
      </c>
      <c r="B75" s="10">
        <v>3546</v>
      </c>
      <c r="C75" s="9">
        <v>585</v>
      </c>
      <c r="D75" s="9">
        <v>0</v>
      </c>
      <c r="E75" s="9">
        <v>0</v>
      </c>
      <c r="F75" s="9">
        <f t="shared" si="4"/>
        <v>585</v>
      </c>
      <c r="G75" s="9">
        <v>0</v>
      </c>
      <c r="H75" s="9">
        <v>0</v>
      </c>
      <c r="I75" s="9">
        <v>0</v>
      </c>
      <c r="J75" s="9">
        <f t="shared" si="6"/>
        <v>585</v>
      </c>
      <c r="K75" s="9">
        <f t="shared" si="6"/>
        <v>0</v>
      </c>
      <c r="L75" s="9">
        <f t="shared" si="6"/>
        <v>0</v>
      </c>
      <c r="M75" s="9">
        <f t="shared" si="7"/>
        <v>585</v>
      </c>
      <c r="N75" s="16">
        <f t="shared" si="5"/>
        <v>-39388.049999999996</v>
      </c>
    </row>
    <row r="76" spans="1:15" ht="12.75" x14ac:dyDescent="0.2">
      <c r="A76" s="9" t="s">
        <v>109</v>
      </c>
      <c r="B76" s="10">
        <v>3530</v>
      </c>
      <c r="C76" s="9">
        <v>335</v>
      </c>
      <c r="D76" s="9">
        <v>0</v>
      </c>
      <c r="E76" s="9">
        <v>0</v>
      </c>
      <c r="F76" s="9">
        <f t="shared" si="4"/>
        <v>335</v>
      </c>
      <c r="G76" s="9">
        <v>0</v>
      </c>
      <c r="H76" s="9">
        <v>0</v>
      </c>
      <c r="I76" s="9">
        <v>0</v>
      </c>
      <c r="J76" s="9">
        <f t="shared" si="6"/>
        <v>335</v>
      </c>
      <c r="K76" s="9">
        <f t="shared" si="6"/>
        <v>0</v>
      </c>
      <c r="L76" s="9">
        <f t="shared" si="6"/>
        <v>0</v>
      </c>
      <c r="M76" s="9">
        <f t="shared" si="7"/>
        <v>335</v>
      </c>
      <c r="N76" s="16">
        <f t="shared" si="5"/>
        <v>-22555.55</v>
      </c>
    </row>
    <row r="77" spans="1:15" ht="12.75" x14ac:dyDescent="0.2">
      <c r="A77" s="9" t="s">
        <v>67</v>
      </c>
      <c r="B77" s="10">
        <v>2459</v>
      </c>
      <c r="C77" s="9">
        <v>382</v>
      </c>
      <c r="D77" s="9">
        <v>0</v>
      </c>
      <c r="E77" s="9">
        <v>0</v>
      </c>
      <c r="F77" s="9">
        <f t="shared" si="4"/>
        <v>382</v>
      </c>
      <c r="G77" s="9">
        <v>0</v>
      </c>
      <c r="H77" s="9">
        <v>0</v>
      </c>
      <c r="I77" s="9">
        <v>0</v>
      </c>
      <c r="J77" s="9">
        <f t="shared" si="6"/>
        <v>382</v>
      </c>
      <c r="K77" s="9">
        <f t="shared" si="6"/>
        <v>0</v>
      </c>
      <c r="L77" s="9">
        <f t="shared" si="6"/>
        <v>0</v>
      </c>
      <c r="M77" s="9">
        <f t="shared" si="7"/>
        <v>382</v>
      </c>
      <c r="N77" s="16">
        <f t="shared" si="5"/>
        <v>-25720.059999999998</v>
      </c>
    </row>
    <row r="78" spans="1:15" s="33" customFormat="1" ht="12.75" x14ac:dyDescent="0.2">
      <c r="A78" s="729" t="s">
        <v>846</v>
      </c>
      <c r="B78" s="27">
        <v>4000</v>
      </c>
      <c r="C78" s="729"/>
      <c r="D78" s="729"/>
      <c r="E78" s="729"/>
      <c r="F78" s="729"/>
      <c r="G78" s="729"/>
      <c r="H78" s="729"/>
      <c r="I78" s="729"/>
      <c r="J78" s="729"/>
      <c r="K78" s="729"/>
      <c r="L78" s="729"/>
      <c r="M78" s="729"/>
      <c r="N78" s="731"/>
      <c r="O78" s="33" t="s">
        <v>1164</v>
      </c>
    </row>
    <row r="79" spans="1:15" ht="12.75" x14ac:dyDescent="0.2">
      <c r="A79" s="9"/>
      <c r="B79" s="10"/>
      <c r="C79" s="9"/>
      <c r="D79" s="9"/>
      <c r="E79" s="9"/>
      <c r="F79" s="9"/>
      <c r="G79" s="9"/>
      <c r="H79" s="9"/>
      <c r="I79" s="9"/>
      <c r="J79" s="9"/>
      <c r="K79" s="9"/>
      <c r="L79" s="9"/>
      <c r="M79" s="9"/>
      <c r="N79" s="16"/>
    </row>
    <row r="80" spans="1:15" ht="12.75" x14ac:dyDescent="0.2">
      <c r="A80" s="1" t="s">
        <v>110</v>
      </c>
      <c r="B80" s="1" t="s">
        <v>110</v>
      </c>
      <c r="C80" s="1">
        <f>SUM(C7:C79)</f>
        <v>20189.916666666664</v>
      </c>
      <c r="D80" s="1">
        <f>SUM(D7:D79)</f>
        <v>0</v>
      </c>
      <c r="E80" s="1">
        <f>SUM(E7:E79)</f>
        <v>0</v>
      </c>
      <c r="F80" s="1">
        <f>SUM(F7:F79)</f>
        <v>20189.916666666664</v>
      </c>
      <c r="G80" s="1">
        <f t="shared" ref="G80:I80" si="8">SUM(G7:G79)</f>
        <v>160</v>
      </c>
      <c r="H80" s="1">
        <f t="shared" si="8"/>
        <v>0</v>
      </c>
      <c r="I80" s="1">
        <f t="shared" si="8"/>
        <v>0</v>
      </c>
      <c r="J80" s="1">
        <f>SUM(J7:J79)</f>
        <v>20029.916666666664</v>
      </c>
      <c r="K80" s="1">
        <f>SUM(K7:K79)</f>
        <v>0</v>
      </c>
      <c r="L80" s="1">
        <f>SUM(L7:L79)</f>
        <v>0</v>
      </c>
      <c r="M80" s="1">
        <f>SUM(M7:M79)</f>
        <v>20029.916666666664</v>
      </c>
      <c r="N80" s="1">
        <f>SUM(N7:N79)</f>
        <v>-1348614.2891666663</v>
      </c>
    </row>
    <row r="81" spans="1:15" ht="12.75" x14ac:dyDescent="0.2">
      <c r="A81" s="9"/>
      <c r="B81" s="10"/>
      <c r="C81" s="9"/>
      <c r="D81" s="9"/>
      <c r="E81" s="9"/>
      <c r="F81" s="9"/>
      <c r="G81" s="9"/>
      <c r="H81" s="9"/>
      <c r="I81" s="9"/>
      <c r="J81" s="9"/>
      <c r="K81" s="9"/>
      <c r="L81" s="9"/>
      <c r="M81" s="9"/>
      <c r="N81" s="16"/>
    </row>
    <row r="82" spans="1:15" s="33" customFormat="1" ht="12.75" x14ac:dyDescent="0.2">
      <c r="A82" s="729" t="s">
        <v>75</v>
      </c>
      <c r="B82" s="27">
        <v>5402</v>
      </c>
      <c r="C82" s="729"/>
      <c r="D82" s="729"/>
      <c r="E82" s="729"/>
      <c r="F82" s="729"/>
      <c r="G82" s="729"/>
      <c r="H82" s="729"/>
      <c r="I82" s="729"/>
      <c r="J82" s="729"/>
      <c r="K82" s="729"/>
      <c r="L82" s="729"/>
      <c r="M82" s="729"/>
      <c r="N82" s="731"/>
      <c r="O82" s="33" t="s">
        <v>539</v>
      </c>
    </row>
    <row r="83" spans="1:15" ht="12.75" x14ac:dyDescent="0.2">
      <c r="A83" s="9" t="s">
        <v>68</v>
      </c>
      <c r="B83" s="10">
        <v>4608</v>
      </c>
      <c r="C83" s="9">
        <v>0</v>
      </c>
      <c r="D83" s="9">
        <v>335</v>
      </c>
      <c r="E83" s="9">
        <v>220</v>
      </c>
      <c r="F83" s="9">
        <f t="shared" ref="F83:F89" si="9">SUM(C83:E83)</f>
        <v>555</v>
      </c>
      <c r="G83" s="9">
        <v>0</v>
      </c>
      <c r="H83" s="9">
        <v>0</v>
      </c>
      <c r="I83" s="9">
        <v>0</v>
      </c>
      <c r="J83" s="9">
        <f t="shared" ref="J83:L89" si="10">C83-G83</f>
        <v>0</v>
      </c>
      <c r="K83" s="9">
        <f t="shared" si="10"/>
        <v>335</v>
      </c>
      <c r="L83" s="9">
        <f t="shared" si="10"/>
        <v>220</v>
      </c>
      <c r="M83" s="9">
        <f t="shared" ref="M83:M89" si="11">SUM(J83:L83)</f>
        <v>555</v>
      </c>
      <c r="N83" s="16">
        <f>SUM(J83*$J$1)+SUM(K83*$K$3)+SUM(L83*$L$4)</f>
        <v>-33771.75</v>
      </c>
    </row>
    <row r="84" spans="1:15" ht="12.75" x14ac:dyDescent="0.2">
      <c r="A84" s="9" t="s">
        <v>111</v>
      </c>
      <c r="B84" s="10">
        <v>4178</v>
      </c>
      <c r="C84" s="9">
        <v>0</v>
      </c>
      <c r="D84" s="9">
        <v>781</v>
      </c>
      <c r="E84" s="9">
        <v>512</v>
      </c>
      <c r="F84" s="9">
        <f t="shared" si="9"/>
        <v>1293</v>
      </c>
      <c r="G84" s="9">
        <v>0</v>
      </c>
      <c r="H84" s="9">
        <v>0</v>
      </c>
      <c r="I84" s="9">
        <v>0</v>
      </c>
      <c r="J84" s="9">
        <f t="shared" si="10"/>
        <v>0</v>
      </c>
      <c r="K84" s="9">
        <f t="shared" si="10"/>
        <v>781</v>
      </c>
      <c r="L84" s="9">
        <f t="shared" si="10"/>
        <v>512</v>
      </c>
      <c r="M84" s="9">
        <f t="shared" si="11"/>
        <v>1293</v>
      </c>
      <c r="N84" s="16">
        <f>SUM(J84*$J$1)+SUM(K84*$K$3)+SUM(L84*$L$4)</f>
        <v>-78679.05</v>
      </c>
    </row>
    <row r="85" spans="1:15" s="33" customFormat="1" ht="12.75" x14ac:dyDescent="0.2">
      <c r="A85" s="729" t="s">
        <v>69</v>
      </c>
      <c r="B85" s="27">
        <v>4181</v>
      </c>
      <c r="C85" s="729"/>
      <c r="D85" s="729"/>
      <c r="E85" s="729"/>
      <c r="F85" s="729"/>
      <c r="G85" s="729"/>
      <c r="H85" s="729"/>
      <c r="I85" s="729"/>
      <c r="J85" s="729"/>
      <c r="K85" s="729"/>
      <c r="L85" s="729"/>
      <c r="M85" s="729"/>
      <c r="N85" s="731"/>
      <c r="O85" s="33" t="s">
        <v>539</v>
      </c>
    </row>
    <row r="86" spans="1:15" ht="12.75" x14ac:dyDescent="0.2">
      <c r="A86" s="9" t="s">
        <v>70</v>
      </c>
      <c r="B86" s="10">
        <v>4182</v>
      </c>
      <c r="C86" s="9">
        <v>0</v>
      </c>
      <c r="D86" s="9">
        <v>884</v>
      </c>
      <c r="E86" s="9">
        <v>544</v>
      </c>
      <c r="F86" s="9">
        <f t="shared" si="9"/>
        <v>1428</v>
      </c>
      <c r="G86" s="9">
        <v>0</v>
      </c>
      <c r="H86" s="9">
        <v>0</v>
      </c>
      <c r="I86" s="9">
        <v>0</v>
      </c>
      <c r="J86" s="9">
        <f t="shared" si="10"/>
        <v>0</v>
      </c>
      <c r="K86" s="9">
        <f t="shared" si="10"/>
        <v>884</v>
      </c>
      <c r="L86" s="9">
        <f t="shared" si="10"/>
        <v>544</v>
      </c>
      <c r="M86" s="9">
        <f t="shared" si="11"/>
        <v>1428</v>
      </c>
      <c r="N86" s="16">
        <f t="shared" ref="N86:N89" si="12">SUM(J86*$J$1)+SUM(K86*$K$3)+SUM(L86*$L$4)</f>
        <v>-86893.8</v>
      </c>
    </row>
    <row r="87" spans="1:15" s="33" customFormat="1" ht="12.75" x14ac:dyDescent="0.2">
      <c r="A87" s="729" t="s">
        <v>71</v>
      </c>
      <c r="B87" s="28">
        <v>4001</v>
      </c>
      <c r="C87" s="729"/>
      <c r="D87" s="729"/>
      <c r="E87" s="729"/>
      <c r="F87" s="729"/>
      <c r="G87" s="729"/>
      <c r="H87" s="729"/>
      <c r="I87" s="729"/>
      <c r="J87" s="729"/>
      <c r="K87" s="729"/>
      <c r="L87" s="729"/>
      <c r="M87" s="729"/>
      <c r="N87" s="731"/>
      <c r="O87" s="33" t="s">
        <v>539</v>
      </c>
    </row>
    <row r="88" spans="1:15" ht="12.75" x14ac:dyDescent="0.2">
      <c r="A88" s="9" t="s">
        <v>112</v>
      </c>
      <c r="B88" s="10">
        <v>5406</v>
      </c>
      <c r="C88" s="9">
        <v>0</v>
      </c>
      <c r="D88" s="9">
        <v>509</v>
      </c>
      <c r="E88" s="9">
        <v>314</v>
      </c>
      <c r="F88" s="9">
        <f t="shared" si="9"/>
        <v>823</v>
      </c>
      <c r="G88" s="9">
        <v>0</v>
      </c>
      <c r="H88" s="9">
        <v>0</v>
      </c>
      <c r="I88" s="9">
        <v>0</v>
      </c>
      <c r="J88" s="9">
        <f t="shared" si="10"/>
        <v>0</v>
      </c>
      <c r="K88" s="9">
        <f t="shared" si="10"/>
        <v>509</v>
      </c>
      <c r="L88" s="9">
        <f t="shared" si="10"/>
        <v>314</v>
      </c>
      <c r="M88" s="9">
        <f t="shared" si="11"/>
        <v>823</v>
      </c>
      <c r="N88" s="16">
        <f t="shared" si="12"/>
        <v>-50079.55</v>
      </c>
    </row>
    <row r="89" spans="1:15" ht="12.75" x14ac:dyDescent="0.2">
      <c r="A89" s="983" t="s">
        <v>113</v>
      </c>
      <c r="B89" s="1085">
        <v>5407</v>
      </c>
      <c r="C89" s="983">
        <v>0</v>
      </c>
      <c r="D89" s="983">
        <v>730</v>
      </c>
      <c r="E89" s="983">
        <v>372</v>
      </c>
      <c r="F89" s="983">
        <f t="shared" si="9"/>
        <v>1102</v>
      </c>
      <c r="G89" s="983">
        <v>0</v>
      </c>
      <c r="H89" s="983">
        <v>0</v>
      </c>
      <c r="I89" s="983">
        <v>0</v>
      </c>
      <c r="J89" s="983">
        <f t="shared" si="10"/>
        <v>0</v>
      </c>
      <c r="K89" s="983">
        <f t="shared" si="10"/>
        <v>730</v>
      </c>
      <c r="L89" s="983">
        <f t="shared" si="10"/>
        <v>372</v>
      </c>
      <c r="M89" s="983">
        <f t="shared" si="11"/>
        <v>1102</v>
      </c>
      <c r="N89" s="1086">
        <f t="shared" si="12"/>
        <v>-67056.7</v>
      </c>
      <c r="O89" s="1033" t="s">
        <v>1305</v>
      </c>
    </row>
    <row r="90" spans="1:15" s="33" customFormat="1" ht="12.75" x14ac:dyDescent="0.2">
      <c r="A90" s="729" t="s">
        <v>72</v>
      </c>
      <c r="B90" s="27">
        <v>4607</v>
      </c>
      <c r="C90" s="729"/>
      <c r="D90" s="729"/>
      <c r="E90" s="729"/>
      <c r="F90" s="729"/>
      <c r="G90" s="729"/>
      <c r="H90" s="729"/>
      <c r="I90" s="729"/>
      <c r="J90" s="729"/>
      <c r="K90" s="729"/>
      <c r="L90" s="729"/>
      <c r="M90" s="729"/>
      <c r="N90" s="731"/>
      <c r="O90" s="33" t="s">
        <v>539</v>
      </c>
    </row>
    <row r="91" spans="1:15" s="33" customFormat="1" ht="12.75" x14ac:dyDescent="0.2">
      <c r="A91" s="729" t="s">
        <v>137</v>
      </c>
      <c r="B91" s="28">
        <v>4002</v>
      </c>
      <c r="C91" s="729"/>
      <c r="D91" s="729"/>
      <c r="E91" s="729"/>
      <c r="F91" s="729"/>
      <c r="G91" s="729"/>
      <c r="H91" s="729"/>
      <c r="I91" s="729"/>
      <c r="J91" s="729"/>
      <c r="K91" s="729"/>
      <c r="L91" s="729"/>
      <c r="M91" s="729"/>
      <c r="N91" s="731"/>
      <c r="O91" s="33" t="s">
        <v>539</v>
      </c>
    </row>
    <row r="92" spans="1:15" s="33" customFormat="1" ht="12.75" x14ac:dyDescent="0.2">
      <c r="A92" s="729" t="s">
        <v>74</v>
      </c>
      <c r="B92" s="27">
        <v>5412</v>
      </c>
      <c r="C92" s="729"/>
      <c r="D92" s="729"/>
      <c r="E92" s="729"/>
      <c r="F92" s="729"/>
      <c r="G92" s="729"/>
      <c r="H92" s="729"/>
      <c r="I92" s="729"/>
      <c r="J92" s="729"/>
      <c r="K92" s="729"/>
      <c r="L92" s="729"/>
      <c r="M92" s="729"/>
      <c r="N92" s="731"/>
      <c r="O92" s="33" t="s">
        <v>539</v>
      </c>
    </row>
    <row r="93" spans="1:15" s="33" customFormat="1" ht="12.75" x14ac:dyDescent="0.2">
      <c r="A93" s="729" t="s">
        <v>1306</v>
      </c>
      <c r="B93" s="27">
        <v>4003</v>
      </c>
      <c r="C93" s="729"/>
      <c r="D93" s="729"/>
      <c r="E93" s="729"/>
      <c r="F93" s="729"/>
      <c r="G93" s="729"/>
      <c r="H93" s="729"/>
      <c r="I93" s="729"/>
      <c r="J93" s="729"/>
      <c r="K93" s="729"/>
      <c r="L93" s="729"/>
      <c r="M93" s="729"/>
      <c r="N93" s="731"/>
      <c r="O93" s="33" t="s">
        <v>1302</v>
      </c>
    </row>
    <row r="94" spans="1:15" s="33" customFormat="1" ht="12.75" x14ac:dyDescent="0.2">
      <c r="A94" s="729" t="s">
        <v>73</v>
      </c>
      <c r="B94" s="27">
        <v>5414</v>
      </c>
      <c r="C94" s="729"/>
      <c r="D94" s="729"/>
      <c r="E94" s="729"/>
      <c r="F94" s="729"/>
      <c r="G94" s="729"/>
      <c r="H94" s="729"/>
      <c r="I94" s="729"/>
      <c r="J94" s="729"/>
      <c r="K94" s="729"/>
      <c r="L94" s="729"/>
      <c r="M94" s="729"/>
      <c r="N94" s="731"/>
      <c r="O94" s="33" t="s">
        <v>539</v>
      </c>
    </row>
    <row r="95" spans="1:15" s="33" customFormat="1" ht="12.75" x14ac:dyDescent="0.2">
      <c r="A95" s="729" t="s">
        <v>569</v>
      </c>
      <c r="B95" s="27">
        <v>6905</v>
      </c>
      <c r="C95" s="729"/>
      <c r="D95" s="729"/>
      <c r="E95" s="729"/>
      <c r="F95" s="729"/>
      <c r="G95" s="729"/>
      <c r="H95" s="729"/>
      <c r="I95" s="729"/>
      <c r="J95" s="729"/>
      <c r="K95" s="729"/>
      <c r="L95" s="729"/>
      <c r="M95" s="729"/>
      <c r="N95" s="731"/>
      <c r="O95" s="33" t="s">
        <v>1165</v>
      </c>
    </row>
    <row r="96" spans="1:15" ht="12.75" x14ac:dyDescent="0.2">
      <c r="A96" s="9"/>
      <c r="B96" s="10"/>
      <c r="C96" s="9"/>
      <c r="D96" s="9"/>
      <c r="E96" s="9"/>
      <c r="F96" s="9"/>
      <c r="G96" s="9"/>
      <c r="H96" s="9"/>
      <c r="I96" s="9"/>
      <c r="J96" s="9"/>
      <c r="K96" s="9"/>
      <c r="L96" s="9"/>
      <c r="M96" s="9"/>
      <c r="N96" s="16"/>
    </row>
    <row r="97" spans="1:18" ht="12.75" x14ac:dyDescent="0.2">
      <c r="A97" s="1" t="s">
        <v>115</v>
      </c>
      <c r="B97" s="1" t="s">
        <v>115</v>
      </c>
      <c r="C97" s="1">
        <f t="shared" ref="C97:N97" si="13">SUM(C82:C96)</f>
        <v>0</v>
      </c>
      <c r="D97" s="1">
        <f t="shared" si="13"/>
        <v>3239</v>
      </c>
      <c r="E97" s="1">
        <f t="shared" si="13"/>
        <v>1962</v>
      </c>
      <c r="F97" s="1">
        <f t="shared" si="13"/>
        <v>5201</v>
      </c>
      <c r="G97" s="1">
        <f t="shared" si="13"/>
        <v>0</v>
      </c>
      <c r="H97" s="1">
        <f t="shared" si="13"/>
        <v>0</v>
      </c>
      <c r="I97" s="1">
        <f t="shared" si="13"/>
        <v>0</v>
      </c>
      <c r="J97" s="1">
        <f t="shared" si="13"/>
        <v>0</v>
      </c>
      <c r="K97" s="1">
        <f t="shared" si="13"/>
        <v>3239</v>
      </c>
      <c r="L97" s="1">
        <f t="shared" si="13"/>
        <v>1962</v>
      </c>
      <c r="M97" s="1">
        <f t="shared" si="13"/>
        <v>5201</v>
      </c>
      <c r="N97" s="1">
        <f t="shared" si="13"/>
        <v>-316480.85000000003</v>
      </c>
    </row>
    <row r="98" spans="1:18" ht="12.75" x14ac:dyDescent="0.2">
      <c r="A98" s="1"/>
      <c r="B98" s="1"/>
      <c r="C98" s="1"/>
      <c r="D98" s="1"/>
      <c r="E98" s="1"/>
      <c r="F98" s="1"/>
      <c r="G98" s="1"/>
      <c r="H98" s="1"/>
      <c r="I98" s="1"/>
      <c r="J98" s="1"/>
      <c r="K98" s="1"/>
      <c r="L98" s="1"/>
      <c r="M98" s="1"/>
      <c r="N98" s="1"/>
    </row>
    <row r="99" spans="1:18" ht="12.75" x14ac:dyDescent="0.2">
      <c r="A99" s="9" t="s">
        <v>114</v>
      </c>
      <c r="B99" s="10">
        <v>4177</v>
      </c>
      <c r="C99" s="9">
        <v>141.625</v>
      </c>
      <c r="D99" s="9">
        <v>395</v>
      </c>
      <c r="E99" s="9">
        <v>257</v>
      </c>
      <c r="F99" s="9">
        <f t="shared" ref="F99" si="14">SUM(C99:E99)</f>
        <v>793.625</v>
      </c>
      <c r="G99" s="9">
        <v>0</v>
      </c>
      <c r="H99" s="9">
        <v>25</v>
      </c>
      <c r="I99" s="9">
        <v>20</v>
      </c>
      <c r="J99" s="9">
        <f t="shared" ref="J99:K99" si="15">C99-G99</f>
        <v>141.625</v>
      </c>
      <c r="K99" s="9">
        <f t="shared" si="15"/>
        <v>370</v>
      </c>
      <c r="L99" s="9">
        <f>E99-I99</f>
        <v>237</v>
      </c>
      <c r="M99" s="9">
        <f>SUM(J99:L99)</f>
        <v>748.625</v>
      </c>
      <c r="N99" s="16">
        <f>SUM(J99*$J$1)+SUM(K99*$K$3)+SUM(L99*$L$4)</f>
        <v>-46471.561249999999</v>
      </c>
    </row>
    <row r="100" spans="1:18" ht="12.75" x14ac:dyDescent="0.2">
      <c r="A100" s="1"/>
      <c r="B100" s="1"/>
      <c r="C100" s="1"/>
      <c r="D100" s="1"/>
      <c r="E100" s="1"/>
      <c r="F100" s="1"/>
      <c r="G100" s="1"/>
      <c r="H100" s="1"/>
      <c r="I100" s="1"/>
      <c r="J100" s="1"/>
      <c r="K100" s="1"/>
      <c r="L100" s="1"/>
      <c r="M100" s="1"/>
      <c r="N100" s="1"/>
    </row>
    <row r="101" spans="1:18" ht="12.75" x14ac:dyDescent="0.2">
      <c r="A101" s="1" t="s">
        <v>848</v>
      </c>
      <c r="B101" s="1" t="s">
        <v>849</v>
      </c>
      <c r="C101" s="1">
        <f>C99</f>
        <v>141.625</v>
      </c>
      <c r="D101" s="1">
        <f t="shared" ref="D101:N101" si="16">D99</f>
        <v>395</v>
      </c>
      <c r="E101" s="1">
        <f t="shared" si="16"/>
        <v>257</v>
      </c>
      <c r="F101" s="1">
        <f t="shared" si="16"/>
        <v>793.625</v>
      </c>
      <c r="G101" s="1">
        <f t="shared" si="16"/>
        <v>0</v>
      </c>
      <c r="H101" s="1">
        <f t="shared" si="16"/>
        <v>25</v>
      </c>
      <c r="I101" s="1">
        <f t="shared" si="16"/>
        <v>20</v>
      </c>
      <c r="J101" s="1">
        <f t="shared" si="16"/>
        <v>141.625</v>
      </c>
      <c r="K101" s="1">
        <f t="shared" si="16"/>
        <v>370</v>
      </c>
      <c r="L101" s="1">
        <f t="shared" si="16"/>
        <v>237</v>
      </c>
      <c r="M101" s="1">
        <f t="shared" si="16"/>
        <v>748.625</v>
      </c>
      <c r="N101" s="1">
        <f t="shared" si="16"/>
        <v>-46471.561249999999</v>
      </c>
    </row>
    <row r="102" spans="1:18" ht="12.75" x14ac:dyDescent="0.2">
      <c r="A102" s="1"/>
      <c r="B102" s="10"/>
      <c r="C102" s="9"/>
      <c r="D102" s="9"/>
      <c r="E102" s="9"/>
      <c r="F102" s="9"/>
      <c r="G102" s="9"/>
      <c r="H102" s="9"/>
      <c r="I102" s="9"/>
      <c r="J102" s="9"/>
      <c r="K102" s="9"/>
      <c r="L102" s="9"/>
      <c r="M102" s="9"/>
      <c r="N102" s="16"/>
    </row>
    <row r="103" spans="1:18" ht="12.75" x14ac:dyDescent="0.2">
      <c r="A103" s="1" t="s">
        <v>116</v>
      </c>
      <c r="B103" s="1" t="s">
        <v>117</v>
      </c>
      <c r="C103" s="1">
        <f t="shared" ref="C103:N103" si="17">C101+C97+C80</f>
        <v>20331.541666666664</v>
      </c>
      <c r="D103" s="1">
        <f t="shared" si="17"/>
        <v>3634</v>
      </c>
      <c r="E103" s="1">
        <f t="shared" si="17"/>
        <v>2219</v>
      </c>
      <c r="F103" s="1">
        <f t="shared" si="17"/>
        <v>26184.541666666664</v>
      </c>
      <c r="G103" s="1">
        <f t="shared" si="17"/>
        <v>160</v>
      </c>
      <c r="H103" s="1">
        <f>H101+H97+H80</f>
        <v>25</v>
      </c>
      <c r="I103" s="1">
        <f t="shared" si="17"/>
        <v>20</v>
      </c>
      <c r="J103" s="1">
        <f t="shared" si="17"/>
        <v>20171.541666666664</v>
      </c>
      <c r="K103" s="1">
        <f t="shared" si="17"/>
        <v>3609</v>
      </c>
      <c r="L103" s="1">
        <f t="shared" si="17"/>
        <v>2199</v>
      </c>
      <c r="M103" s="1">
        <f t="shared" si="17"/>
        <v>25979.541666666664</v>
      </c>
      <c r="N103" s="1">
        <f t="shared" si="17"/>
        <v>-1711566.7004166665</v>
      </c>
    </row>
    <row r="104" spans="1:18" ht="12.75" x14ac:dyDescent="0.2">
      <c r="A104" s="989"/>
      <c r="B104" s="990"/>
      <c r="C104" s="9">
        <v>22555.041666666664</v>
      </c>
      <c r="D104" s="9">
        <v>8596</v>
      </c>
      <c r="E104" s="9">
        <v>5599</v>
      </c>
      <c r="F104" s="9">
        <v>36750.041666666664</v>
      </c>
      <c r="G104" s="9">
        <v>160</v>
      </c>
      <c r="H104" s="9">
        <v>43</v>
      </c>
      <c r="I104" s="9">
        <v>54</v>
      </c>
      <c r="J104" s="9">
        <v>22395.041666666664</v>
      </c>
      <c r="K104" s="9">
        <v>8553</v>
      </c>
      <c r="L104" s="9">
        <v>5545</v>
      </c>
      <c r="M104" s="9">
        <v>36493.041666666664</v>
      </c>
      <c r="N104" s="1"/>
      <c r="O104" s="1"/>
    </row>
    <row r="105" spans="1:18" ht="12.75" x14ac:dyDescent="0.2">
      <c r="B105" s="2" t="s">
        <v>1166</v>
      </c>
      <c r="C105" s="11">
        <v>1824.75</v>
      </c>
      <c r="D105" s="11">
        <v>4962</v>
      </c>
      <c r="E105" s="11">
        <v>3180</v>
      </c>
      <c r="F105" s="11">
        <v>9966.75</v>
      </c>
      <c r="G105" s="11">
        <v>0</v>
      </c>
      <c r="H105" s="11">
        <v>18</v>
      </c>
      <c r="I105" s="11">
        <v>34</v>
      </c>
      <c r="J105" s="11">
        <v>1824.75</v>
      </c>
      <c r="K105" s="11">
        <v>4944</v>
      </c>
      <c r="L105" s="11">
        <v>3146</v>
      </c>
      <c r="M105" s="11">
        <v>9914.75</v>
      </c>
      <c r="N105" s="11"/>
      <c r="O105" s="11"/>
    </row>
    <row r="106" spans="1:18" ht="12.75" x14ac:dyDescent="0.2">
      <c r="B106" s="2" t="s">
        <v>1167</v>
      </c>
      <c r="C106" s="11">
        <f>C104-C105</f>
        <v>20730.291666666664</v>
      </c>
      <c r="D106" s="11">
        <f t="shared" ref="D106:M106" si="18">D104-D105</f>
        <v>3634</v>
      </c>
      <c r="E106" s="11">
        <f t="shared" si="18"/>
        <v>2419</v>
      </c>
      <c r="F106" s="11">
        <f t="shared" si="18"/>
        <v>26783.291666666664</v>
      </c>
      <c r="G106" s="11">
        <f t="shared" si="18"/>
        <v>160</v>
      </c>
      <c r="H106" s="11">
        <f t="shared" si="18"/>
        <v>25</v>
      </c>
      <c r="I106" s="11">
        <f t="shared" si="18"/>
        <v>20</v>
      </c>
      <c r="J106" s="11">
        <f t="shared" si="18"/>
        <v>20570.291666666664</v>
      </c>
      <c r="K106" s="11">
        <f t="shared" si="18"/>
        <v>3609</v>
      </c>
      <c r="L106" s="11">
        <f t="shared" si="18"/>
        <v>2399</v>
      </c>
      <c r="M106" s="11">
        <f t="shared" si="18"/>
        <v>26578.291666666664</v>
      </c>
    </row>
    <row r="107" spans="1:18" ht="12.75" x14ac:dyDescent="0.2">
      <c r="B107" s="2" t="s">
        <v>855</v>
      </c>
      <c r="C107" s="11">
        <f>C106-C103</f>
        <v>398.75</v>
      </c>
      <c r="D107" s="11">
        <f t="shared" ref="D107:M107" si="19">D106-D103</f>
        <v>0</v>
      </c>
      <c r="E107" s="11">
        <f t="shared" si="19"/>
        <v>200</v>
      </c>
      <c r="F107" s="11">
        <f t="shared" si="19"/>
        <v>598.75</v>
      </c>
      <c r="G107" s="11">
        <f t="shared" si="19"/>
        <v>0</v>
      </c>
      <c r="H107" s="11">
        <f t="shared" si="19"/>
        <v>0</v>
      </c>
      <c r="I107" s="11">
        <f t="shared" si="19"/>
        <v>0</v>
      </c>
      <c r="J107" s="11">
        <f t="shared" si="19"/>
        <v>398.75</v>
      </c>
      <c r="K107" s="11">
        <f t="shared" si="19"/>
        <v>0</v>
      </c>
      <c r="L107" s="11">
        <f t="shared" si="19"/>
        <v>200</v>
      </c>
      <c r="M107" s="11">
        <f t="shared" si="19"/>
        <v>598.75</v>
      </c>
    </row>
    <row r="111" spans="1:18" ht="12.75" x14ac:dyDescent="0.2">
      <c r="A111" s="107" t="s">
        <v>1307</v>
      </c>
      <c r="B111" s="2" t="s">
        <v>1168</v>
      </c>
      <c r="C111" s="2" t="s">
        <v>1168</v>
      </c>
      <c r="E111" s="991" t="s">
        <v>1308</v>
      </c>
      <c r="F111" s="991" t="s">
        <v>1308</v>
      </c>
      <c r="G111" s="992" t="s">
        <v>147</v>
      </c>
      <c r="H111" s="993" t="s">
        <v>92</v>
      </c>
      <c r="I111" s="11" t="s">
        <v>1022</v>
      </c>
      <c r="J111" s="11" t="s">
        <v>835</v>
      </c>
      <c r="N111" s="14" t="s">
        <v>838</v>
      </c>
      <c r="O111" s="1087" t="s">
        <v>1022</v>
      </c>
      <c r="P111" s="1088" t="s">
        <v>1022</v>
      </c>
      <c r="Q111" s="1088" t="s">
        <v>147</v>
      </c>
      <c r="R111" s="1089" t="s">
        <v>92</v>
      </c>
    </row>
    <row r="112" spans="1:18" ht="12.75" x14ac:dyDescent="0.2">
      <c r="B112" s="21" t="s">
        <v>0</v>
      </c>
      <c r="C112" s="21" t="s">
        <v>1</v>
      </c>
      <c r="E112" s="994" t="s">
        <v>970</v>
      </c>
      <c r="F112" s="23" t="s">
        <v>971</v>
      </c>
      <c r="G112" s="23"/>
      <c r="H112" s="995"/>
      <c r="L112" s="11" t="s">
        <v>1309</v>
      </c>
      <c r="O112" s="1090" t="s">
        <v>970</v>
      </c>
      <c r="P112" s="926" t="s">
        <v>971</v>
      </c>
      <c r="Q112" s="926"/>
      <c r="R112" s="1091"/>
    </row>
    <row r="113" spans="1:19" ht="14.4" x14ac:dyDescent="0.25">
      <c r="A113" s="11" t="s">
        <v>592</v>
      </c>
      <c r="B113" s="376">
        <f>6.01</f>
        <v>6.01</v>
      </c>
      <c r="C113" s="376">
        <f>6.01</f>
        <v>6.01</v>
      </c>
      <c r="D113" s="11" t="s">
        <v>1310</v>
      </c>
      <c r="E113" s="994">
        <f>H114*B113</f>
        <v>121230.96541666664</v>
      </c>
      <c r="F113" s="23">
        <f>H117*C113</f>
        <v>34906.080000000002</v>
      </c>
      <c r="G113" s="11">
        <f>E113+F113</f>
        <v>156137.04541666666</v>
      </c>
      <c r="H113" s="23" t="s">
        <v>0</v>
      </c>
      <c r="I113" s="11">
        <v>153624.61499999999</v>
      </c>
      <c r="J113" s="11">
        <f>G113-I113</f>
        <v>2512.4304166666698</v>
      </c>
      <c r="K113" s="11" t="s">
        <v>1170</v>
      </c>
      <c r="L113" s="21">
        <f>J113/26055</f>
        <v>9.6427956886074445E-2</v>
      </c>
      <c r="N113" s="14">
        <v>181193.68268982976</v>
      </c>
      <c r="O113" s="1090">
        <v>118469.12</v>
      </c>
      <c r="P113" s="926">
        <v>35155.494999999995</v>
      </c>
      <c r="Q113" s="926">
        <v>153624.61499999999</v>
      </c>
      <c r="R113" s="1091" t="s">
        <v>0</v>
      </c>
    </row>
    <row r="114" spans="1:19" ht="15" x14ac:dyDescent="0.2">
      <c r="A114" s="733" t="s">
        <v>1311</v>
      </c>
      <c r="B114" s="1092">
        <v>3.5</v>
      </c>
      <c r="C114" s="1092">
        <v>3.5</v>
      </c>
      <c r="E114" s="994">
        <f>H114*B114</f>
        <v>70600.395833333328</v>
      </c>
      <c r="F114" s="23">
        <f>H117*C114</f>
        <v>20328</v>
      </c>
      <c r="G114" s="996">
        <f t="shared" ref="G114:G121" si="20">E114+F114</f>
        <v>90928.395833333328</v>
      </c>
      <c r="H114" s="23">
        <f>J103</f>
        <v>20171.541666666664</v>
      </c>
      <c r="I114" s="11">
        <v>89465.25</v>
      </c>
      <c r="J114" s="11">
        <f>G114-I114</f>
        <v>1463.1458333333285</v>
      </c>
      <c r="K114" s="11" t="s">
        <v>1170</v>
      </c>
      <c r="L114" s="21"/>
      <c r="N114" s="14">
        <v>66537.664462954446</v>
      </c>
      <c r="O114" s="1090">
        <v>68992</v>
      </c>
      <c r="P114" s="926">
        <v>20473.25</v>
      </c>
      <c r="Q114" s="926">
        <v>89465.25</v>
      </c>
      <c r="R114" s="995">
        <v>19712</v>
      </c>
      <c r="S114" s="11"/>
    </row>
    <row r="115" spans="1:19" ht="14.4" x14ac:dyDescent="0.25">
      <c r="A115" s="11" t="s">
        <v>594</v>
      </c>
      <c r="B115" s="376">
        <f>10.01</f>
        <v>10.01</v>
      </c>
      <c r="C115" s="376">
        <f>10.01</f>
        <v>10.01</v>
      </c>
      <c r="D115" s="11" t="s">
        <v>1312</v>
      </c>
      <c r="E115" s="994">
        <f>H114*B115</f>
        <v>201917.1320833333</v>
      </c>
      <c r="F115" s="23">
        <f>H117*C115</f>
        <v>58138.080000000002</v>
      </c>
      <c r="G115" s="996">
        <f t="shared" si="20"/>
        <v>260055.21208333329</v>
      </c>
      <c r="H115" s="23"/>
      <c r="I115" s="11">
        <v>255870.61499999999</v>
      </c>
      <c r="J115" s="11">
        <f t="shared" ref="J115:J120" si="21">G115-I115</f>
        <v>4184.5970833332976</v>
      </c>
      <c r="K115" s="11" t="s">
        <v>1170</v>
      </c>
      <c r="L115" s="21">
        <f>J115/26055</f>
        <v>0.16060629757563991</v>
      </c>
      <c r="N115" s="14">
        <v>329236.96855729405</v>
      </c>
      <c r="O115" s="1090">
        <v>197317.12</v>
      </c>
      <c r="P115" s="926">
        <v>58553.494999999995</v>
      </c>
      <c r="Q115" s="926">
        <v>255870.61499999999</v>
      </c>
      <c r="R115" s="995"/>
      <c r="S115" s="11"/>
    </row>
    <row r="116" spans="1:19" ht="15" x14ac:dyDescent="0.2">
      <c r="A116" s="11" t="s">
        <v>595</v>
      </c>
      <c r="B116" s="376">
        <v>3</v>
      </c>
      <c r="C116" s="376">
        <v>3</v>
      </c>
      <c r="E116" s="994">
        <f>H114*B116</f>
        <v>60514.624999999993</v>
      </c>
      <c r="F116" s="23">
        <f>H117*C116</f>
        <v>17424</v>
      </c>
      <c r="G116" s="11">
        <f t="shared" si="20"/>
        <v>77938.625</v>
      </c>
      <c r="H116" s="23" t="s">
        <v>1</v>
      </c>
      <c r="I116" s="11">
        <v>76684.5</v>
      </c>
      <c r="J116" s="11">
        <f t="shared" si="21"/>
        <v>1254.125</v>
      </c>
      <c r="K116" s="11" t="s">
        <v>1170</v>
      </c>
      <c r="L116" s="21"/>
      <c r="N116" s="14">
        <v>30381.991997502533</v>
      </c>
      <c r="O116" s="1090">
        <v>59136</v>
      </c>
      <c r="P116" s="926">
        <v>17548.5</v>
      </c>
      <c r="Q116" s="926">
        <v>76684.5</v>
      </c>
      <c r="R116" s="995" t="s">
        <v>1</v>
      </c>
      <c r="S116" s="11"/>
    </row>
    <row r="117" spans="1:19" ht="14.4" x14ac:dyDescent="0.25">
      <c r="A117" s="11" t="s">
        <v>1171</v>
      </c>
      <c r="B117" s="376">
        <v>21.14</v>
      </c>
      <c r="C117" s="376">
        <v>21.14</v>
      </c>
      <c r="E117" s="994">
        <f>H114*B117</f>
        <v>426426.39083333331</v>
      </c>
      <c r="F117" s="23">
        <f>H117*C117</f>
        <v>122781.12000000001</v>
      </c>
      <c r="G117" s="11">
        <f t="shared" si="20"/>
        <v>549207.51083333336</v>
      </c>
      <c r="H117" s="23">
        <f>K103+L103</f>
        <v>5808</v>
      </c>
      <c r="I117" s="11">
        <v>540370.11</v>
      </c>
      <c r="J117" s="11">
        <f t="shared" si="21"/>
        <v>8837.4008333333768</v>
      </c>
      <c r="K117" s="11" t="s">
        <v>1170</v>
      </c>
      <c r="L117" s="21"/>
      <c r="N117" s="14">
        <v>427843.44786148181</v>
      </c>
      <c r="O117" s="1090">
        <v>416711.67999999999</v>
      </c>
      <c r="P117" s="926">
        <v>123658.43000000001</v>
      </c>
      <c r="Q117" s="926">
        <v>540370.11</v>
      </c>
      <c r="R117" s="995">
        <v>5849.5</v>
      </c>
      <c r="S117" s="11"/>
    </row>
    <row r="118" spans="1:19" ht="15" x14ac:dyDescent="0.2">
      <c r="A118" s="11" t="s">
        <v>1313</v>
      </c>
      <c r="B118" s="376">
        <f>9.7</f>
        <v>9.6999999999999993</v>
      </c>
      <c r="C118" s="376">
        <f>9.7+2.23-2.23</f>
        <v>9.6999999999999993</v>
      </c>
      <c r="E118" s="994">
        <f>H114*B118</f>
        <v>195663.95416666663</v>
      </c>
      <c r="F118" s="23">
        <f>H117*C118</f>
        <v>56337.599999999999</v>
      </c>
      <c r="G118" s="11">
        <f t="shared" si="20"/>
        <v>252001.55416666664</v>
      </c>
      <c r="H118" s="995"/>
      <c r="I118" s="11">
        <v>260990.935</v>
      </c>
      <c r="J118" s="11">
        <f t="shared" si="21"/>
        <v>-8989.3808333333582</v>
      </c>
      <c r="K118" s="11" t="s">
        <v>1314</v>
      </c>
      <c r="L118" s="21"/>
      <c r="N118" s="14">
        <v>243524.00648734468</v>
      </c>
      <c r="O118" s="1090">
        <v>191206.39999999999</v>
      </c>
      <c r="P118" s="926">
        <v>69784.535000000003</v>
      </c>
      <c r="Q118" s="926">
        <v>260990.935</v>
      </c>
      <c r="R118" s="995"/>
      <c r="S118" s="11"/>
    </row>
    <row r="119" spans="1:19" ht="15" x14ac:dyDescent="0.2">
      <c r="A119" s="11" t="s">
        <v>1315</v>
      </c>
      <c r="B119" s="376">
        <f>1.56+4.29+6.73</f>
        <v>12.58</v>
      </c>
      <c r="C119" s="376">
        <f>1.56+5.93</f>
        <v>7.49</v>
      </c>
      <c r="E119" s="994">
        <f>H114*B119</f>
        <v>253757.99416666664</v>
      </c>
      <c r="F119" s="23">
        <f>H117*C119</f>
        <v>43501.919999999998</v>
      </c>
      <c r="G119" s="11">
        <f t="shared" si="20"/>
        <v>297259.91416666663</v>
      </c>
      <c r="H119" s="995"/>
      <c r="I119" s="11">
        <v>529767.28</v>
      </c>
      <c r="J119" s="11">
        <f t="shared" si="21"/>
        <v>-232507.3658333334</v>
      </c>
      <c r="K119" s="107" t="s">
        <v>1316</v>
      </c>
      <c r="L119" s="1093"/>
      <c r="N119" s="14">
        <v>466102.65741003223</v>
      </c>
      <c r="O119" s="1090">
        <v>431495.67999999999</v>
      </c>
      <c r="P119" s="926">
        <v>98271.6</v>
      </c>
      <c r="Q119" s="926">
        <v>529767.28</v>
      </c>
      <c r="R119" s="995"/>
      <c r="S119" s="11"/>
    </row>
    <row r="120" spans="1:19" ht="15" x14ac:dyDescent="0.2">
      <c r="A120" s="733" t="s">
        <v>1317</v>
      </c>
      <c r="B120" s="376">
        <f>1.39</f>
        <v>1.39</v>
      </c>
      <c r="C120" s="997">
        <v>0</v>
      </c>
      <c r="E120" s="994">
        <f>H114*B120</f>
        <v>28038.44291666666</v>
      </c>
      <c r="F120" s="23">
        <f>H117*C120</f>
        <v>0</v>
      </c>
      <c r="G120" s="996">
        <f>E120+F120</f>
        <v>28038.44291666666</v>
      </c>
      <c r="H120" s="995"/>
      <c r="I120" s="11">
        <v>27399.679999999997</v>
      </c>
      <c r="J120" s="11">
        <f t="shared" si="21"/>
        <v>638.76291666666293</v>
      </c>
      <c r="K120" s="11" t="s">
        <v>1170</v>
      </c>
      <c r="L120" s="21">
        <f>J120/26055</f>
        <v>2.4515943836755438E-2</v>
      </c>
      <c r="N120" s="14">
        <v>32387.525150943395</v>
      </c>
      <c r="O120" s="1090">
        <v>27399.679999999997</v>
      </c>
      <c r="P120" s="926">
        <v>0</v>
      </c>
      <c r="Q120" s="926">
        <v>27399.679999999997</v>
      </c>
      <c r="R120" s="995"/>
      <c r="S120" s="11"/>
    </row>
    <row r="121" spans="1:19" ht="12.75" x14ac:dyDescent="0.2">
      <c r="A121" s="11">
        <f>SUM(330000/406000)*11.93</f>
        <v>9.6967980295566498</v>
      </c>
      <c r="B121" s="998">
        <f>SUM(B113:B120)</f>
        <v>67.33</v>
      </c>
      <c r="C121" s="998">
        <f>SUM(C113:C120)</f>
        <v>60.85</v>
      </c>
      <c r="E121" s="994">
        <f>SUM(E113:E120)</f>
        <v>1358149.9004166664</v>
      </c>
      <c r="F121" s="23">
        <f>SUM(F113:F120)</f>
        <v>353416.8</v>
      </c>
      <c r="G121" s="11">
        <f t="shared" si="20"/>
        <v>1711566.7004166665</v>
      </c>
      <c r="H121" s="11">
        <f>SUM(H114:H120)</f>
        <v>25979.541666666664</v>
      </c>
      <c r="I121" s="23">
        <v>1934172.9849999996</v>
      </c>
      <c r="N121" s="14">
        <v>1777207.9446173829</v>
      </c>
      <c r="O121" s="1094">
        <v>1510727.6799999997</v>
      </c>
      <c r="P121" s="1095">
        <v>423445.30499999993</v>
      </c>
      <c r="Q121" s="1095">
        <v>1934172.9849999996</v>
      </c>
      <c r="R121" s="1001">
        <v>25561.5</v>
      </c>
      <c r="S121" s="11"/>
    </row>
    <row r="122" spans="1:19" ht="12.75" x14ac:dyDescent="0.2">
      <c r="E122" s="999"/>
      <c r="F122" s="1000"/>
      <c r="G122" s="1000"/>
      <c r="H122" s="1001"/>
      <c r="R122" s="11"/>
      <c r="S122" s="11"/>
    </row>
    <row r="123" spans="1:19" ht="12.75" x14ac:dyDescent="0.2">
      <c r="J123" s="11" t="s">
        <v>1172</v>
      </c>
    </row>
    <row r="124" spans="1:19" ht="12.75" x14ac:dyDescent="0.2">
      <c r="A124" s="11" t="s">
        <v>1173</v>
      </c>
      <c r="E124" s="991" t="s">
        <v>1022</v>
      </c>
      <c r="F124" s="991" t="s">
        <v>1022</v>
      </c>
      <c r="G124" s="992" t="s">
        <v>147</v>
      </c>
      <c r="H124" s="993" t="s">
        <v>92</v>
      </c>
      <c r="J124" s="21"/>
    </row>
    <row r="125" spans="1:19" ht="12.75" x14ac:dyDescent="0.2">
      <c r="A125" s="11" t="s">
        <v>1174</v>
      </c>
      <c r="B125" s="21" t="s">
        <v>0</v>
      </c>
      <c r="C125" s="21" t="s">
        <v>1</v>
      </c>
      <c r="E125" s="994" t="s">
        <v>970</v>
      </c>
      <c r="F125" s="23" t="s">
        <v>971</v>
      </c>
      <c r="G125" s="23"/>
      <c r="H125" s="995"/>
    </row>
    <row r="126" spans="1:19" ht="15" x14ac:dyDescent="0.2">
      <c r="A126" s="11" t="s">
        <v>592</v>
      </c>
      <c r="B126" s="376">
        <v>0</v>
      </c>
      <c r="C126" s="376">
        <v>0</v>
      </c>
      <c r="E126" s="994">
        <f>H127*B126</f>
        <v>0</v>
      </c>
      <c r="F126" s="23">
        <f>H130*C126</f>
        <v>0</v>
      </c>
      <c r="G126" s="11">
        <f>E126+F126</f>
        <v>0</v>
      </c>
      <c r="H126" s="23" t="s">
        <v>0</v>
      </c>
    </row>
    <row r="127" spans="1:19" ht="15" x14ac:dyDescent="0.2">
      <c r="A127" s="11" t="s">
        <v>593</v>
      </c>
      <c r="B127" s="377">
        <v>0</v>
      </c>
      <c r="C127" s="377">
        <v>0</v>
      </c>
      <c r="E127" s="994">
        <f>H127*B127</f>
        <v>0</v>
      </c>
      <c r="F127" s="23">
        <f>H130*C127</f>
        <v>0</v>
      </c>
      <c r="G127" s="11">
        <f t="shared" ref="G127:G134" si="22">E127+F127</f>
        <v>0</v>
      </c>
      <c r="H127" s="23">
        <v>1643.75</v>
      </c>
    </row>
    <row r="128" spans="1:19" ht="15" x14ac:dyDescent="0.2">
      <c r="A128" s="11" t="s">
        <v>594</v>
      </c>
      <c r="B128" s="376">
        <v>0</v>
      </c>
      <c r="C128" s="376">
        <v>0</v>
      </c>
      <c r="E128" s="994">
        <f>H127*B128</f>
        <v>0</v>
      </c>
      <c r="F128" s="23">
        <f>H130*C128</f>
        <v>0</v>
      </c>
      <c r="G128" s="11">
        <f t="shared" si="22"/>
        <v>0</v>
      </c>
      <c r="H128" s="23"/>
    </row>
    <row r="129" spans="1:15" ht="15" x14ac:dyDescent="0.2">
      <c r="A129" s="11" t="s">
        <v>595</v>
      </c>
      <c r="B129" s="376">
        <v>0</v>
      </c>
      <c r="C129" s="376">
        <v>0</v>
      </c>
      <c r="E129" s="994">
        <f>H127*B129</f>
        <v>0</v>
      </c>
      <c r="F129" s="23">
        <f>H130*C129</f>
        <v>0</v>
      </c>
      <c r="G129" s="11">
        <f t="shared" si="22"/>
        <v>0</v>
      </c>
      <c r="H129" s="23" t="s">
        <v>1</v>
      </c>
    </row>
    <row r="130" spans="1:15" ht="15" x14ac:dyDescent="0.2">
      <c r="A130" s="11" t="s">
        <v>596</v>
      </c>
      <c r="B130" s="376">
        <v>0</v>
      </c>
      <c r="C130" s="376">
        <v>0</v>
      </c>
      <c r="E130" s="994">
        <f>H127*B130</f>
        <v>0</v>
      </c>
      <c r="F130" s="23">
        <f>H130*C130</f>
        <v>0</v>
      </c>
      <c r="G130" s="11">
        <f t="shared" si="22"/>
        <v>0</v>
      </c>
      <c r="H130" s="23">
        <v>7260</v>
      </c>
    </row>
    <row r="131" spans="1:15" ht="15" x14ac:dyDescent="0.2">
      <c r="A131" s="11" t="s">
        <v>599</v>
      </c>
      <c r="B131" s="982">
        <f>SUM(330000/406000)*11.93</f>
        <v>9.6967980295566498</v>
      </c>
      <c r="C131" s="376">
        <v>11.93</v>
      </c>
      <c r="E131" s="994">
        <f>H127*B131</f>
        <v>15939.111761083743</v>
      </c>
      <c r="F131" s="23">
        <f>H130*C131</f>
        <v>86611.8</v>
      </c>
      <c r="G131" s="11">
        <f t="shared" si="22"/>
        <v>102550.91176108374</v>
      </c>
      <c r="H131" s="995"/>
    </row>
    <row r="132" spans="1:15" ht="15" x14ac:dyDescent="0.2">
      <c r="A132" s="11" t="s">
        <v>1175</v>
      </c>
      <c r="B132" s="376">
        <v>1.56</v>
      </c>
      <c r="C132" s="376">
        <f>1.56+5.93</f>
        <v>7.49</v>
      </c>
      <c r="E132" s="994">
        <f>H127*B132</f>
        <v>2564.25</v>
      </c>
      <c r="F132" s="23">
        <f>H130*C132</f>
        <v>54377.4</v>
      </c>
      <c r="G132" s="11">
        <f t="shared" si="22"/>
        <v>56941.65</v>
      </c>
      <c r="H132" s="995"/>
    </row>
    <row r="133" spans="1:15" ht="15" x14ac:dyDescent="0.2">
      <c r="A133" s="11" t="s">
        <v>598</v>
      </c>
      <c r="B133" s="376">
        <v>0</v>
      </c>
      <c r="C133" s="376">
        <v>0</v>
      </c>
      <c r="E133" s="994">
        <f>H127*B133</f>
        <v>0</v>
      </c>
      <c r="F133" s="23">
        <f>H130*C133</f>
        <v>0</v>
      </c>
      <c r="G133" s="11">
        <f t="shared" si="22"/>
        <v>0</v>
      </c>
      <c r="H133" s="995"/>
    </row>
    <row r="134" spans="1:15" ht="12.75" x14ac:dyDescent="0.2">
      <c r="B134" s="998">
        <f>SUM(B126:B133)</f>
        <v>11.25679802955665</v>
      </c>
      <c r="C134" s="998">
        <f>SUM(C126:C133)</f>
        <v>19.420000000000002</v>
      </c>
      <c r="E134" s="994">
        <f>SUM(E126:E133)</f>
        <v>18503.361761083743</v>
      </c>
      <c r="F134" s="23">
        <f>SUM(F126:F133)</f>
        <v>140989.20000000001</v>
      </c>
      <c r="G134" s="11">
        <f t="shared" si="22"/>
        <v>159492.56176108375</v>
      </c>
      <c r="H134" s="11">
        <f>SUM(H127:H133)</f>
        <v>8903.75</v>
      </c>
    </row>
    <row r="135" spans="1:15" ht="12.75" x14ac:dyDescent="0.2">
      <c r="E135" s="999"/>
      <c r="F135" s="1000"/>
      <c r="G135" s="1000"/>
      <c r="H135" s="1001"/>
    </row>
    <row r="136" spans="1:15" ht="12.75" x14ac:dyDescent="0.2">
      <c r="G136" s="11">
        <f>G134+G121</f>
        <v>1871059.2621777502</v>
      </c>
    </row>
    <row r="138" spans="1:15" ht="12.75" x14ac:dyDescent="0.2">
      <c r="A138" s="1002"/>
      <c r="B138" s="1003"/>
      <c r="C138" s="1002"/>
      <c r="D138" s="1002"/>
      <c r="E138" s="1002"/>
      <c r="F138" s="1002"/>
      <c r="G138" s="1002"/>
      <c r="H138" s="1002"/>
    </row>
    <row r="139" spans="1:15" ht="12.75" x14ac:dyDescent="0.2">
      <c r="A139" s="1002"/>
      <c r="B139" s="1003"/>
      <c r="C139" s="1002"/>
      <c r="D139" s="1002"/>
      <c r="E139" s="1004"/>
      <c r="F139" s="1005"/>
      <c r="G139" s="1005" t="s">
        <v>147</v>
      </c>
      <c r="H139" s="1006" t="s">
        <v>92</v>
      </c>
      <c r="I139" s="11" t="s">
        <v>1176</v>
      </c>
    </row>
    <row r="140" spans="1:15" x14ac:dyDescent="0.25">
      <c r="A140" s="1002" t="s">
        <v>1177</v>
      </c>
      <c r="B140" s="1007" t="s">
        <v>0</v>
      </c>
      <c r="C140" s="1007" t="s">
        <v>1</v>
      </c>
      <c r="D140" s="1002"/>
      <c r="E140" s="1008" t="s">
        <v>970</v>
      </c>
      <c r="F140" s="1009" t="s">
        <v>971</v>
      </c>
      <c r="G140" s="1009"/>
      <c r="H140" s="1010"/>
      <c r="I140" s="11" t="s">
        <v>1178</v>
      </c>
      <c r="J140" s="11" t="s">
        <v>1179</v>
      </c>
    </row>
    <row r="141" spans="1:15" ht="15" x14ac:dyDescent="0.2">
      <c r="A141" s="1002" t="s">
        <v>592</v>
      </c>
      <c r="B141" s="1011">
        <v>7.2730731707317089</v>
      </c>
      <c r="C141" s="1011">
        <v>6.6577358490566034</v>
      </c>
      <c r="D141" s="1002"/>
      <c r="E141" s="1008">
        <f>H142*B141</f>
        <v>146709.09850813009</v>
      </c>
      <c r="F141" s="1009">
        <f>H145*C141</f>
        <v>38668.129811320752</v>
      </c>
      <c r="G141" s="1002">
        <f>E141+F141</f>
        <v>185377.22831945083</v>
      </c>
      <c r="H141" s="1009" t="s">
        <v>0</v>
      </c>
      <c r="I141" s="11">
        <f>J$142*B141+J$145*C141</f>
        <v>181193.68268982976</v>
      </c>
      <c r="J141" s="11" t="s">
        <v>0</v>
      </c>
      <c r="O141" s="11"/>
    </row>
    <row r="142" spans="1:15" ht="15" x14ac:dyDescent="0.2">
      <c r="A142" s="1002" t="s">
        <v>593</v>
      </c>
      <c r="B142" s="1012">
        <v>3.1462439024390245</v>
      </c>
      <c r="C142" s="1012">
        <v>0.80015094339622639</v>
      </c>
      <c r="D142" s="1002"/>
      <c r="E142" s="1008">
        <f>H142*B142</f>
        <v>63464.589971544709</v>
      </c>
      <c r="F142" s="1009">
        <f>H145*C142</f>
        <v>4647.276679245283</v>
      </c>
      <c r="G142" s="1002">
        <f t="shared" ref="G142:G149" si="23">E142+F142</f>
        <v>68111.866650789991</v>
      </c>
      <c r="H142" s="1009">
        <f>J103</f>
        <v>20171.541666666664</v>
      </c>
      <c r="I142" s="11">
        <f t="shared" ref="I142:I149" si="24">J$142*B142+J$145*C142</f>
        <v>66537.664462954446</v>
      </c>
      <c r="J142" s="11">
        <v>19700</v>
      </c>
      <c r="O142" s="11"/>
    </row>
    <row r="143" spans="1:15" ht="15" x14ac:dyDescent="0.2">
      <c r="A143" s="1002" t="s">
        <v>594</v>
      </c>
      <c r="B143" s="1011">
        <v>12.488243902439024</v>
      </c>
      <c r="C143" s="1011">
        <v>14.613207547169811</v>
      </c>
      <c r="D143" s="1002"/>
      <c r="E143" s="1008">
        <f>H142*B143</f>
        <v>251907.13222154469</v>
      </c>
      <c r="F143" s="1009">
        <f>H145*C143</f>
        <v>84873.509433962259</v>
      </c>
      <c r="G143" s="1002">
        <f t="shared" si="23"/>
        <v>336780.64165550692</v>
      </c>
      <c r="H143" s="1009"/>
      <c r="I143" s="11">
        <f t="shared" si="24"/>
        <v>329236.96855729405</v>
      </c>
    </row>
    <row r="144" spans="1:15" ht="15" x14ac:dyDescent="0.2">
      <c r="A144" s="1002" t="s">
        <v>595</v>
      </c>
      <c r="B144" s="1011">
        <v>1.1963887022909276</v>
      </c>
      <c r="C144" s="1011">
        <v>1.1963887022909274</v>
      </c>
      <c r="D144" s="1002"/>
      <c r="E144" s="1008">
        <f>H142*B144</f>
        <v>24133.004557790708</v>
      </c>
      <c r="F144" s="1009">
        <f>H145*C144</f>
        <v>6948.6255829057063</v>
      </c>
      <c r="G144" s="1002">
        <f t="shared" si="23"/>
        <v>31081.630140696412</v>
      </c>
      <c r="H144" s="1009" t="s">
        <v>1</v>
      </c>
      <c r="I144" s="11">
        <f t="shared" si="24"/>
        <v>30381.991997502533</v>
      </c>
      <c r="J144" s="1013" t="s">
        <v>1</v>
      </c>
    </row>
    <row r="145" spans="1:16" ht="15" x14ac:dyDescent="0.2">
      <c r="A145" s="1002" t="s">
        <v>596</v>
      </c>
      <c r="B145" s="1011">
        <v>16.530390243902438</v>
      </c>
      <c r="C145" s="1011">
        <v>17.945433962264151</v>
      </c>
      <c r="D145" s="1002"/>
      <c r="E145" s="1008">
        <f>H142*B145</f>
        <v>333443.45557113818</v>
      </c>
      <c r="F145" s="1009">
        <f>H145*C145</f>
        <v>104227.08045283018</v>
      </c>
      <c r="G145" s="1002">
        <f t="shared" si="23"/>
        <v>437670.53602396837</v>
      </c>
      <c r="H145" s="1009">
        <f>K103+L103</f>
        <v>5808</v>
      </c>
      <c r="I145" s="11">
        <f t="shared" si="24"/>
        <v>427843.44786148181</v>
      </c>
      <c r="J145" s="11">
        <v>5694.75</v>
      </c>
    </row>
    <row r="146" spans="1:16" ht="15" x14ac:dyDescent="0.2">
      <c r="A146" s="1002" t="s">
        <v>599</v>
      </c>
      <c r="B146" s="1011">
        <v>9.6361951219512196</v>
      </c>
      <c r="C146" s="1011">
        <v>9.4281509433962256</v>
      </c>
      <c r="D146" s="1002"/>
      <c r="E146" s="1008">
        <f>H142*B146</f>
        <v>194376.9114105691</v>
      </c>
      <c r="F146" s="1009">
        <f>H145*C146</f>
        <v>54758.700679245281</v>
      </c>
      <c r="G146" s="1002">
        <f t="shared" si="23"/>
        <v>249135.61208981439</v>
      </c>
      <c r="H146" s="1010"/>
      <c r="I146" s="11">
        <f t="shared" si="24"/>
        <v>243524.00648734468</v>
      </c>
      <c r="N146" s="14" t="s">
        <v>1180</v>
      </c>
      <c r="O146" s="30" t="s">
        <v>597</v>
      </c>
    </row>
    <row r="147" spans="1:16" ht="15" x14ac:dyDescent="0.2">
      <c r="A147" s="1002" t="s">
        <v>597</v>
      </c>
      <c r="B147" s="1011">
        <v>21.212878048780489</v>
      </c>
      <c r="C147" s="1011">
        <v>8.4655094339622661</v>
      </c>
      <c r="D147" s="1002"/>
      <c r="E147" s="1008">
        <f>H142*B147</f>
        <v>427896.4534308943</v>
      </c>
      <c r="F147" s="1009">
        <f>H145*C147</f>
        <v>49167.67879245284</v>
      </c>
      <c r="G147" s="1002">
        <f t="shared" si="23"/>
        <v>477064.13222334714</v>
      </c>
      <c r="H147" s="1010"/>
      <c r="I147" s="11">
        <f t="shared" si="24"/>
        <v>466102.65741003223</v>
      </c>
      <c r="N147" s="927">
        <v>14.460439024390244</v>
      </c>
      <c r="O147" s="21">
        <v>6.7524390243902435</v>
      </c>
      <c r="P147" s="16">
        <f>N147+O147</f>
        <v>21.212878048780489</v>
      </c>
    </row>
    <row r="148" spans="1:16" ht="15" x14ac:dyDescent="0.2">
      <c r="A148" s="1002" t="s">
        <v>598</v>
      </c>
      <c r="B148" s="1011">
        <v>1.53</v>
      </c>
      <c r="C148" s="1011">
        <v>0.39449056603773586</v>
      </c>
      <c r="D148" s="1002"/>
      <c r="E148" s="1008">
        <f>H142*B148</f>
        <v>30862.458749999998</v>
      </c>
      <c r="F148" s="1009">
        <f>H145*C148</f>
        <v>2291.2012075471698</v>
      </c>
      <c r="G148" s="1002">
        <f t="shared" si="23"/>
        <v>33153.65995754717</v>
      </c>
      <c r="H148" s="1010"/>
      <c r="I148" s="11">
        <f t="shared" si="24"/>
        <v>32387.525150943395</v>
      </c>
      <c r="J148" s="1013"/>
      <c r="N148" s="927">
        <v>8.4655094339622643</v>
      </c>
      <c r="O148" s="21">
        <v>0</v>
      </c>
      <c r="P148" s="16">
        <f>N148+O148</f>
        <v>8.4655094339622643</v>
      </c>
    </row>
    <row r="149" spans="1:16" ht="12.75" x14ac:dyDescent="0.2">
      <c r="A149" s="1002"/>
      <c r="B149" s="1014">
        <f>SUM(B141:B148)</f>
        <v>73.013413092534819</v>
      </c>
      <c r="C149" s="1014">
        <f>SUM(C141:C148)</f>
        <v>59.501067947573951</v>
      </c>
      <c r="D149" s="1002"/>
      <c r="E149" s="1008">
        <f>SUM(E141:E148)</f>
        <v>1472793.1044216116</v>
      </c>
      <c r="F149" s="1009">
        <f>SUM(F141:F148)</f>
        <v>345582.20263950946</v>
      </c>
      <c r="G149" s="1002">
        <f t="shared" si="23"/>
        <v>1818375.3070611211</v>
      </c>
      <c r="H149" s="1002">
        <f>SUM(H142:H148)</f>
        <v>25979.541666666664</v>
      </c>
      <c r="I149" s="11">
        <f t="shared" si="24"/>
        <v>1777207.9446173827</v>
      </c>
      <c r="J149" s="11">
        <v>25394.75</v>
      </c>
    </row>
    <row r="150" spans="1:16" ht="12.75" x14ac:dyDescent="0.2">
      <c r="A150" s="1002"/>
      <c r="B150" s="1003"/>
      <c r="C150" s="1002"/>
      <c r="D150" s="1002"/>
      <c r="E150" s="1015"/>
      <c r="F150" s="1016"/>
      <c r="G150" s="1016"/>
      <c r="H150" s="1017"/>
      <c r="K150" s="11" t="s">
        <v>1181</v>
      </c>
    </row>
    <row r="152" spans="1:16" ht="12.75" x14ac:dyDescent="0.2">
      <c r="A152" s="733" t="s">
        <v>1182</v>
      </c>
      <c r="B152" s="2" t="s">
        <v>1168</v>
      </c>
      <c r="C152" s="2" t="s">
        <v>1168</v>
      </c>
      <c r="E152" s="991" t="s">
        <v>1022</v>
      </c>
      <c r="F152" s="991" t="s">
        <v>1022</v>
      </c>
      <c r="G152" s="992" t="s">
        <v>147</v>
      </c>
      <c r="H152" s="993" t="s">
        <v>92</v>
      </c>
    </row>
    <row r="153" spans="1:16" ht="12.75" x14ac:dyDescent="0.2">
      <c r="A153" s="11" t="s">
        <v>1169</v>
      </c>
      <c r="B153" s="21" t="s">
        <v>0</v>
      </c>
      <c r="C153" s="21" t="s">
        <v>1</v>
      </c>
      <c r="E153" s="994" t="s">
        <v>970</v>
      </c>
      <c r="F153" s="23" t="s">
        <v>971</v>
      </c>
      <c r="G153" s="23"/>
      <c r="H153" s="995"/>
    </row>
    <row r="154" spans="1:16" ht="15" x14ac:dyDescent="0.2">
      <c r="A154" s="11" t="s">
        <v>592</v>
      </c>
      <c r="B154" s="376">
        <v>6.01</v>
      </c>
      <c r="C154" s="376">
        <v>6.01</v>
      </c>
      <c r="E154" s="994">
        <f>H155*B154</f>
        <v>121230.96541666664</v>
      </c>
      <c r="F154" s="23">
        <f>H158*C154</f>
        <v>34906.080000000002</v>
      </c>
      <c r="G154" s="11">
        <f>E154+F154</f>
        <v>156137.04541666666</v>
      </c>
      <c r="H154" s="23" t="s">
        <v>0</v>
      </c>
    </row>
    <row r="155" spans="1:16" ht="15" x14ac:dyDescent="0.2">
      <c r="A155" s="11" t="s">
        <v>593</v>
      </c>
      <c r="B155" s="377">
        <v>3.5</v>
      </c>
      <c r="C155" s="377">
        <v>3.5</v>
      </c>
      <c r="E155" s="994">
        <f>H155*B155</f>
        <v>70600.395833333328</v>
      </c>
      <c r="F155" s="23">
        <f>H158*C155</f>
        <v>20328</v>
      </c>
      <c r="G155" s="11">
        <f t="shared" ref="G155:G162" si="25">E155+F155</f>
        <v>90928.395833333328</v>
      </c>
      <c r="H155" s="23">
        <f>J103</f>
        <v>20171.541666666664</v>
      </c>
    </row>
    <row r="156" spans="1:16" ht="15" x14ac:dyDescent="0.2">
      <c r="A156" s="11" t="s">
        <v>594</v>
      </c>
      <c r="B156" s="376">
        <v>10.01</v>
      </c>
      <c r="C156" s="376">
        <v>10.01</v>
      </c>
      <c r="E156" s="994">
        <f>H155*B156</f>
        <v>201917.1320833333</v>
      </c>
      <c r="F156" s="23">
        <f>H158*C156</f>
        <v>58138.080000000002</v>
      </c>
      <c r="G156" s="11">
        <f t="shared" si="25"/>
        <v>260055.21208333329</v>
      </c>
      <c r="H156" s="23"/>
    </row>
    <row r="157" spans="1:16" ht="15" x14ac:dyDescent="0.2">
      <c r="A157" s="11" t="s">
        <v>595</v>
      </c>
      <c r="B157" s="376">
        <v>3</v>
      </c>
      <c r="C157" s="376">
        <v>3</v>
      </c>
      <c r="E157" s="994">
        <f>H155*B157</f>
        <v>60514.624999999993</v>
      </c>
      <c r="F157" s="23">
        <f>H158*C157</f>
        <v>17424</v>
      </c>
      <c r="G157" s="11">
        <f t="shared" si="25"/>
        <v>77938.625</v>
      </c>
      <c r="H157" s="23" t="s">
        <v>1</v>
      </c>
    </row>
    <row r="158" spans="1:16" ht="15" x14ac:dyDescent="0.2">
      <c r="A158" s="11" t="s">
        <v>596</v>
      </c>
      <c r="B158" s="376">
        <v>21.14</v>
      </c>
      <c r="C158" s="376">
        <v>21.14</v>
      </c>
      <c r="E158" s="994">
        <f>H155*B158</f>
        <v>426426.39083333331</v>
      </c>
      <c r="F158" s="23">
        <f>H158*C158</f>
        <v>122781.12000000001</v>
      </c>
      <c r="G158" s="11">
        <f t="shared" si="25"/>
        <v>549207.51083333336</v>
      </c>
      <c r="H158" s="23">
        <f>K103+L103</f>
        <v>5808</v>
      </c>
    </row>
    <row r="159" spans="1:16" ht="15" x14ac:dyDescent="0.2">
      <c r="A159" s="11" t="s">
        <v>599</v>
      </c>
      <c r="B159" s="376">
        <f>11.93</f>
        <v>11.93</v>
      </c>
      <c r="C159" s="376">
        <v>11.93</v>
      </c>
      <c r="E159" s="994">
        <f>H155*B159</f>
        <v>240646.49208333329</v>
      </c>
      <c r="F159" s="23">
        <f>H158*C159</f>
        <v>69289.440000000002</v>
      </c>
      <c r="G159" s="11">
        <f t="shared" si="25"/>
        <v>309935.93208333326</v>
      </c>
      <c r="H159" s="995"/>
    </row>
    <row r="160" spans="1:16" ht="15" x14ac:dyDescent="0.2">
      <c r="A160" s="11" t="s">
        <v>597</v>
      </c>
      <c r="B160" s="376">
        <f>9.31+1.56+4.29+6.73</f>
        <v>21.89</v>
      </c>
      <c r="C160" s="376">
        <f>9.31+1.56+5.93</f>
        <v>16.8</v>
      </c>
      <c r="E160" s="994">
        <f>H155*B160</f>
        <v>441555.04708333331</v>
      </c>
      <c r="F160" s="23">
        <f>H158*C160</f>
        <v>97574.400000000009</v>
      </c>
      <c r="G160" s="11">
        <f t="shared" si="25"/>
        <v>539129.44708333327</v>
      </c>
      <c r="H160" s="995"/>
    </row>
    <row r="161" spans="1:14" ht="15" x14ac:dyDescent="0.2">
      <c r="A161" s="11" t="s">
        <v>598</v>
      </c>
      <c r="B161" s="376">
        <v>1.39</v>
      </c>
      <c r="C161" s="376">
        <v>1.39</v>
      </c>
      <c r="E161" s="994">
        <f>H155*B161</f>
        <v>28038.44291666666</v>
      </c>
      <c r="F161" s="23">
        <f>H158*C161</f>
        <v>8073.119999999999</v>
      </c>
      <c r="G161" s="11">
        <f t="shared" si="25"/>
        <v>36111.562916666662</v>
      </c>
      <c r="H161" s="995"/>
      <c r="I161" s="30"/>
      <c r="J161" s="30"/>
      <c r="K161" s="30"/>
      <c r="L161" s="30"/>
      <c r="M161" s="30"/>
      <c r="N161" s="30"/>
    </row>
    <row r="162" spans="1:14" ht="12.75" x14ac:dyDescent="0.2">
      <c r="B162" s="998">
        <f>SUM(B154:B161)</f>
        <v>78.86999999999999</v>
      </c>
      <c r="C162" s="998">
        <f>SUM(C154:C161)</f>
        <v>73.78</v>
      </c>
      <c r="E162" s="994">
        <f>SUM(E154:E161)</f>
        <v>1590929.4912499997</v>
      </c>
      <c r="F162" s="23">
        <f>SUM(F154:F161)</f>
        <v>428514.24000000005</v>
      </c>
      <c r="G162" s="11">
        <f t="shared" si="25"/>
        <v>2019443.7312499997</v>
      </c>
      <c r="H162" s="11">
        <f>SUM(H155:H161)</f>
        <v>25979.541666666664</v>
      </c>
      <c r="I162" s="30"/>
      <c r="J162" s="30"/>
      <c r="K162" s="30"/>
      <c r="L162" s="30"/>
      <c r="M162" s="30"/>
      <c r="N162" s="30"/>
    </row>
    <row r="163" spans="1:14" ht="12.75" x14ac:dyDescent="0.2">
      <c r="E163" s="999"/>
      <c r="F163" s="1000"/>
      <c r="G163" s="1000"/>
      <c r="H163" s="1001"/>
      <c r="I163" s="30"/>
      <c r="J163" s="30"/>
      <c r="K163" s="30"/>
      <c r="L163" s="30"/>
      <c r="M163" s="30"/>
      <c r="N163" s="30"/>
    </row>
    <row r="165" spans="1:14" ht="12.75" x14ac:dyDescent="0.2">
      <c r="I165" s="30"/>
      <c r="J165" s="30"/>
      <c r="K165" s="30"/>
      <c r="L165" s="30"/>
      <c r="M165" s="30"/>
      <c r="N165" s="30"/>
    </row>
    <row r="170" spans="1:14" ht="12.75" x14ac:dyDescent="0.2">
      <c r="A170" s="59" t="s">
        <v>238</v>
      </c>
      <c r="B170" s="59">
        <v>206189</v>
      </c>
    </row>
    <row r="171" spans="1:14" ht="12.75" x14ac:dyDescent="0.2">
      <c r="A171" s="59" t="s">
        <v>1301</v>
      </c>
      <c r="B171" s="59">
        <v>2014</v>
      </c>
    </row>
    <row r="172" spans="1:14" ht="12.75" x14ac:dyDescent="0.2">
      <c r="A172" s="59" t="s">
        <v>10</v>
      </c>
      <c r="B172" s="59">
        <v>2012</v>
      </c>
    </row>
    <row r="173" spans="1:14" ht="12.75" x14ac:dyDescent="0.2">
      <c r="A173" s="59" t="s">
        <v>73</v>
      </c>
      <c r="B173" s="59">
        <v>5414</v>
      </c>
    </row>
    <row r="174" spans="1:14" ht="12.75" x14ac:dyDescent="0.2">
      <c r="A174" s="59" t="s">
        <v>846</v>
      </c>
      <c r="B174" s="59">
        <v>4000</v>
      </c>
    </row>
    <row r="175" spans="1:14" ht="12.75" x14ac:dyDescent="0.2">
      <c r="A175" s="59" t="s">
        <v>11</v>
      </c>
      <c r="B175" s="59">
        <v>2443</v>
      </c>
    </row>
    <row r="176" spans="1:14" ht="12.75" x14ac:dyDescent="0.2">
      <c r="A176" s="59" t="s">
        <v>94</v>
      </c>
      <c r="B176" s="59">
        <v>2442</v>
      </c>
    </row>
    <row r="177" spans="1:14" ht="12.75" x14ac:dyDescent="0.2">
      <c r="A177" s="59" t="s">
        <v>241</v>
      </c>
      <c r="B177" s="59" t="s">
        <v>242</v>
      </c>
    </row>
    <row r="178" spans="1:14" ht="12.75" x14ac:dyDescent="0.2">
      <c r="A178" s="59" t="s">
        <v>13</v>
      </c>
      <c r="B178" s="59">
        <v>2629</v>
      </c>
    </row>
    <row r="179" spans="1:14" ht="12.75" x14ac:dyDescent="0.2">
      <c r="A179" s="59" t="s">
        <v>14</v>
      </c>
      <c r="B179" s="59">
        <v>2509</v>
      </c>
    </row>
    <row r="180" spans="1:14" ht="12.75" x14ac:dyDescent="0.2">
      <c r="A180" s="59" t="s">
        <v>2</v>
      </c>
      <c r="B180" s="59">
        <v>1014</v>
      </c>
    </row>
    <row r="181" spans="1:14" ht="12.75" x14ac:dyDescent="0.2">
      <c r="A181" s="59" t="s">
        <v>15</v>
      </c>
      <c r="B181" s="59">
        <v>2005</v>
      </c>
    </row>
    <row r="182" spans="1:14" ht="12.75" x14ac:dyDescent="0.2">
      <c r="A182" s="59" t="s">
        <v>16</v>
      </c>
      <c r="B182" s="59">
        <v>2464</v>
      </c>
    </row>
    <row r="183" spans="1:14" ht="12.75" x14ac:dyDescent="0.2">
      <c r="A183" s="59" t="s">
        <v>706</v>
      </c>
      <c r="B183" s="59" t="s">
        <v>708</v>
      </c>
    </row>
    <row r="184" spans="1:14" ht="12.75" x14ac:dyDescent="0.2">
      <c r="A184" s="59" t="s">
        <v>17</v>
      </c>
      <c r="B184" s="59">
        <v>2004</v>
      </c>
      <c r="C184" s="30"/>
      <c r="D184" s="30"/>
      <c r="E184" s="30"/>
      <c r="F184" s="30"/>
      <c r="G184" s="30"/>
      <c r="H184" s="30"/>
      <c r="I184" s="30"/>
      <c r="J184" s="30"/>
      <c r="K184" s="30"/>
      <c r="L184" s="30"/>
      <c r="M184" s="30"/>
      <c r="N184" s="30"/>
    </row>
    <row r="185" spans="1:14" ht="12.75" x14ac:dyDescent="0.2">
      <c r="A185" s="59" t="s">
        <v>18</v>
      </c>
      <c r="B185" s="59">
        <v>2405</v>
      </c>
      <c r="C185" s="30"/>
      <c r="D185" s="30"/>
      <c r="E185" s="30"/>
      <c r="F185" s="30"/>
      <c r="G185" s="30"/>
      <c r="H185" s="30"/>
      <c r="I185" s="30"/>
      <c r="J185" s="30"/>
      <c r="K185" s="30"/>
      <c r="L185" s="30"/>
      <c r="M185" s="30"/>
      <c r="N185" s="30"/>
    </row>
    <row r="186" spans="1:14" ht="12.75" x14ac:dyDescent="0.2">
      <c r="A186" s="59" t="s">
        <v>243</v>
      </c>
      <c r="B186" s="59" t="s">
        <v>245</v>
      </c>
      <c r="C186" s="30"/>
      <c r="D186" s="30"/>
      <c r="E186" s="30"/>
      <c r="F186" s="30"/>
      <c r="G186" s="30"/>
      <c r="H186" s="30"/>
      <c r="I186" s="30"/>
      <c r="J186" s="30"/>
      <c r="K186" s="30"/>
      <c r="L186" s="30"/>
      <c r="M186" s="30"/>
      <c r="N186" s="30"/>
    </row>
    <row r="187" spans="1:14" ht="12.75" x14ac:dyDescent="0.2">
      <c r="A187" s="59" t="s">
        <v>250</v>
      </c>
      <c r="B187" s="59" t="s">
        <v>709</v>
      </c>
      <c r="C187" s="30"/>
      <c r="D187" s="30"/>
      <c r="E187" s="30"/>
      <c r="F187" s="30"/>
      <c r="G187" s="30"/>
      <c r="H187" s="30"/>
      <c r="I187" s="30"/>
      <c r="J187" s="30"/>
      <c r="K187" s="30"/>
      <c r="L187" s="30"/>
      <c r="M187" s="30"/>
      <c r="N187" s="30"/>
    </row>
    <row r="188" spans="1:14" ht="12.75" x14ac:dyDescent="0.2">
      <c r="A188" s="59" t="s">
        <v>246</v>
      </c>
      <c r="B188" s="59" t="s">
        <v>247</v>
      </c>
      <c r="C188" s="30"/>
      <c r="D188" s="30"/>
      <c r="E188" s="30"/>
      <c r="F188" s="30"/>
      <c r="G188" s="30"/>
      <c r="H188" s="30"/>
      <c r="I188" s="30"/>
      <c r="J188" s="30"/>
      <c r="K188" s="30"/>
      <c r="L188" s="30"/>
      <c r="M188" s="30"/>
      <c r="N188" s="30"/>
    </row>
    <row r="189" spans="1:14" x14ac:dyDescent="0.25">
      <c r="A189" s="59" t="s">
        <v>248</v>
      </c>
      <c r="B189" s="59" t="s">
        <v>249</v>
      </c>
      <c r="C189" s="30"/>
      <c r="D189" s="30"/>
      <c r="E189" s="30"/>
      <c r="F189" s="30"/>
      <c r="G189" s="30"/>
      <c r="H189" s="30"/>
      <c r="I189" s="30"/>
      <c r="J189" s="30"/>
      <c r="K189" s="30"/>
      <c r="L189" s="30"/>
      <c r="M189" s="30"/>
      <c r="N189" s="30"/>
    </row>
    <row r="190" spans="1:14" x14ac:dyDescent="0.25">
      <c r="A190" s="59" t="s">
        <v>19</v>
      </c>
      <c r="B190" s="59">
        <v>2011</v>
      </c>
      <c r="C190" s="30"/>
      <c r="D190" s="30"/>
      <c r="E190" s="30"/>
      <c r="F190" s="30"/>
      <c r="G190" s="30"/>
      <c r="H190" s="30"/>
      <c r="I190" s="30"/>
      <c r="J190" s="30"/>
      <c r="K190" s="30"/>
      <c r="L190" s="30"/>
      <c r="M190" s="30"/>
      <c r="N190" s="30"/>
    </row>
    <row r="191" spans="1:14" x14ac:dyDescent="0.25">
      <c r="A191" s="59" t="s">
        <v>251</v>
      </c>
      <c r="B191" s="59" t="s">
        <v>252</v>
      </c>
      <c r="C191" s="30"/>
      <c r="D191" s="30"/>
      <c r="E191" s="30"/>
      <c r="F191" s="30"/>
      <c r="G191" s="30"/>
      <c r="H191" s="30"/>
      <c r="I191" s="30"/>
      <c r="J191" s="30"/>
      <c r="K191" s="30"/>
      <c r="L191" s="30"/>
      <c r="M191" s="30"/>
      <c r="N191" s="30"/>
    </row>
    <row r="192" spans="1:14" x14ac:dyDescent="0.25">
      <c r="A192" s="59" t="s">
        <v>20</v>
      </c>
      <c r="B192" s="59">
        <v>5201</v>
      </c>
      <c r="C192" s="30"/>
      <c r="D192" s="30"/>
      <c r="E192" s="30"/>
      <c r="F192" s="30"/>
      <c r="G192" s="30"/>
      <c r="H192" s="30"/>
      <c r="I192" s="30"/>
      <c r="J192" s="30"/>
      <c r="K192" s="30"/>
      <c r="L192" s="30"/>
      <c r="M192" s="30"/>
      <c r="N192" s="30"/>
    </row>
    <row r="193" spans="1:14" x14ac:dyDescent="0.25">
      <c r="A193" s="59" t="s">
        <v>253</v>
      </c>
      <c r="B193" s="59">
        <v>206124</v>
      </c>
      <c r="C193" s="30"/>
      <c r="D193" s="30"/>
      <c r="E193" s="30"/>
      <c r="F193" s="30"/>
      <c r="G193" s="30"/>
      <c r="H193" s="30"/>
      <c r="I193" s="30"/>
      <c r="J193" s="30"/>
      <c r="K193" s="30"/>
      <c r="L193" s="30"/>
      <c r="M193" s="30"/>
      <c r="N193" s="30"/>
    </row>
    <row r="194" spans="1:14" x14ac:dyDescent="0.25">
      <c r="A194" s="59" t="s">
        <v>21</v>
      </c>
      <c r="B194" s="59">
        <v>2433</v>
      </c>
      <c r="C194" s="30"/>
      <c r="D194" s="30"/>
      <c r="E194" s="30"/>
      <c r="F194" s="30"/>
      <c r="G194" s="30"/>
      <c r="H194" s="30"/>
      <c r="I194" s="30"/>
      <c r="J194" s="30"/>
      <c r="K194" s="30"/>
      <c r="L194" s="30"/>
      <c r="M194" s="30"/>
      <c r="N194" s="30"/>
    </row>
    <row r="195" spans="1:14" x14ac:dyDescent="0.25">
      <c r="A195" s="59" t="s">
        <v>22</v>
      </c>
      <c r="B195" s="59">
        <v>2432</v>
      </c>
      <c r="C195" s="30"/>
      <c r="D195" s="30"/>
      <c r="E195" s="30"/>
      <c r="F195" s="30"/>
      <c r="G195" s="30"/>
      <c r="H195" s="30"/>
      <c r="I195" s="30"/>
      <c r="J195" s="30"/>
      <c r="K195" s="30"/>
      <c r="L195" s="30"/>
      <c r="M195" s="30"/>
      <c r="N195" s="30"/>
    </row>
    <row r="196" spans="1:14" x14ac:dyDescent="0.25">
      <c r="A196" s="59" t="s">
        <v>256</v>
      </c>
      <c r="B196" s="59" t="s">
        <v>258</v>
      </c>
      <c r="C196" s="30"/>
      <c r="D196" s="30"/>
      <c r="E196" s="30"/>
      <c r="F196" s="30"/>
      <c r="G196" s="30"/>
      <c r="H196" s="30"/>
      <c r="I196" s="30"/>
      <c r="J196" s="30"/>
      <c r="K196" s="30"/>
      <c r="L196" s="30"/>
      <c r="M196" s="30"/>
      <c r="N196" s="30"/>
    </row>
    <row r="197" spans="1:14" x14ac:dyDescent="0.25">
      <c r="A197" s="59" t="s">
        <v>188</v>
      </c>
      <c r="B197" s="59">
        <v>2447</v>
      </c>
      <c r="C197" s="30"/>
      <c r="D197" s="30"/>
      <c r="E197" s="30"/>
      <c r="F197" s="30"/>
      <c r="G197" s="30"/>
      <c r="H197" s="30"/>
      <c r="I197" s="30"/>
      <c r="J197" s="30"/>
      <c r="K197" s="30"/>
      <c r="L197" s="30"/>
      <c r="M197" s="30"/>
      <c r="N197" s="30"/>
    </row>
    <row r="198" spans="1:14" x14ac:dyDescent="0.25">
      <c r="A198" s="59" t="s">
        <v>23</v>
      </c>
      <c r="B198" s="59">
        <v>2512</v>
      </c>
      <c r="C198" s="30"/>
      <c r="D198" s="30"/>
      <c r="E198" s="30"/>
      <c r="F198" s="30"/>
      <c r="G198" s="30"/>
      <c r="H198" s="30"/>
      <c r="I198" s="30"/>
      <c r="J198" s="30"/>
      <c r="K198" s="30"/>
      <c r="L198" s="30"/>
      <c r="M198" s="30"/>
      <c r="N198" s="30"/>
    </row>
    <row r="199" spans="1:14" x14ac:dyDescent="0.25">
      <c r="A199" s="59" t="s">
        <v>259</v>
      </c>
      <c r="B199" s="59">
        <v>206126</v>
      </c>
      <c r="C199" s="30"/>
      <c r="D199" s="30"/>
      <c r="E199" s="30"/>
      <c r="F199" s="30"/>
      <c r="G199" s="30"/>
      <c r="H199" s="30"/>
      <c r="I199" s="30"/>
      <c r="J199" s="30"/>
      <c r="K199" s="30"/>
      <c r="L199" s="30"/>
      <c r="M199" s="30"/>
      <c r="N199" s="30"/>
    </row>
    <row r="200" spans="1:14" x14ac:dyDescent="0.25">
      <c r="A200" s="59" t="s">
        <v>261</v>
      </c>
      <c r="B200" s="59">
        <v>206111</v>
      </c>
      <c r="C200" s="30"/>
      <c r="D200" s="30"/>
      <c r="E200" s="30"/>
      <c r="F200" s="30"/>
      <c r="G200" s="30"/>
      <c r="H200" s="30"/>
      <c r="I200" s="30"/>
      <c r="J200" s="30"/>
      <c r="K200" s="30"/>
      <c r="L200" s="30"/>
      <c r="M200" s="30"/>
      <c r="N200" s="30"/>
    </row>
    <row r="201" spans="1:14" x14ac:dyDescent="0.25">
      <c r="A201" s="59" t="s">
        <v>263</v>
      </c>
      <c r="B201" s="59">
        <v>206091</v>
      </c>
      <c r="C201" s="30"/>
      <c r="D201" s="30"/>
      <c r="E201" s="30"/>
      <c r="F201" s="30"/>
      <c r="G201" s="30"/>
      <c r="H201" s="30"/>
      <c r="I201" s="30"/>
      <c r="J201" s="30"/>
      <c r="K201" s="30"/>
      <c r="L201" s="30"/>
      <c r="M201" s="30"/>
      <c r="N201" s="30"/>
    </row>
    <row r="202" spans="1:14" x14ac:dyDescent="0.25">
      <c r="A202" s="59" t="s">
        <v>24</v>
      </c>
      <c r="B202" s="59">
        <v>2456</v>
      </c>
      <c r="C202" s="30"/>
      <c r="D202" s="30"/>
      <c r="E202" s="30"/>
      <c r="F202" s="30"/>
      <c r="G202" s="30"/>
      <c r="H202" s="30"/>
      <c r="I202" s="30"/>
      <c r="J202" s="30"/>
      <c r="K202" s="30"/>
      <c r="L202" s="30"/>
      <c r="M202" s="30"/>
      <c r="N202" s="30"/>
    </row>
    <row r="203" spans="1:14" x14ac:dyDescent="0.25">
      <c r="A203" s="59" t="s">
        <v>3</v>
      </c>
      <c r="B203" s="59">
        <v>1017</v>
      </c>
      <c r="C203" s="30"/>
      <c r="D203" s="30"/>
      <c r="E203" s="30"/>
      <c r="F203" s="30"/>
      <c r="G203" s="30"/>
      <c r="H203" s="30"/>
      <c r="I203" s="30"/>
      <c r="J203" s="30"/>
      <c r="K203" s="30"/>
      <c r="L203" s="30"/>
      <c r="M203" s="30"/>
      <c r="N203" s="30"/>
    </row>
    <row r="204" spans="1:14" x14ac:dyDescent="0.25">
      <c r="A204" s="59" t="s">
        <v>25</v>
      </c>
      <c r="B204" s="59">
        <v>2449</v>
      </c>
      <c r="C204" s="30"/>
      <c r="D204" s="30"/>
      <c r="E204" s="30"/>
      <c r="F204" s="30"/>
      <c r="G204" s="30"/>
      <c r="H204" s="30"/>
      <c r="I204" s="30"/>
      <c r="J204" s="30"/>
      <c r="K204" s="30"/>
      <c r="L204" s="30"/>
      <c r="M204" s="30"/>
      <c r="N204" s="30"/>
    </row>
    <row r="205" spans="1:14" x14ac:dyDescent="0.25">
      <c r="A205" s="59" t="s">
        <v>26</v>
      </c>
      <c r="B205" s="59">
        <v>2448</v>
      </c>
      <c r="C205" s="30"/>
      <c r="D205" s="30"/>
      <c r="E205" s="30"/>
      <c r="F205" s="30"/>
      <c r="G205" s="30"/>
      <c r="H205" s="30"/>
      <c r="I205" s="30"/>
      <c r="J205" s="30"/>
      <c r="K205" s="30"/>
      <c r="L205" s="30"/>
      <c r="M205" s="30"/>
      <c r="N205" s="30"/>
    </row>
    <row r="206" spans="1:14" x14ac:dyDescent="0.25">
      <c r="A206" s="59" t="s">
        <v>4</v>
      </c>
      <c r="B206" s="59">
        <v>1006</v>
      </c>
      <c r="C206" s="30"/>
      <c r="D206" s="30"/>
      <c r="E206" s="30"/>
      <c r="F206" s="30"/>
      <c r="G206" s="30"/>
      <c r="H206" s="30"/>
      <c r="I206" s="30"/>
      <c r="J206" s="30"/>
      <c r="K206" s="30"/>
      <c r="L206" s="30"/>
      <c r="M206" s="30"/>
      <c r="N206" s="30"/>
    </row>
    <row r="207" spans="1:14" x14ac:dyDescent="0.25">
      <c r="A207" s="59" t="s">
        <v>27</v>
      </c>
      <c r="B207" s="59">
        <v>2467</v>
      </c>
      <c r="C207" s="30"/>
      <c r="D207" s="30"/>
      <c r="E207" s="30"/>
      <c r="F207" s="30"/>
      <c r="G207" s="30"/>
      <c r="H207" s="30"/>
      <c r="I207" s="30"/>
      <c r="J207" s="30"/>
      <c r="K207" s="30"/>
      <c r="L207" s="30"/>
      <c r="M207" s="30"/>
      <c r="N207" s="30"/>
    </row>
    <row r="208" spans="1:14" x14ac:dyDescent="0.25">
      <c r="A208" s="59" t="s">
        <v>1373</v>
      </c>
      <c r="B208" s="59">
        <v>484300</v>
      </c>
      <c r="C208" s="30"/>
      <c r="D208" s="30"/>
      <c r="E208" s="30"/>
      <c r="F208" s="30"/>
      <c r="G208" s="30"/>
      <c r="H208" s="30"/>
      <c r="I208" s="30"/>
      <c r="J208" s="30"/>
      <c r="K208" s="30"/>
      <c r="L208" s="30"/>
      <c r="M208" s="30"/>
      <c r="N208" s="30"/>
    </row>
    <row r="209" spans="1:14" x14ac:dyDescent="0.25">
      <c r="A209" s="59" t="s">
        <v>75</v>
      </c>
      <c r="B209" s="59">
        <v>5402</v>
      </c>
      <c r="C209" s="30"/>
      <c r="D209" s="30"/>
      <c r="E209" s="30"/>
      <c r="F209" s="30"/>
      <c r="G209" s="30"/>
      <c r="H209" s="30"/>
      <c r="I209" s="30"/>
      <c r="J209" s="30"/>
      <c r="K209" s="30"/>
      <c r="L209" s="30"/>
      <c r="M209" s="30"/>
      <c r="N209" s="30"/>
    </row>
    <row r="210" spans="1:14" x14ac:dyDescent="0.25">
      <c r="A210" s="59" t="s">
        <v>28</v>
      </c>
      <c r="B210" s="59">
        <v>2455</v>
      </c>
      <c r="C210" s="30"/>
      <c r="D210" s="30"/>
      <c r="E210" s="30"/>
      <c r="F210" s="30"/>
      <c r="G210" s="30"/>
      <c r="H210" s="30"/>
      <c r="I210" s="30"/>
      <c r="J210" s="30"/>
      <c r="K210" s="30"/>
      <c r="L210" s="30"/>
      <c r="M210" s="30"/>
      <c r="N210" s="30"/>
    </row>
    <row r="211" spans="1:14" x14ac:dyDescent="0.25">
      <c r="A211" s="59" t="s">
        <v>29</v>
      </c>
      <c r="B211" s="59">
        <v>5203</v>
      </c>
      <c r="C211" s="30"/>
      <c r="D211" s="30"/>
      <c r="E211" s="30"/>
      <c r="F211" s="30"/>
      <c r="G211" s="30"/>
      <c r="H211" s="30"/>
      <c r="I211" s="30"/>
      <c r="J211" s="30"/>
      <c r="K211" s="30"/>
      <c r="L211" s="30"/>
      <c r="M211" s="30"/>
      <c r="N211" s="30"/>
    </row>
    <row r="212" spans="1:14" x14ac:dyDescent="0.25">
      <c r="A212" s="59" t="s">
        <v>30</v>
      </c>
      <c r="B212" s="59">
        <v>2451</v>
      </c>
      <c r="C212" s="30"/>
      <c r="D212" s="30"/>
      <c r="E212" s="30"/>
      <c r="F212" s="30"/>
      <c r="G212" s="30"/>
      <c r="H212" s="30"/>
      <c r="I212" s="30"/>
      <c r="J212" s="30"/>
      <c r="K212" s="30"/>
      <c r="L212" s="30"/>
      <c r="M212" s="30"/>
      <c r="N212" s="30"/>
    </row>
    <row r="213" spans="1:14" x14ac:dyDescent="0.25">
      <c r="A213" s="59" t="s">
        <v>265</v>
      </c>
      <c r="B213" s="59" t="s">
        <v>266</v>
      </c>
      <c r="C213" s="30"/>
      <c r="D213" s="30"/>
      <c r="E213" s="30"/>
      <c r="F213" s="30"/>
      <c r="G213" s="30"/>
      <c r="H213" s="30"/>
      <c r="I213" s="30"/>
      <c r="J213" s="30"/>
      <c r="K213" s="30"/>
      <c r="L213" s="30"/>
      <c r="M213" s="30"/>
      <c r="N213" s="30"/>
    </row>
    <row r="214" spans="1:14" x14ac:dyDescent="0.25">
      <c r="A214" s="59" t="s">
        <v>267</v>
      </c>
      <c r="B214" s="59">
        <v>206128</v>
      </c>
      <c r="C214" s="30"/>
      <c r="D214" s="30"/>
      <c r="E214" s="30"/>
      <c r="F214" s="30"/>
      <c r="G214" s="30"/>
      <c r="H214" s="30"/>
      <c r="I214" s="30"/>
      <c r="J214" s="30"/>
      <c r="K214" s="30"/>
      <c r="L214" s="30"/>
      <c r="M214" s="30"/>
      <c r="N214" s="30"/>
    </row>
    <row r="215" spans="1:14" x14ac:dyDescent="0.25">
      <c r="A215" s="59" t="s">
        <v>438</v>
      </c>
      <c r="B215" s="59">
        <v>4002</v>
      </c>
      <c r="C215" s="30"/>
      <c r="D215" s="30"/>
      <c r="E215" s="30"/>
      <c r="F215" s="30"/>
      <c r="G215" s="30"/>
      <c r="H215" s="30"/>
      <c r="I215" s="30"/>
      <c r="J215" s="30"/>
      <c r="K215" s="30"/>
      <c r="L215" s="30"/>
      <c r="M215" s="30"/>
      <c r="N215" s="30"/>
    </row>
    <row r="216" spans="1:14" x14ac:dyDescent="0.25">
      <c r="A216" s="59" t="s">
        <v>441</v>
      </c>
      <c r="B216" s="59">
        <v>2430</v>
      </c>
      <c r="C216" s="30"/>
      <c r="D216" s="30"/>
      <c r="E216" s="30"/>
      <c r="F216" s="30"/>
      <c r="G216" s="30"/>
      <c r="H216" s="30"/>
      <c r="I216" s="30"/>
      <c r="J216" s="30"/>
      <c r="K216" s="30"/>
      <c r="L216" s="30"/>
      <c r="M216" s="30"/>
      <c r="N216" s="30"/>
    </row>
    <row r="217" spans="1:14" x14ac:dyDescent="0.25">
      <c r="A217" s="59" t="s">
        <v>269</v>
      </c>
      <c r="B217" s="59" t="s">
        <v>710</v>
      </c>
      <c r="C217" s="30"/>
      <c r="D217" s="30"/>
      <c r="E217" s="30"/>
      <c r="F217" s="30"/>
      <c r="G217" s="30"/>
      <c r="H217" s="30"/>
      <c r="I217" s="30"/>
      <c r="J217" s="30"/>
      <c r="K217" s="30"/>
      <c r="L217" s="30"/>
      <c r="M217" s="30"/>
      <c r="N217" s="30"/>
    </row>
    <row r="218" spans="1:14" x14ac:dyDescent="0.25">
      <c r="A218" s="59" t="s">
        <v>711</v>
      </c>
      <c r="B218" s="59" t="s">
        <v>712</v>
      </c>
      <c r="C218" s="30"/>
      <c r="D218" s="30"/>
      <c r="E218" s="30"/>
      <c r="F218" s="30"/>
      <c r="G218" s="30"/>
      <c r="H218" s="30"/>
      <c r="I218" s="30"/>
      <c r="J218" s="30"/>
      <c r="K218" s="30"/>
      <c r="L218" s="30"/>
      <c r="M218" s="30"/>
      <c r="N218" s="30"/>
    </row>
    <row r="219" spans="1:14" x14ac:dyDescent="0.25">
      <c r="A219" s="59" t="s">
        <v>68</v>
      </c>
      <c r="B219" s="59">
        <v>4608</v>
      </c>
      <c r="C219" s="30"/>
      <c r="D219" s="30"/>
      <c r="E219" s="30"/>
      <c r="F219" s="30"/>
      <c r="G219" s="30"/>
      <c r="H219" s="30"/>
      <c r="I219" s="30"/>
      <c r="J219" s="30"/>
      <c r="K219" s="30"/>
      <c r="L219" s="30"/>
      <c r="M219" s="30"/>
      <c r="N219" s="30"/>
    </row>
    <row r="220" spans="1:14" x14ac:dyDescent="0.25">
      <c r="A220" s="59" t="s">
        <v>31</v>
      </c>
      <c r="B220" s="59">
        <v>2409</v>
      </c>
      <c r="C220" s="30"/>
      <c r="D220" s="30"/>
      <c r="E220" s="30"/>
      <c r="F220" s="30"/>
      <c r="G220" s="30"/>
      <c r="H220" s="30"/>
      <c r="I220" s="30"/>
      <c r="J220" s="30"/>
      <c r="K220" s="30"/>
      <c r="L220" s="30"/>
      <c r="M220" s="30"/>
      <c r="N220" s="30"/>
    </row>
    <row r="221" spans="1:14" x14ac:dyDescent="0.25">
      <c r="A221" s="59" t="s">
        <v>270</v>
      </c>
      <c r="B221" s="59" t="s">
        <v>271</v>
      </c>
      <c r="C221" s="30"/>
      <c r="D221" s="30"/>
      <c r="E221" s="30"/>
      <c r="F221" s="30"/>
      <c r="G221" s="30"/>
      <c r="H221" s="30"/>
      <c r="I221" s="30"/>
      <c r="J221" s="30"/>
      <c r="K221" s="30"/>
      <c r="L221" s="30"/>
      <c r="M221" s="30"/>
      <c r="N221" s="30"/>
    </row>
    <row r="222" spans="1:14" x14ac:dyDescent="0.25">
      <c r="A222" s="59" t="s">
        <v>1283</v>
      </c>
      <c r="B222" s="59" t="s">
        <v>714</v>
      </c>
      <c r="C222" s="30"/>
      <c r="D222" s="30"/>
      <c r="E222" s="30"/>
      <c r="F222" s="30"/>
      <c r="G222" s="30"/>
      <c r="H222" s="30"/>
      <c r="I222" s="30"/>
      <c r="J222" s="30"/>
      <c r="K222" s="30"/>
      <c r="L222" s="30"/>
      <c r="M222" s="30"/>
      <c r="N222" s="30"/>
    </row>
    <row r="223" spans="1:14" x14ac:dyDescent="0.25">
      <c r="A223" s="59" t="s">
        <v>525</v>
      </c>
      <c r="B223" s="59">
        <v>205921</v>
      </c>
      <c r="C223" s="30"/>
      <c r="D223" s="30"/>
      <c r="E223" s="30"/>
      <c r="F223" s="30"/>
      <c r="G223" s="30"/>
      <c r="H223" s="30"/>
      <c r="I223" s="30"/>
      <c r="J223" s="30"/>
      <c r="K223" s="30"/>
      <c r="L223" s="30"/>
      <c r="M223" s="30"/>
      <c r="N223" s="30"/>
    </row>
    <row r="224" spans="1:14" x14ac:dyDescent="0.25">
      <c r="A224" s="59" t="s">
        <v>1256</v>
      </c>
      <c r="B224" s="59" t="s">
        <v>719</v>
      </c>
      <c r="C224" s="30"/>
      <c r="D224" s="30"/>
      <c r="E224" s="30"/>
      <c r="F224" s="30"/>
      <c r="G224" s="30"/>
      <c r="H224" s="30"/>
      <c r="I224" s="30"/>
      <c r="J224" s="30"/>
      <c r="K224" s="30"/>
      <c r="L224" s="30"/>
      <c r="M224" s="30"/>
      <c r="N224" s="30"/>
    </row>
    <row r="225" spans="1:14" x14ac:dyDescent="0.25">
      <c r="A225" s="59" t="s">
        <v>1375</v>
      </c>
      <c r="B225" s="59">
        <v>398922</v>
      </c>
      <c r="C225" s="30"/>
      <c r="D225" s="30"/>
      <c r="E225" s="30"/>
      <c r="F225" s="30"/>
      <c r="G225" s="30"/>
      <c r="H225" s="30"/>
      <c r="I225" s="30"/>
      <c r="J225" s="30"/>
      <c r="K225" s="30"/>
      <c r="L225" s="30"/>
      <c r="M225" s="30"/>
      <c r="N225" s="30"/>
    </row>
    <row r="226" spans="1:14" x14ac:dyDescent="0.25">
      <c r="A226" s="59" t="s">
        <v>1374</v>
      </c>
      <c r="B226" s="59">
        <v>479804</v>
      </c>
      <c r="C226" s="30"/>
      <c r="D226" s="30"/>
      <c r="E226" s="30"/>
      <c r="F226" s="30"/>
      <c r="G226" s="30"/>
      <c r="H226" s="30"/>
      <c r="I226" s="30"/>
      <c r="J226" s="30"/>
      <c r="K226" s="30"/>
      <c r="L226" s="30"/>
      <c r="M226" s="30"/>
      <c r="N226" s="30"/>
    </row>
    <row r="227" spans="1:14" x14ac:dyDescent="0.25">
      <c r="A227" s="59" t="s">
        <v>524</v>
      </c>
      <c r="B227" s="59">
        <v>205999</v>
      </c>
      <c r="C227" s="30"/>
      <c r="D227" s="30"/>
      <c r="E227" s="30"/>
      <c r="F227" s="30"/>
      <c r="G227" s="30"/>
      <c r="H227" s="30"/>
      <c r="I227" s="30"/>
      <c r="J227" s="30"/>
      <c r="K227" s="30"/>
      <c r="L227" s="30"/>
      <c r="M227" s="30"/>
      <c r="N227" s="30"/>
    </row>
    <row r="228" spans="1:14" x14ac:dyDescent="0.25">
      <c r="A228" s="59" t="s">
        <v>523</v>
      </c>
      <c r="B228" s="59" t="s">
        <v>272</v>
      </c>
      <c r="C228" s="30"/>
      <c r="D228" s="30"/>
      <c r="E228" s="30"/>
      <c r="F228" s="30"/>
      <c r="G228" s="30"/>
      <c r="H228" s="30"/>
      <c r="I228" s="30"/>
      <c r="J228" s="30"/>
      <c r="K228" s="30"/>
      <c r="L228" s="30"/>
      <c r="M228" s="30"/>
      <c r="N228" s="30"/>
    </row>
    <row r="229" spans="1:14" x14ac:dyDescent="0.25">
      <c r="A229" s="59" t="s">
        <v>1257</v>
      </c>
      <c r="B229" s="59">
        <v>206065</v>
      </c>
      <c r="C229" s="30"/>
      <c r="D229" s="30"/>
      <c r="E229" s="30"/>
      <c r="F229" s="30"/>
      <c r="G229" s="30"/>
      <c r="H229" s="30"/>
      <c r="I229" s="30"/>
      <c r="J229" s="30"/>
      <c r="K229" s="30"/>
      <c r="L229" s="30"/>
      <c r="M229" s="30"/>
      <c r="N229" s="30"/>
    </row>
    <row r="230" spans="1:14" x14ac:dyDescent="0.25">
      <c r="A230" s="59" t="s">
        <v>1376</v>
      </c>
      <c r="B230" s="59">
        <v>314105</v>
      </c>
      <c r="C230" s="30"/>
      <c r="D230" s="30"/>
      <c r="E230" s="30"/>
      <c r="F230" s="30"/>
      <c r="G230" s="30"/>
      <c r="H230" s="30"/>
      <c r="I230" s="30"/>
      <c r="J230" s="30"/>
      <c r="K230" s="30"/>
      <c r="L230" s="30"/>
      <c r="M230" s="30"/>
      <c r="N230" s="30"/>
    </row>
    <row r="231" spans="1:14" x14ac:dyDescent="0.25">
      <c r="A231" s="59" t="s">
        <v>1400</v>
      </c>
      <c r="B231" s="59" t="s">
        <v>277</v>
      </c>
      <c r="C231" s="30"/>
      <c r="D231" s="30"/>
      <c r="E231" s="30"/>
      <c r="F231" s="30"/>
      <c r="G231" s="30"/>
      <c r="H231" s="30"/>
      <c r="I231" s="30"/>
      <c r="J231" s="30"/>
      <c r="K231" s="30"/>
      <c r="L231" s="30"/>
      <c r="M231" s="30"/>
      <c r="N231" s="30"/>
    </row>
    <row r="232" spans="1:14" x14ac:dyDescent="0.25">
      <c r="A232" s="59" t="s">
        <v>1377</v>
      </c>
      <c r="B232" s="59">
        <v>206076</v>
      </c>
      <c r="C232" s="30"/>
      <c r="D232" s="30"/>
      <c r="E232" s="30"/>
      <c r="F232" s="30"/>
      <c r="G232" s="30"/>
      <c r="H232" s="30"/>
      <c r="I232" s="30"/>
      <c r="J232" s="30"/>
      <c r="K232" s="30"/>
      <c r="L232" s="30"/>
      <c r="M232" s="30"/>
      <c r="N232" s="30"/>
    </row>
    <row r="233" spans="1:14" x14ac:dyDescent="0.25">
      <c r="A233" s="59" t="s">
        <v>561</v>
      </c>
      <c r="B233" s="59" t="s">
        <v>727</v>
      </c>
      <c r="C233" s="30"/>
      <c r="D233" s="30"/>
      <c r="E233" s="30"/>
      <c r="F233" s="30"/>
      <c r="G233" s="30"/>
      <c r="H233" s="30"/>
      <c r="I233" s="30"/>
      <c r="J233" s="30"/>
      <c r="K233" s="30"/>
      <c r="L233" s="30"/>
      <c r="M233" s="30"/>
      <c r="N233" s="30"/>
    </row>
    <row r="234" spans="1:14" x14ac:dyDescent="0.25">
      <c r="A234" s="59" t="s">
        <v>1399</v>
      </c>
      <c r="B234" s="59" t="s">
        <v>730</v>
      </c>
      <c r="C234" s="30"/>
      <c r="D234" s="30"/>
      <c r="E234" s="30"/>
      <c r="F234" s="30"/>
      <c r="G234" s="30"/>
      <c r="H234" s="30"/>
      <c r="I234" s="30"/>
      <c r="J234" s="30"/>
      <c r="K234" s="30"/>
      <c r="L234" s="30"/>
      <c r="M234" s="30"/>
      <c r="N234" s="30"/>
    </row>
    <row r="235" spans="1:14" x14ac:dyDescent="0.25">
      <c r="A235" s="59" t="s">
        <v>562</v>
      </c>
      <c r="B235" s="59" t="s">
        <v>275</v>
      </c>
      <c r="C235" s="30"/>
      <c r="D235" s="30"/>
      <c r="E235" s="30"/>
      <c r="F235" s="30"/>
      <c r="G235" s="30"/>
      <c r="H235" s="30"/>
      <c r="I235" s="30"/>
      <c r="J235" s="30"/>
      <c r="K235" s="30"/>
      <c r="L235" s="30"/>
      <c r="M235" s="30"/>
      <c r="N235" s="30"/>
    </row>
    <row r="236" spans="1:14" x14ac:dyDescent="0.25">
      <c r="A236" s="59" t="s">
        <v>1258</v>
      </c>
      <c r="B236" s="59" t="s">
        <v>724</v>
      </c>
      <c r="C236" s="30"/>
      <c r="D236" s="30"/>
      <c r="E236" s="30"/>
      <c r="F236" s="30"/>
      <c r="G236" s="30"/>
      <c r="H236" s="30"/>
      <c r="I236" s="30"/>
      <c r="J236" s="30"/>
      <c r="K236" s="30"/>
      <c r="L236" s="30"/>
      <c r="M236" s="30"/>
      <c r="N236" s="30"/>
    </row>
    <row r="237" spans="1:14" x14ac:dyDescent="0.25">
      <c r="A237" s="59" t="s">
        <v>1259</v>
      </c>
      <c r="B237" s="59">
        <v>205919</v>
      </c>
      <c r="C237" s="30"/>
      <c r="D237" s="30"/>
      <c r="E237" s="30"/>
      <c r="F237" s="30"/>
      <c r="G237" s="30"/>
      <c r="H237" s="30"/>
      <c r="I237" s="30"/>
      <c r="J237" s="30"/>
      <c r="K237" s="30"/>
      <c r="L237" s="30"/>
      <c r="M237" s="30"/>
      <c r="N237" s="30"/>
    </row>
    <row r="238" spans="1:14" x14ac:dyDescent="0.25">
      <c r="A238" s="59" t="s">
        <v>526</v>
      </c>
      <c r="B238" s="59" t="s">
        <v>276</v>
      </c>
      <c r="C238" s="30"/>
      <c r="D238" s="30"/>
      <c r="E238" s="30"/>
      <c r="F238" s="30"/>
      <c r="G238" s="30"/>
      <c r="H238" s="30"/>
      <c r="I238" s="30"/>
      <c r="J238" s="30"/>
      <c r="K238" s="30"/>
      <c r="L238" s="30"/>
      <c r="M238" s="30"/>
      <c r="N238" s="30"/>
    </row>
    <row r="239" spans="1:14" x14ac:dyDescent="0.25">
      <c r="A239" s="59" t="s">
        <v>1378</v>
      </c>
      <c r="B239" s="59">
        <v>477405</v>
      </c>
      <c r="C239" s="30"/>
      <c r="D239" s="30"/>
      <c r="E239" s="30"/>
      <c r="F239" s="30"/>
      <c r="G239" s="30"/>
      <c r="H239" s="30"/>
      <c r="I239" s="30"/>
      <c r="J239" s="30"/>
      <c r="K239" s="30"/>
      <c r="L239" s="30"/>
      <c r="M239" s="30"/>
      <c r="N239" s="30"/>
    </row>
    <row r="240" spans="1:14" x14ac:dyDescent="0.25">
      <c r="A240" s="59" t="s">
        <v>1260</v>
      </c>
      <c r="B240" s="59" t="s">
        <v>734</v>
      </c>
      <c r="C240" s="30"/>
      <c r="D240" s="30"/>
      <c r="E240" s="30"/>
      <c r="F240" s="30"/>
      <c r="G240" s="30"/>
      <c r="H240" s="30"/>
      <c r="I240" s="30"/>
      <c r="J240" s="30"/>
      <c r="K240" s="30"/>
      <c r="L240" s="30"/>
      <c r="M240" s="30"/>
      <c r="N240" s="30"/>
    </row>
    <row r="241" spans="1:14" x14ac:dyDescent="0.25">
      <c r="A241" s="59" t="s">
        <v>1379</v>
      </c>
      <c r="B241" s="59">
        <v>401536</v>
      </c>
      <c r="C241" s="30"/>
      <c r="D241" s="30"/>
      <c r="E241" s="30"/>
      <c r="F241" s="30"/>
      <c r="G241" s="30"/>
      <c r="H241" s="30"/>
      <c r="I241" s="30"/>
      <c r="J241" s="30"/>
      <c r="K241" s="30"/>
      <c r="L241" s="30"/>
      <c r="M241" s="30"/>
      <c r="N241" s="30"/>
    </row>
    <row r="242" spans="1:14" x14ac:dyDescent="0.25">
      <c r="A242" s="59" t="s">
        <v>1261</v>
      </c>
      <c r="B242" s="59" t="s">
        <v>736</v>
      </c>
      <c r="C242" s="30"/>
      <c r="D242" s="30"/>
      <c r="E242" s="30"/>
      <c r="F242" s="30"/>
      <c r="G242" s="30"/>
      <c r="H242" s="30"/>
      <c r="I242" s="30"/>
      <c r="J242" s="30"/>
      <c r="K242" s="30"/>
      <c r="L242" s="30"/>
      <c r="M242" s="30"/>
      <c r="N242" s="30"/>
    </row>
    <row r="243" spans="1:14" x14ac:dyDescent="0.25">
      <c r="A243" s="59" t="s">
        <v>1263</v>
      </c>
      <c r="B243" s="59" t="s">
        <v>739</v>
      </c>
      <c r="C243" s="30"/>
      <c r="D243" s="30"/>
      <c r="E243" s="30"/>
      <c r="F243" s="30"/>
      <c r="G243" s="30"/>
      <c r="H243" s="30"/>
      <c r="I243" s="30"/>
      <c r="J243" s="30"/>
      <c r="K243" s="30"/>
      <c r="L243" s="30"/>
      <c r="M243" s="30"/>
      <c r="N243" s="30"/>
    </row>
    <row r="244" spans="1:14" x14ac:dyDescent="0.25">
      <c r="A244" s="59" t="s">
        <v>1262</v>
      </c>
      <c r="B244" s="59">
        <v>205849</v>
      </c>
      <c r="C244" s="30"/>
      <c r="D244" s="30"/>
      <c r="E244" s="30"/>
      <c r="F244" s="30"/>
      <c r="G244" s="30"/>
      <c r="H244" s="30"/>
      <c r="I244" s="30"/>
      <c r="J244" s="30"/>
      <c r="K244" s="30"/>
      <c r="L244" s="30"/>
      <c r="M244" s="30"/>
      <c r="N244" s="30"/>
    </row>
    <row r="245" spans="1:14" x14ac:dyDescent="0.25">
      <c r="A245" s="59" t="s">
        <v>566</v>
      </c>
      <c r="B245" s="59" t="s">
        <v>273</v>
      </c>
      <c r="C245" s="30"/>
      <c r="D245" s="30"/>
      <c r="E245" s="30"/>
      <c r="F245" s="30"/>
      <c r="G245" s="30"/>
      <c r="H245" s="30"/>
      <c r="I245" s="30"/>
      <c r="J245" s="30"/>
      <c r="K245" s="30"/>
      <c r="L245" s="30"/>
      <c r="M245" s="30"/>
      <c r="N245" s="30"/>
    </row>
    <row r="246" spans="1:14" x14ac:dyDescent="0.25">
      <c r="A246" s="59" t="s">
        <v>1264</v>
      </c>
      <c r="B246" s="59" t="s">
        <v>741</v>
      </c>
      <c r="C246" s="30"/>
      <c r="D246" s="30"/>
      <c r="E246" s="30"/>
      <c r="F246" s="30"/>
      <c r="G246" s="30"/>
      <c r="H246" s="30"/>
      <c r="I246" s="30"/>
      <c r="J246" s="30"/>
      <c r="K246" s="30"/>
      <c r="L246" s="30"/>
      <c r="M246" s="30"/>
      <c r="N246" s="30"/>
    </row>
    <row r="247" spans="1:14" x14ac:dyDescent="0.25">
      <c r="A247" s="59" t="s">
        <v>1268</v>
      </c>
      <c r="B247" s="59">
        <v>205922</v>
      </c>
      <c r="C247" s="30"/>
      <c r="D247" s="30"/>
      <c r="E247" s="30"/>
      <c r="F247" s="30"/>
      <c r="G247" s="30"/>
      <c r="H247" s="30"/>
      <c r="I247" s="30"/>
      <c r="J247" s="30"/>
      <c r="K247" s="30"/>
      <c r="L247" s="30"/>
      <c r="M247" s="30"/>
      <c r="N247" s="30"/>
    </row>
    <row r="248" spans="1:14" x14ac:dyDescent="0.25">
      <c r="A248" s="59" t="s">
        <v>1267</v>
      </c>
      <c r="B248" s="59">
        <v>205881</v>
      </c>
      <c r="C248" s="30"/>
      <c r="D248" s="30"/>
      <c r="E248" s="30"/>
      <c r="F248" s="30"/>
      <c r="G248" s="30"/>
      <c r="H248" s="30"/>
      <c r="I248" s="30"/>
      <c r="J248" s="30"/>
      <c r="K248" s="30"/>
      <c r="L248" s="30"/>
      <c r="M248" s="30"/>
      <c r="N248" s="30"/>
    </row>
    <row r="249" spans="1:14" x14ac:dyDescent="0.25">
      <c r="A249" s="59" t="s">
        <v>1265</v>
      </c>
      <c r="B249" s="59" t="s">
        <v>744</v>
      </c>
      <c r="C249" s="30"/>
      <c r="D249" s="30"/>
      <c r="E249" s="30"/>
      <c r="F249" s="30"/>
      <c r="G249" s="30"/>
      <c r="H249" s="30"/>
      <c r="I249" s="30"/>
      <c r="J249" s="30"/>
      <c r="K249" s="30"/>
      <c r="L249" s="30"/>
      <c r="M249" s="30"/>
      <c r="N249" s="30"/>
    </row>
    <row r="250" spans="1:14" x14ac:dyDescent="0.25">
      <c r="A250" s="59" t="s">
        <v>527</v>
      </c>
      <c r="B250" s="59" t="s">
        <v>278</v>
      </c>
      <c r="C250" s="30"/>
      <c r="D250" s="30"/>
      <c r="E250" s="30"/>
      <c r="F250" s="30"/>
      <c r="G250" s="30"/>
      <c r="H250" s="30"/>
      <c r="I250" s="30"/>
      <c r="J250" s="30"/>
      <c r="K250" s="30"/>
      <c r="L250" s="30"/>
      <c r="M250" s="30"/>
      <c r="N250" s="30"/>
    </row>
    <row r="251" spans="1:14" x14ac:dyDescent="0.25">
      <c r="A251" s="59" t="s">
        <v>1266</v>
      </c>
      <c r="B251" s="59" t="s">
        <v>749</v>
      </c>
      <c r="C251" s="30"/>
      <c r="D251" s="30"/>
      <c r="E251" s="30"/>
      <c r="F251" s="30"/>
      <c r="G251" s="30"/>
      <c r="H251" s="30"/>
      <c r="I251" s="30"/>
      <c r="J251" s="30"/>
      <c r="K251" s="30"/>
      <c r="L251" s="30"/>
      <c r="M251" s="30"/>
      <c r="N251" s="30"/>
    </row>
    <row r="252" spans="1:14" x14ac:dyDescent="0.25">
      <c r="A252" s="59" t="s">
        <v>1380</v>
      </c>
      <c r="B252" s="59">
        <v>462623</v>
      </c>
      <c r="C252" s="30"/>
      <c r="D252" s="30"/>
      <c r="E252" s="30"/>
      <c r="F252" s="30"/>
      <c r="G252" s="30"/>
      <c r="H252" s="30"/>
      <c r="I252" s="30"/>
      <c r="J252" s="30"/>
      <c r="K252" s="30"/>
      <c r="L252" s="30"/>
      <c r="M252" s="30"/>
      <c r="N252" s="30"/>
    </row>
    <row r="253" spans="1:14" x14ac:dyDescent="0.25">
      <c r="A253" s="59" t="s">
        <v>750</v>
      </c>
      <c r="B253" s="59" t="s">
        <v>751</v>
      </c>
      <c r="C253" s="30"/>
      <c r="D253" s="30"/>
      <c r="E253" s="30"/>
      <c r="F253" s="30"/>
      <c r="G253" s="30"/>
      <c r="H253" s="30"/>
      <c r="I253" s="30"/>
      <c r="J253" s="30"/>
      <c r="K253" s="30"/>
      <c r="L253" s="30"/>
      <c r="M253" s="30"/>
      <c r="N253" s="30"/>
    </row>
    <row r="254" spans="1:14" x14ac:dyDescent="0.25">
      <c r="A254" s="59" t="s">
        <v>1269</v>
      </c>
      <c r="B254" s="59" t="s">
        <v>754</v>
      </c>
      <c r="C254" s="30"/>
      <c r="D254" s="30"/>
      <c r="E254" s="30"/>
      <c r="F254" s="30"/>
      <c r="G254" s="30"/>
      <c r="H254" s="30"/>
      <c r="I254" s="30"/>
      <c r="J254" s="30"/>
      <c r="K254" s="30"/>
      <c r="L254" s="30"/>
      <c r="M254" s="30"/>
      <c r="N254" s="30"/>
    </row>
    <row r="255" spans="1:14" x14ac:dyDescent="0.25">
      <c r="A255" s="59" t="s">
        <v>528</v>
      </c>
      <c r="B255" s="59">
        <v>2</v>
      </c>
      <c r="C255" s="30"/>
      <c r="D255" s="30"/>
      <c r="E255" s="30"/>
      <c r="F255" s="30"/>
      <c r="G255" s="30"/>
      <c r="H255" s="30"/>
      <c r="I255" s="30"/>
      <c r="J255" s="30"/>
      <c r="K255" s="30"/>
      <c r="L255" s="30"/>
      <c r="M255" s="30"/>
      <c r="N255" s="30"/>
    </row>
    <row r="256" spans="1:14" x14ac:dyDescent="0.25">
      <c r="A256" s="59" t="s">
        <v>1270</v>
      </c>
      <c r="B256" s="59" t="s">
        <v>621</v>
      </c>
      <c r="C256" s="30"/>
      <c r="D256" s="30"/>
      <c r="E256" s="30"/>
      <c r="F256" s="30"/>
      <c r="G256" s="30"/>
      <c r="H256" s="30"/>
      <c r="I256" s="30"/>
      <c r="J256" s="30"/>
      <c r="K256" s="30"/>
      <c r="L256" s="30"/>
      <c r="M256" s="30"/>
      <c r="N256" s="30"/>
    </row>
    <row r="257" spans="1:14" x14ac:dyDescent="0.25">
      <c r="A257" s="59" t="s">
        <v>1271</v>
      </c>
      <c r="B257" s="59" t="s">
        <v>639</v>
      </c>
      <c r="C257" s="30"/>
      <c r="D257" s="30"/>
      <c r="E257" s="30"/>
      <c r="F257" s="30"/>
      <c r="G257" s="30"/>
      <c r="H257" s="30"/>
      <c r="I257" s="30"/>
      <c r="J257" s="30"/>
      <c r="K257" s="30"/>
      <c r="L257" s="30"/>
      <c r="M257" s="30"/>
      <c r="N257" s="30"/>
    </row>
    <row r="258" spans="1:14" x14ac:dyDescent="0.25">
      <c r="A258" s="59" t="s">
        <v>1271</v>
      </c>
      <c r="B258" s="59">
        <v>205878</v>
      </c>
      <c r="C258" s="30"/>
      <c r="D258" s="30"/>
      <c r="E258" s="30"/>
      <c r="F258" s="30"/>
      <c r="G258" s="30"/>
      <c r="H258" s="30"/>
      <c r="I258" s="30"/>
      <c r="J258" s="30"/>
      <c r="K258" s="30"/>
      <c r="L258" s="30"/>
      <c r="M258" s="30"/>
      <c r="N258" s="30"/>
    </row>
    <row r="259" spans="1:14" x14ac:dyDescent="0.25">
      <c r="A259" s="59" t="s">
        <v>529</v>
      </c>
      <c r="B259" s="59">
        <v>205956</v>
      </c>
      <c r="C259" s="30"/>
      <c r="D259" s="30"/>
      <c r="E259" s="30"/>
      <c r="F259" s="30"/>
      <c r="G259" s="30"/>
      <c r="H259" s="30"/>
      <c r="I259" s="30"/>
      <c r="J259" s="30"/>
      <c r="K259" s="30"/>
      <c r="L259" s="30"/>
      <c r="M259" s="30"/>
      <c r="N259" s="30"/>
    </row>
    <row r="260" spans="1:14" x14ac:dyDescent="0.25">
      <c r="A260" s="59" t="s">
        <v>1273</v>
      </c>
      <c r="B260" s="59" t="s">
        <v>759</v>
      </c>
      <c r="C260" s="30"/>
      <c r="D260" s="30"/>
      <c r="E260" s="30"/>
      <c r="F260" s="30"/>
      <c r="G260" s="30"/>
      <c r="H260" s="30"/>
      <c r="I260" s="30"/>
      <c r="J260" s="30"/>
      <c r="K260" s="30"/>
      <c r="L260" s="30"/>
      <c r="M260" s="30"/>
      <c r="N260" s="30"/>
    </row>
    <row r="261" spans="1:14" x14ac:dyDescent="0.25">
      <c r="A261" s="59" t="s">
        <v>1382</v>
      </c>
      <c r="B261" s="59">
        <v>472319</v>
      </c>
      <c r="C261" s="30"/>
      <c r="D261" s="30"/>
      <c r="E261" s="30"/>
      <c r="F261" s="30"/>
      <c r="G261" s="30"/>
      <c r="H261" s="30"/>
      <c r="I261" s="30"/>
      <c r="J261" s="30"/>
      <c r="K261" s="30"/>
      <c r="L261" s="30"/>
      <c r="M261" s="30"/>
      <c r="N261" s="30"/>
    </row>
    <row r="262" spans="1:14" x14ac:dyDescent="0.25">
      <c r="A262" s="59" t="s">
        <v>1272</v>
      </c>
      <c r="B262" s="59">
        <v>260849</v>
      </c>
      <c r="C262" s="30"/>
      <c r="D262" s="30"/>
      <c r="E262" s="30"/>
      <c r="F262" s="30"/>
      <c r="G262" s="30"/>
      <c r="H262" s="30"/>
      <c r="I262" s="30"/>
      <c r="J262" s="30"/>
      <c r="K262" s="30"/>
      <c r="L262" s="30"/>
      <c r="M262" s="30"/>
      <c r="N262" s="30"/>
    </row>
    <row r="263" spans="1:14" x14ac:dyDescent="0.25">
      <c r="A263" s="59" t="s">
        <v>1383</v>
      </c>
      <c r="B263" s="59">
        <v>482805</v>
      </c>
      <c r="C263" s="30"/>
      <c r="D263" s="30"/>
      <c r="E263" s="30"/>
      <c r="F263" s="30"/>
      <c r="G263" s="30"/>
      <c r="H263" s="30"/>
      <c r="I263" s="30"/>
      <c r="J263" s="30"/>
      <c r="K263" s="30"/>
      <c r="L263" s="30"/>
      <c r="M263" s="30"/>
      <c r="N263" s="30"/>
    </row>
    <row r="264" spans="1:14" x14ac:dyDescent="0.25">
      <c r="A264" s="59" t="s">
        <v>1381</v>
      </c>
      <c r="B264" s="59">
        <v>447579</v>
      </c>
      <c r="C264" s="30"/>
      <c r="D264" s="30"/>
      <c r="E264" s="30"/>
      <c r="F264" s="30"/>
      <c r="G264" s="30"/>
      <c r="H264" s="30"/>
      <c r="I264" s="30"/>
      <c r="J264" s="30"/>
      <c r="K264" s="30"/>
      <c r="L264" s="30"/>
      <c r="M264" s="30"/>
      <c r="N264" s="30"/>
    </row>
    <row r="265" spans="1:14" x14ac:dyDescent="0.25">
      <c r="A265" s="59" t="s">
        <v>1274</v>
      </c>
      <c r="B265" s="59" t="s">
        <v>280</v>
      </c>
      <c r="C265" s="30"/>
      <c r="D265" s="30"/>
      <c r="E265" s="30"/>
      <c r="F265" s="30"/>
      <c r="G265" s="30"/>
      <c r="H265" s="30"/>
      <c r="I265" s="30"/>
      <c r="J265" s="30"/>
      <c r="K265" s="30"/>
      <c r="L265" s="30"/>
      <c r="M265" s="30"/>
      <c r="N265" s="30"/>
    </row>
    <row r="266" spans="1:14" x14ac:dyDescent="0.25">
      <c r="A266" s="59" t="s">
        <v>1275</v>
      </c>
      <c r="B266" s="59" t="s">
        <v>762</v>
      </c>
      <c r="C266" s="30"/>
      <c r="D266" s="30"/>
      <c r="E266" s="30"/>
      <c r="F266" s="30"/>
      <c r="G266" s="30"/>
      <c r="H266" s="30"/>
      <c r="I266" s="30"/>
      <c r="J266" s="30"/>
      <c r="K266" s="30"/>
      <c r="L266" s="30"/>
      <c r="M266" s="30"/>
      <c r="N266" s="30"/>
    </row>
    <row r="267" spans="1:14" x14ac:dyDescent="0.25">
      <c r="A267" s="59" t="s">
        <v>1277</v>
      </c>
      <c r="B267" s="59" t="s">
        <v>766</v>
      </c>
      <c r="C267" s="30"/>
      <c r="D267" s="30"/>
      <c r="E267" s="30"/>
      <c r="F267" s="30"/>
      <c r="G267" s="30"/>
      <c r="H267" s="30"/>
      <c r="I267" s="30"/>
      <c r="J267" s="30"/>
      <c r="K267" s="30"/>
      <c r="L267" s="30"/>
      <c r="M267" s="30"/>
      <c r="N267" s="30"/>
    </row>
    <row r="268" spans="1:14" x14ac:dyDescent="0.25">
      <c r="A268" s="59" t="s">
        <v>1276</v>
      </c>
      <c r="B268" s="59" t="s">
        <v>764</v>
      </c>
      <c r="C268" s="30"/>
      <c r="D268" s="30"/>
      <c r="E268" s="30"/>
      <c r="F268" s="30"/>
      <c r="G268" s="30"/>
      <c r="H268" s="30"/>
      <c r="I268" s="30"/>
      <c r="J268" s="30"/>
      <c r="K268" s="30"/>
      <c r="L268" s="30"/>
      <c r="M268" s="30"/>
      <c r="N268" s="30"/>
    </row>
    <row r="269" spans="1:14" x14ac:dyDescent="0.25">
      <c r="A269" s="59" t="s">
        <v>1279</v>
      </c>
      <c r="B269" s="59" t="s">
        <v>771</v>
      </c>
      <c r="C269" s="30"/>
      <c r="D269" s="30"/>
      <c r="E269" s="30"/>
      <c r="F269" s="30"/>
      <c r="G269" s="30"/>
      <c r="H269" s="30"/>
      <c r="I269" s="30"/>
      <c r="J269" s="30"/>
      <c r="K269" s="30"/>
      <c r="L269" s="30"/>
      <c r="M269" s="30"/>
      <c r="N269" s="30"/>
    </row>
    <row r="270" spans="1:14" x14ac:dyDescent="0.25">
      <c r="A270" s="437" t="s">
        <v>1278</v>
      </c>
      <c r="B270" s="529" t="s">
        <v>768</v>
      </c>
      <c r="C270" s="30"/>
      <c r="D270" s="30"/>
      <c r="E270" s="30"/>
      <c r="F270" s="30"/>
      <c r="G270" s="30"/>
      <c r="H270" s="30"/>
      <c r="I270" s="30"/>
      <c r="J270" s="30"/>
      <c r="K270" s="30"/>
      <c r="L270" s="30"/>
      <c r="M270" s="30"/>
      <c r="N270" s="30"/>
    </row>
    <row r="271" spans="1:14" x14ac:dyDescent="0.25">
      <c r="A271" s="437" t="s">
        <v>564</v>
      </c>
      <c r="B271" s="529" t="s">
        <v>281</v>
      </c>
      <c r="C271" s="30"/>
      <c r="D271" s="30"/>
      <c r="E271" s="30"/>
      <c r="F271" s="30"/>
      <c r="G271" s="30"/>
      <c r="H271" s="30"/>
      <c r="I271" s="30"/>
      <c r="J271" s="30"/>
      <c r="K271" s="30"/>
      <c r="L271" s="30"/>
      <c r="M271" s="30"/>
      <c r="N271" s="30"/>
    </row>
    <row r="272" spans="1:14" x14ac:dyDescent="0.25">
      <c r="A272" s="59" t="s">
        <v>1284</v>
      </c>
      <c r="B272" s="59" t="s">
        <v>774</v>
      </c>
      <c r="C272" s="30"/>
      <c r="D272" s="30"/>
      <c r="E272" s="30"/>
      <c r="F272" s="30"/>
      <c r="G272" s="30"/>
      <c r="H272" s="30"/>
      <c r="I272" s="30"/>
      <c r="J272" s="30"/>
      <c r="K272" s="30"/>
      <c r="L272" s="30"/>
      <c r="M272" s="30"/>
      <c r="N272" s="30"/>
    </row>
    <row r="273" spans="1:14" x14ac:dyDescent="0.25">
      <c r="A273" s="59" t="s">
        <v>1384</v>
      </c>
      <c r="B273" s="59">
        <v>484039</v>
      </c>
      <c r="C273" s="30"/>
      <c r="D273" s="30"/>
      <c r="E273" s="30"/>
      <c r="F273" s="30"/>
      <c r="G273" s="30"/>
      <c r="H273" s="30"/>
      <c r="I273" s="30"/>
      <c r="J273" s="30"/>
      <c r="K273" s="30"/>
      <c r="L273" s="30"/>
      <c r="M273" s="30"/>
      <c r="N273" s="30"/>
    </row>
    <row r="274" spans="1:14" x14ac:dyDescent="0.25">
      <c r="A274" s="59" t="s">
        <v>1285</v>
      </c>
      <c r="B274" s="59" t="s">
        <v>776</v>
      </c>
      <c r="C274" s="30"/>
      <c r="D274" s="30"/>
      <c r="E274" s="30"/>
      <c r="F274" s="30"/>
      <c r="G274" s="30"/>
      <c r="H274" s="30"/>
      <c r="I274" s="30"/>
      <c r="J274" s="30"/>
      <c r="K274" s="30"/>
      <c r="L274" s="30"/>
      <c r="M274" s="30"/>
      <c r="N274" s="30"/>
    </row>
    <row r="275" spans="1:14" x14ac:dyDescent="0.25">
      <c r="A275" s="59" t="s">
        <v>1385</v>
      </c>
      <c r="B275" s="59">
        <v>343478</v>
      </c>
      <c r="C275" s="30"/>
      <c r="D275" s="30"/>
      <c r="E275" s="30"/>
      <c r="F275" s="30"/>
      <c r="G275" s="30"/>
      <c r="H275" s="30"/>
      <c r="I275" s="30"/>
      <c r="J275" s="30"/>
      <c r="K275" s="30"/>
      <c r="L275" s="30"/>
      <c r="M275" s="30"/>
      <c r="N275" s="30"/>
    </row>
    <row r="276" spans="1:14" x14ac:dyDescent="0.25">
      <c r="A276" s="59" t="s">
        <v>532</v>
      </c>
      <c r="B276" s="59" t="s">
        <v>283</v>
      </c>
      <c r="C276" s="30"/>
      <c r="D276" s="30"/>
      <c r="E276" s="30"/>
      <c r="F276" s="30"/>
      <c r="G276" s="30"/>
      <c r="H276" s="30"/>
      <c r="I276" s="30"/>
      <c r="J276" s="30"/>
      <c r="K276" s="30"/>
      <c r="L276" s="30"/>
      <c r="M276" s="30"/>
      <c r="N276" s="30"/>
    </row>
    <row r="277" spans="1:14" x14ac:dyDescent="0.25">
      <c r="A277" s="59" t="s">
        <v>1280</v>
      </c>
      <c r="B277" s="59">
        <v>206031</v>
      </c>
      <c r="C277" s="30"/>
      <c r="D277" s="30"/>
      <c r="E277" s="30"/>
      <c r="F277" s="30"/>
      <c r="G277" s="30"/>
      <c r="H277" s="30"/>
      <c r="I277" s="30"/>
      <c r="J277" s="30"/>
      <c r="K277" s="30"/>
      <c r="L277" s="30"/>
      <c r="M277" s="30"/>
      <c r="N277" s="30"/>
    </row>
    <row r="278" spans="1:14" x14ac:dyDescent="0.25">
      <c r="A278" s="59" t="s">
        <v>531</v>
      </c>
      <c r="B278" s="59" t="s">
        <v>284</v>
      </c>
      <c r="C278" s="30"/>
      <c r="D278" s="30"/>
      <c r="E278" s="30"/>
      <c r="F278" s="30"/>
      <c r="G278" s="30"/>
      <c r="H278" s="30"/>
      <c r="I278" s="30"/>
      <c r="J278" s="30"/>
      <c r="K278" s="30"/>
      <c r="L278" s="30"/>
      <c r="M278" s="30"/>
      <c r="N278" s="30"/>
    </row>
    <row r="279" spans="1:14" x14ac:dyDescent="0.25">
      <c r="A279" s="59" t="s">
        <v>530</v>
      </c>
      <c r="B279" s="59" t="s">
        <v>282</v>
      </c>
      <c r="C279" s="30"/>
      <c r="D279" s="30"/>
      <c r="E279" s="30"/>
      <c r="F279" s="30"/>
      <c r="G279" s="30"/>
      <c r="H279" s="30"/>
      <c r="I279" s="30"/>
      <c r="J279" s="30"/>
      <c r="K279" s="30"/>
      <c r="L279" s="30"/>
      <c r="M279" s="30"/>
      <c r="N279" s="30"/>
    </row>
    <row r="280" spans="1:14" x14ac:dyDescent="0.25">
      <c r="A280" s="59" t="s">
        <v>1281</v>
      </c>
      <c r="B280" s="59" t="s">
        <v>781</v>
      </c>
      <c r="C280" s="30"/>
      <c r="D280" s="30"/>
      <c r="E280" s="30"/>
      <c r="F280" s="30"/>
      <c r="G280" s="30"/>
      <c r="H280" s="30"/>
      <c r="I280" s="30"/>
      <c r="J280" s="30"/>
      <c r="K280" s="30"/>
      <c r="L280" s="30"/>
      <c r="M280" s="30"/>
      <c r="N280" s="30"/>
    </row>
    <row r="281" spans="1:14" x14ac:dyDescent="0.25">
      <c r="A281" s="59" t="s">
        <v>1255</v>
      </c>
      <c r="B281" s="59" t="s">
        <v>285</v>
      </c>
      <c r="C281" s="30"/>
      <c r="D281" s="30"/>
      <c r="E281" s="30"/>
      <c r="F281" s="30"/>
      <c r="G281" s="30"/>
      <c r="H281" s="30"/>
      <c r="I281" s="30"/>
      <c r="J281" s="30"/>
      <c r="K281" s="30"/>
      <c r="L281" s="30"/>
      <c r="M281" s="30"/>
      <c r="N281" s="30"/>
    </row>
    <row r="282" spans="1:14" x14ac:dyDescent="0.25">
      <c r="A282" s="59" t="s">
        <v>1289</v>
      </c>
      <c r="B282" s="59">
        <v>260848</v>
      </c>
      <c r="C282" s="30"/>
      <c r="D282" s="30"/>
      <c r="E282" s="30"/>
      <c r="F282" s="30"/>
      <c r="G282" s="30"/>
      <c r="H282" s="30"/>
      <c r="I282" s="30"/>
      <c r="J282" s="30"/>
      <c r="K282" s="30"/>
      <c r="L282" s="30"/>
      <c r="M282" s="30"/>
      <c r="N282" s="30"/>
    </row>
    <row r="283" spans="1:14" x14ac:dyDescent="0.25">
      <c r="A283" s="59" t="s">
        <v>565</v>
      </c>
      <c r="B283" s="59">
        <v>206043</v>
      </c>
      <c r="C283" s="30"/>
      <c r="D283" s="30"/>
      <c r="E283" s="30"/>
      <c r="F283" s="30"/>
      <c r="G283" s="30"/>
      <c r="H283" s="30"/>
      <c r="I283" s="30"/>
      <c r="J283" s="30"/>
      <c r="K283" s="30"/>
      <c r="L283" s="30"/>
      <c r="M283" s="30"/>
      <c r="N283" s="30"/>
    </row>
    <row r="284" spans="1:14" x14ac:dyDescent="0.25">
      <c r="A284" s="59" t="s">
        <v>533</v>
      </c>
      <c r="B284" s="59" t="s">
        <v>286</v>
      </c>
      <c r="C284" s="30"/>
      <c r="D284" s="30"/>
      <c r="E284" s="30"/>
      <c r="F284" s="30"/>
      <c r="G284" s="30"/>
      <c r="H284" s="30"/>
      <c r="I284" s="30"/>
      <c r="J284" s="30"/>
      <c r="K284" s="30"/>
      <c r="L284" s="30"/>
      <c r="M284" s="30"/>
      <c r="N284" s="30"/>
    </row>
    <row r="285" spans="1:14" x14ac:dyDescent="0.25">
      <c r="A285" s="59" t="s">
        <v>533</v>
      </c>
      <c r="B285" s="59">
        <v>505502</v>
      </c>
      <c r="C285" s="30"/>
      <c r="D285" s="30"/>
      <c r="E285" s="30"/>
      <c r="F285" s="30"/>
      <c r="G285" s="30"/>
      <c r="H285" s="30"/>
      <c r="I285" s="30"/>
      <c r="J285" s="30"/>
      <c r="K285" s="30"/>
      <c r="L285" s="30"/>
      <c r="M285" s="30"/>
      <c r="N285" s="30"/>
    </row>
    <row r="286" spans="1:14" x14ac:dyDescent="0.25">
      <c r="A286" s="59" t="s">
        <v>563</v>
      </c>
      <c r="B286" s="59">
        <v>205978</v>
      </c>
      <c r="C286" s="30"/>
      <c r="D286" s="30"/>
      <c r="E286" s="30"/>
      <c r="F286" s="30"/>
      <c r="G286" s="30"/>
      <c r="H286" s="30"/>
      <c r="I286" s="30"/>
      <c r="J286" s="30"/>
      <c r="K286" s="30"/>
      <c r="L286" s="30"/>
      <c r="M286" s="30"/>
      <c r="N286" s="30"/>
    </row>
    <row r="287" spans="1:14" x14ac:dyDescent="0.25">
      <c r="A287" s="59" t="s">
        <v>1296</v>
      </c>
      <c r="B287" s="59">
        <v>435150</v>
      </c>
      <c r="C287" s="30"/>
      <c r="D287" s="30"/>
      <c r="E287" s="30"/>
      <c r="F287" s="30"/>
      <c r="G287" s="30"/>
      <c r="H287" s="30"/>
      <c r="I287" s="30"/>
      <c r="J287" s="30"/>
      <c r="K287" s="30"/>
      <c r="L287" s="30"/>
      <c r="M287" s="30"/>
      <c r="N287" s="30"/>
    </row>
    <row r="288" spans="1:14" x14ac:dyDescent="0.25">
      <c r="A288" s="59" t="s">
        <v>1288</v>
      </c>
      <c r="B288" s="59">
        <v>206067</v>
      </c>
      <c r="C288" s="30"/>
      <c r="D288" s="30"/>
      <c r="E288" s="30"/>
      <c r="F288" s="30"/>
      <c r="G288" s="30"/>
      <c r="H288" s="30"/>
      <c r="I288" s="30"/>
      <c r="J288" s="30"/>
      <c r="K288" s="30"/>
      <c r="L288" s="30"/>
      <c r="M288" s="30"/>
      <c r="N288" s="30"/>
    </row>
    <row r="289" spans="1:14" x14ac:dyDescent="0.25">
      <c r="A289" s="59" t="s">
        <v>534</v>
      </c>
      <c r="B289" s="59" t="s">
        <v>287</v>
      </c>
      <c r="C289" s="30"/>
      <c r="D289" s="30"/>
      <c r="E289" s="30"/>
      <c r="F289" s="30"/>
      <c r="G289" s="30"/>
      <c r="H289" s="30"/>
      <c r="I289" s="30"/>
      <c r="J289" s="30"/>
      <c r="K289" s="30"/>
      <c r="L289" s="30"/>
      <c r="M289" s="30"/>
      <c r="N289" s="30"/>
    </row>
    <row r="290" spans="1:14" x14ac:dyDescent="0.25">
      <c r="A290" s="59" t="s">
        <v>1282</v>
      </c>
      <c r="B290" s="59" t="s">
        <v>279</v>
      </c>
      <c r="C290" s="30"/>
      <c r="D290" s="30"/>
      <c r="E290" s="30"/>
      <c r="F290" s="30"/>
      <c r="G290" s="30"/>
      <c r="H290" s="30"/>
      <c r="I290" s="30"/>
      <c r="J290" s="30"/>
      <c r="K290" s="30"/>
      <c r="L290" s="30"/>
      <c r="M290" s="30"/>
      <c r="N290" s="30"/>
    </row>
    <row r="291" spans="1:14" x14ac:dyDescent="0.25">
      <c r="A291" s="59" t="s">
        <v>535</v>
      </c>
      <c r="B291" s="59" t="s">
        <v>288</v>
      </c>
      <c r="C291" s="30"/>
      <c r="D291" s="30"/>
      <c r="E291" s="30"/>
      <c r="F291" s="30"/>
      <c r="G291" s="30"/>
      <c r="H291" s="30"/>
      <c r="I291" s="30"/>
      <c r="J291" s="30"/>
      <c r="K291" s="30"/>
      <c r="L291" s="30"/>
      <c r="M291" s="30"/>
      <c r="N291" s="30"/>
    </row>
    <row r="292" spans="1:14" x14ac:dyDescent="0.25">
      <c r="A292" s="59" t="s">
        <v>1286</v>
      </c>
      <c r="B292" s="59" t="s">
        <v>793</v>
      </c>
      <c r="C292" s="30"/>
      <c r="D292" s="30"/>
      <c r="E292" s="30"/>
      <c r="F292" s="30"/>
      <c r="G292" s="30"/>
      <c r="H292" s="30"/>
      <c r="I292" s="30"/>
      <c r="J292" s="30"/>
      <c r="K292" s="30"/>
      <c r="L292" s="30"/>
      <c r="M292" s="30"/>
      <c r="N292" s="30"/>
    </row>
    <row r="293" spans="1:14" x14ac:dyDescent="0.25">
      <c r="A293" s="59" t="s">
        <v>1386</v>
      </c>
      <c r="B293" s="59">
        <v>414019</v>
      </c>
      <c r="C293" s="30"/>
      <c r="D293" s="30"/>
      <c r="E293" s="30"/>
      <c r="F293" s="30"/>
      <c r="G293" s="30"/>
      <c r="H293" s="30"/>
      <c r="I293" s="30"/>
      <c r="J293" s="30"/>
      <c r="K293" s="30"/>
      <c r="L293" s="30"/>
      <c r="M293" s="30"/>
      <c r="N293" s="30"/>
    </row>
    <row r="294" spans="1:14" x14ac:dyDescent="0.25">
      <c r="A294" s="59" t="s">
        <v>567</v>
      </c>
      <c r="B294" s="59" t="s">
        <v>274</v>
      </c>
      <c r="C294" s="30"/>
      <c r="D294" s="30"/>
      <c r="E294" s="30"/>
      <c r="F294" s="30"/>
      <c r="G294" s="30"/>
      <c r="H294" s="30"/>
      <c r="I294" s="30"/>
      <c r="J294" s="30"/>
      <c r="K294" s="30"/>
      <c r="L294" s="30"/>
      <c r="M294" s="30"/>
      <c r="N294" s="30"/>
    </row>
    <row r="295" spans="1:14" x14ac:dyDescent="0.25">
      <c r="A295" s="59" t="s">
        <v>1387</v>
      </c>
      <c r="B295" s="59">
        <v>458078</v>
      </c>
      <c r="C295" s="30"/>
      <c r="D295" s="30"/>
      <c r="E295" s="30"/>
      <c r="F295" s="30"/>
      <c r="G295" s="30"/>
      <c r="H295" s="30"/>
      <c r="I295" s="30"/>
      <c r="J295" s="30"/>
      <c r="K295" s="30"/>
      <c r="L295" s="30"/>
      <c r="M295" s="30"/>
      <c r="N295" s="30"/>
    </row>
    <row r="296" spans="1:14" x14ac:dyDescent="0.25">
      <c r="A296" s="59" t="s">
        <v>1287</v>
      </c>
      <c r="B296" s="59" t="s">
        <v>795</v>
      </c>
      <c r="C296" s="30"/>
      <c r="D296" s="30"/>
      <c r="E296" s="30"/>
      <c r="F296" s="30"/>
      <c r="G296" s="30"/>
      <c r="H296" s="30"/>
      <c r="I296" s="30"/>
      <c r="J296" s="30"/>
      <c r="K296" s="30"/>
      <c r="L296" s="30"/>
      <c r="M296" s="30"/>
      <c r="N296" s="30"/>
    </row>
    <row r="297" spans="1:14" x14ac:dyDescent="0.25">
      <c r="A297" s="59" t="s">
        <v>289</v>
      </c>
      <c r="B297" s="59" t="s">
        <v>290</v>
      </c>
      <c r="C297" s="30"/>
      <c r="D297" s="30"/>
      <c r="E297" s="30"/>
      <c r="F297" s="30"/>
      <c r="G297" s="30"/>
      <c r="H297" s="30"/>
      <c r="I297" s="30"/>
      <c r="J297" s="30"/>
      <c r="K297" s="30"/>
      <c r="L297" s="30"/>
      <c r="M297" s="30"/>
      <c r="N297" s="30"/>
    </row>
    <row r="298" spans="1:14" x14ac:dyDescent="0.25">
      <c r="A298" s="59" t="s">
        <v>1306</v>
      </c>
      <c r="B298" s="59">
        <v>4003</v>
      </c>
      <c r="C298" s="30"/>
      <c r="D298" s="30"/>
      <c r="E298" s="30"/>
      <c r="F298" s="30"/>
      <c r="G298" s="30"/>
      <c r="H298" s="30"/>
      <c r="I298" s="30"/>
      <c r="J298" s="30"/>
      <c r="K298" s="30"/>
      <c r="L298" s="30"/>
      <c r="M298" s="30"/>
      <c r="N298" s="30"/>
    </row>
    <row r="299" spans="1:14" x14ac:dyDescent="0.25">
      <c r="A299" s="59" t="s">
        <v>797</v>
      </c>
      <c r="B299" s="59" t="s">
        <v>798</v>
      </c>
      <c r="C299" s="30"/>
      <c r="D299" s="30"/>
      <c r="E299" s="30"/>
      <c r="F299" s="30"/>
      <c r="G299" s="30"/>
      <c r="H299" s="30"/>
      <c r="I299" s="30"/>
      <c r="J299" s="30"/>
      <c r="K299" s="30"/>
      <c r="L299" s="30"/>
      <c r="M299" s="30"/>
      <c r="N299" s="30"/>
    </row>
    <row r="300" spans="1:14" x14ac:dyDescent="0.25">
      <c r="A300" s="59" t="s">
        <v>291</v>
      </c>
      <c r="B300" s="59" t="s">
        <v>293</v>
      </c>
      <c r="C300" s="30"/>
      <c r="D300" s="30"/>
      <c r="E300" s="30"/>
      <c r="F300" s="30"/>
      <c r="G300" s="30"/>
      <c r="H300" s="30"/>
      <c r="I300" s="30"/>
      <c r="J300" s="30"/>
      <c r="K300" s="30"/>
      <c r="L300" s="30"/>
      <c r="M300" s="30"/>
      <c r="N300" s="30"/>
    </row>
    <row r="301" spans="1:14" x14ac:dyDescent="0.25">
      <c r="A301" s="59" t="s">
        <v>111</v>
      </c>
      <c r="B301" s="59">
        <v>4178</v>
      </c>
      <c r="C301" s="30"/>
      <c r="D301" s="30"/>
      <c r="E301" s="30"/>
      <c r="F301" s="30"/>
      <c r="G301" s="30"/>
      <c r="H301" s="30"/>
      <c r="I301" s="30"/>
      <c r="J301" s="30"/>
      <c r="K301" s="30"/>
      <c r="L301" s="30"/>
      <c r="M301" s="30"/>
      <c r="N301" s="30"/>
    </row>
    <row r="302" spans="1:14" x14ac:dyDescent="0.25">
      <c r="A302" s="59" t="s">
        <v>98</v>
      </c>
      <c r="B302" s="59">
        <v>3158</v>
      </c>
      <c r="C302" s="30"/>
      <c r="D302" s="30"/>
      <c r="E302" s="30"/>
      <c r="F302" s="30"/>
      <c r="G302" s="30"/>
      <c r="H302" s="30"/>
      <c r="I302" s="30"/>
      <c r="J302" s="30"/>
      <c r="K302" s="30"/>
      <c r="L302" s="30"/>
      <c r="M302" s="30"/>
      <c r="N302" s="30"/>
    </row>
    <row r="303" spans="1:14" x14ac:dyDescent="0.25">
      <c r="A303" s="59" t="s">
        <v>32</v>
      </c>
      <c r="B303" s="59">
        <v>2619</v>
      </c>
      <c r="C303" s="30"/>
      <c r="D303" s="30"/>
      <c r="E303" s="30"/>
      <c r="F303" s="30"/>
      <c r="G303" s="30"/>
      <c r="H303" s="30"/>
      <c r="I303" s="30"/>
      <c r="J303" s="30"/>
      <c r="K303" s="30"/>
      <c r="L303" s="30"/>
      <c r="M303" s="30"/>
      <c r="N303" s="30"/>
    </row>
    <row r="304" spans="1:14" x14ac:dyDescent="0.25">
      <c r="A304" s="59" t="s">
        <v>1388</v>
      </c>
      <c r="B304" s="59">
        <v>479542</v>
      </c>
      <c r="C304" s="30"/>
      <c r="D304" s="30"/>
      <c r="E304" s="30"/>
      <c r="F304" s="30"/>
      <c r="G304" s="30"/>
      <c r="H304" s="30"/>
      <c r="I304" s="30"/>
      <c r="J304" s="30"/>
      <c r="K304" s="30"/>
      <c r="L304" s="30"/>
      <c r="M304" s="30"/>
      <c r="N304" s="30"/>
    </row>
    <row r="305" spans="1:14" x14ac:dyDescent="0.25">
      <c r="A305" s="59" t="s">
        <v>1389</v>
      </c>
      <c r="B305" s="59" t="s">
        <v>1390</v>
      </c>
      <c r="C305" s="30"/>
      <c r="D305" s="30"/>
      <c r="E305" s="30"/>
      <c r="F305" s="30"/>
      <c r="G305" s="30"/>
      <c r="H305" s="30"/>
      <c r="I305" s="30"/>
      <c r="J305" s="30"/>
      <c r="K305" s="30"/>
      <c r="L305" s="30"/>
      <c r="M305" s="30"/>
      <c r="N305" s="30"/>
    </row>
    <row r="306" spans="1:14" x14ac:dyDescent="0.25">
      <c r="A306" s="59" t="s">
        <v>799</v>
      </c>
      <c r="B306" s="59" t="s">
        <v>800</v>
      </c>
      <c r="C306" s="30"/>
      <c r="D306" s="30"/>
      <c r="E306" s="30"/>
      <c r="F306" s="30"/>
      <c r="G306" s="30"/>
      <c r="H306" s="30"/>
      <c r="I306" s="30"/>
      <c r="J306" s="30"/>
      <c r="K306" s="30"/>
      <c r="L306" s="30"/>
      <c r="M306" s="30"/>
      <c r="N306" s="30"/>
    </row>
    <row r="307" spans="1:14" x14ac:dyDescent="0.25">
      <c r="A307" s="59" t="s">
        <v>1391</v>
      </c>
      <c r="B307" s="59">
        <v>487369</v>
      </c>
      <c r="C307" s="30"/>
      <c r="D307" s="30"/>
      <c r="E307" s="30"/>
      <c r="F307" s="30"/>
      <c r="G307" s="30"/>
      <c r="H307" s="30"/>
      <c r="I307" s="30"/>
      <c r="J307" s="30"/>
      <c r="K307" s="30"/>
      <c r="L307" s="30"/>
      <c r="M307" s="30"/>
      <c r="N307" s="30"/>
    </row>
    <row r="308" spans="1:14" x14ac:dyDescent="0.25">
      <c r="A308" s="59" t="s">
        <v>1392</v>
      </c>
      <c r="B308" s="59">
        <v>477763</v>
      </c>
      <c r="C308" s="30"/>
      <c r="D308" s="30"/>
      <c r="E308" s="30"/>
      <c r="F308" s="30"/>
      <c r="G308" s="30"/>
      <c r="H308" s="30"/>
      <c r="I308" s="30"/>
      <c r="J308" s="30"/>
      <c r="K308" s="30"/>
      <c r="L308" s="30"/>
      <c r="M308" s="30"/>
      <c r="N308" s="30"/>
    </row>
    <row r="309" spans="1:14" x14ac:dyDescent="0.25">
      <c r="A309" s="59" t="s">
        <v>294</v>
      </c>
      <c r="B309" s="59" t="s">
        <v>295</v>
      </c>
      <c r="C309" s="30"/>
      <c r="D309" s="30"/>
      <c r="E309" s="30"/>
      <c r="F309" s="30"/>
      <c r="G309" s="30"/>
      <c r="H309" s="30"/>
      <c r="I309" s="30"/>
      <c r="J309" s="30"/>
      <c r="K309" s="30"/>
      <c r="L309" s="30"/>
      <c r="M309" s="30"/>
      <c r="N309" s="30"/>
    </row>
    <row r="310" spans="1:14" x14ac:dyDescent="0.25">
      <c r="A310" s="59" t="s">
        <v>296</v>
      </c>
      <c r="B310" s="59">
        <v>258417</v>
      </c>
      <c r="C310" s="30"/>
      <c r="D310" s="30"/>
      <c r="E310" s="30"/>
      <c r="F310" s="30"/>
      <c r="G310" s="30"/>
      <c r="H310" s="30"/>
      <c r="I310" s="30"/>
      <c r="J310" s="30"/>
      <c r="K310" s="30"/>
      <c r="L310" s="30"/>
      <c r="M310" s="30"/>
      <c r="N310" s="30"/>
    </row>
    <row r="311" spans="1:14" x14ac:dyDescent="0.25">
      <c r="A311" s="59" t="s">
        <v>298</v>
      </c>
      <c r="B311" s="59" t="s">
        <v>300</v>
      </c>
      <c r="C311" s="30"/>
      <c r="D311" s="30"/>
      <c r="E311" s="30"/>
      <c r="F311" s="30"/>
      <c r="G311" s="30"/>
      <c r="H311" s="30"/>
      <c r="I311" s="30"/>
      <c r="J311" s="30"/>
      <c r="K311" s="30"/>
      <c r="L311" s="30"/>
      <c r="M311" s="30"/>
      <c r="N311" s="30"/>
    </row>
    <row r="312" spans="1:14" x14ac:dyDescent="0.25">
      <c r="A312" s="59" t="s">
        <v>301</v>
      </c>
      <c r="B312" s="59" t="s">
        <v>303</v>
      </c>
      <c r="C312" s="30"/>
      <c r="D312" s="30"/>
      <c r="E312" s="30"/>
      <c r="F312" s="30"/>
      <c r="G312" s="30"/>
      <c r="H312" s="30"/>
      <c r="I312" s="30"/>
      <c r="J312" s="30"/>
      <c r="K312" s="30"/>
      <c r="L312" s="30"/>
      <c r="M312" s="30"/>
      <c r="N312" s="30"/>
    </row>
    <row r="313" spans="1:14" x14ac:dyDescent="0.25">
      <c r="A313" s="59" t="s">
        <v>33</v>
      </c>
      <c r="B313" s="59">
        <v>2518</v>
      </c>
      <c r="C313" s="30"/>
      <c r="D313" s="30"/>
      <c r="E313" s="30"/>
      <c r="F313" s="30"/>
      <c r="G313" s="30"/>
      <c r="H313" s="30"/>
      <c r="I313" s="30"/>
      <c r="J313" s="30"/>
      <c r="K313" s="30"/>
      <c r="L313" s="30"/>
      <c r="M313" s="30"/>
      <c r="N313" s="30"/>
    </row>
    <row r="314" spans="1:14" x14ac:dyDescent="0.25">
      <c r="A314" s="59" t="s">
        <v>801</v>
      </c>
      <c r="B314" s="59" t="s">
        <v>802</v>
      </c>
      <c r="C314" s="30"/>
      <c r="D314" s="30"/>
      <c r="E314" s="30"/>
      <c r="F314" s="30"/>
      <c r="G314" s="30"/>
      <c r="H314" s="30"/>
      <c r="I314" s="30"/>
      <c r="J314" s="30"/>
      <c r="K314" s="30"/>
      <c r="L314" s="30"/>
      <c r="M314" s="30"/>
      <c r="N314" s="30"/>
    </row>
    <row r="315" spans="1:14" x14ac:dyDescent="0.25">
      <c r="A315" s="59" t="s">
        <v>304</v>
      </c>
      <c r="B315" s="59">
        <v>206106</v>
      </c>
      <c r="C315" s="30"/>
      <c r="D315" s="30"/>
      <c r="E315" s="30"/>
      <c r="F315" s="30"/>
      <c r="G315" s="30"/>
      <c r="H315" s="30"/>
      <c r="I315" s="30"/>
      <c r="J315" s="30"/>
      <c r="K315" s="30"/>
      <c r="L315" s="30"/>
      <c r="M315" s="30"/>
      <c r="N315" s="30"/>
    </row>
    <row r="316" spans="1:14" x14ac:dyDescent="0.25">
      <c r="A316" s="59" t="s">
        <v>306</v>
      </c>
      <c r="B316" s="59" t="s">
        <v>307</v>
      </c>
      <c r="C316" s="30"/>
      <c r="D316" s="30"/>
      <c r="E316" s="30"/>
      <c r="F316" s="30"/>
      <c r="G316" s="30"/>
      <c r="H316" s="30"/>
      <c r="I316" s="30"/>
      <c r="J316" s="30"/>
      <c r="K316" s="30"/>
      <c r="L316" s="30"/>
      <c r="M316" s="30"/>
      <c r="N316" s="30"/>
    </row>
    <row r="317" spans="1:14" x14ac:dyDescent="0.25">
      <c r="A317" s="59" t="s">
        <v>803</v>
      </c>
      <c r="B317" s="59" t="s">
        <v>804</v>
      </c>
      <c r="C317" s="30"/>
      <c r="D317" s="30"/>
      <c r="E317" s="30"/>
      <c r="F317" s="30"/>
      <c r="G317" s="30"/>
      <c r="H317" s="30"/>
      <c r="I317" s="30"/>
      <c r="J317" s="30"/>
      <c r="K317" s="30"/>
      <c r="L317" s="30"/>
      <c r="M317" s="30"/>
      <c r="N317" s="30"/>
    </row>
    <row r="318" spans="1:14" x14ac:dyDescent="0.25">
      <c r="A318" s="59" t="s">
        <v>34</v>
      </c>
      <c r="B318" s="59">
        <v>2457</v>
      </c>
      <c r="C318" s="30"/>
      <c r="D318" s="30"/>
      <c r="E318" s="30"/>
      <c r="F318" s="30"/>
      <c r="G318" s="30"/>
      <c r="H318" s="30"/>
      <c r="I318" s="30"/>
      <c r="J318" s="30"/>
      <c r="K318" s="30"/>
      <c r="L318" s="30"/>
      <c r="M318" s="30"/>
      <c r="N318" s="30"/>
    </row>
    <row r="319" spans="1:14" x14ac:dyDescent="0.25">
      <c r="A319" s="59" t="s">
        <v>99</v>
      </c>
      <c r="B319" s="59">
        <v>2010</v>
      </c>
      <c r="C319" s="30"/>
      <c r="D319" s="30"/>
      <c r="E319" s="30"/>
      <c r="F319" s="30"/>
      <c r="G319" s="30"/>
      <c r="H319" s="30"/>
      <c r="I319" s="30"/>
      <c r="J319" s="30"/>
      <c r="K319" s="30"/>
      <c r="L319" s="30"/>
      <c r="M319" s="30"/>
      <c r="N319" s="30"/>
    </row>
    <row r="320" spans="1:14" x14ac:dyDescent="0.25">
      <c r="A320" s="59" t="s">
        <v>35</v>
      </c>
      <c r="B320" s="59">
        <v>2002</v>
      </c>
      <c r="C320" s="30"/>
      <c r="D320" s="30"/>
      <c r="E320" s="30"/>
      <c r="F320" s="30"/>
      <c r="G320" s="30"/>
      <c r="H320" s="30"/>
      <c r="I320" s="30"/>
      <c r="J320" s="30"/>
      <c r="K320" s="30"/>
      <c r="L320" s="30"/>
      <c r="M320" s="30"/>
      <c r="N320" s="30"/>
    </row>
    <row r="321" spans="1:14" x14ac:dyDescent="0.25">
      <c r="A321" s="59" t="s">
        <v>36</v>
      </c>
      <c r="B321" s="59">
        <v>3544</v>
      </c>
      <c r="C321" s="30"/>
      <c r="D321" s="30"/>
      <c r="E321" s="30"/>
      <c r="F321" s="30"/>
      <c r="G321" s="30"/>
      <c r="H321" s="30"/>
      <c r="I321" s="30"/>
      <c r="J321" s="30"/>
      <c r="K321" s="30"/>
      <c r="L321" s="30"/>
      <c r="M321" s="30"/>
      <c r="N321" s="30"/>
    </row>
    <row r="322" spans="1:14" x14ac:dyDescent="0.25">
      <c r="A322" s="59" t="s">
        <v>5</v>
      </c>
      <c r="B322" s="59">
        <v>1008</v>
      </c>
      <c r="C322" s="30"/>
      <c r="D322" s="30"/>
      <c r="E322" s="30"/>
      <c r="F322" s="30"/>
      <c r="G322" s="30"/>
      <c r="H322" s="30"/>
      <c r="I322" s="30"/>
      <c r="J322" s="30"/>
      <c r="K322" s="30"/>
      <c r="L322" s="30"/>
      <c r="M322" s="30"/>
      <c r="N322" s="30"/>
    </row>
    <row r="323" spans="1:14" x14ac:dyDescent="0.25">
      <c r="A323" s="59" t="s">
        <v>308</v>
      </c>
      <c r="B323" s="59" t="s">
        <v>309</v>
      </c>
      <c r="C323" s="30"/>
      <c r="D323" s="30"/>
      <c r="E323" s="30"/>
      <c r="F323" s="30"/>
      <c r="G323" s="30"/>
      <c r="H323" s="30"/>
      <c r="I323" s="30"/>
      <c r="J323" s="30"/>
      <c r="K323" s="30"/>
      <c r="L323" s="30"/>
      <c r="M323" s="30"/>
      <c r="N323" s="30"/>
    </row>
    <row r="324" spans="1:14" x14ac:dyDescent="0.25">
      <c r="A324" s="59" t="s">
        <v>100</v>
      </c>
      <c r="B324" s="59">
        <v>2006</v>
      </c>
      <c r="C324" s="30"/>
      <c r="D324" s="30"/>
      <c r="E324" s="30"/>
      <c r="F324" s="30"/>
      <c r="G324" s="30"/>
      <c r="H324" s="30"/>
      <c r="I324" s="30"/>
      <c r="J324" s="30"/>
      <c r="K324" s="30"/>
      <c r="L324" s="30"/>
      <c r="M324" s="30"/>
      <c r="N324" s="30"/>
    </row>
    <row r="325" spans="1:14" x14ac:dyDescent="0.25">
      <c r="A325" s="59" t="s">
        <v>310</v>
      </c>
      <c r="B325" s="59" t="s">
        <v>311</v>
      </c>
      <c r="C325" s="30"/>
      <c r="D325" s="30"/>
      <c r="E325" s="30"/>
      <c r="F325" s="30"/>
      <c r="G325" s="30"/>
      <c r="H325" s="30"/>
      <c r="I325" s="30"/>
      <c r="J325" s="30"/>
      <c r="K325" s="30"/>
      <c r="L325" s="30"/>
      <c r="M325" s="30"/>
      <c r="N325" s="30"/>
    </row>
    <row r="326" spans="1:14" x14ac:dyDescent="0.25">
      <c r="A326" s="59" t="s">
        <v>312</v>
      </c>
      <c r="B326" s="59">
        <v>206133</v>
      </c>
      <c r="C326" s="30"/>
      <c r="D326" s="30"/>
      <c r="E326" s="30"/>
      <c r="F326" s="30"/>
      <c r="G326" s="30"/>
      <c r="H326" s="30"/>
      <c r="I326" s="30"/>
      <c r="J326" s="30"/>
      <c r="K326" s="30"/>
      <c r="L326" s="30"/>
      <c r="M326" s="30"/>
      <c r="N326" s="30"/>
    </row>
    <row r="327" spans="1:14" x14ac:dyDescent="0.25">
      <c r="A327" s="59" t="s">
        <v>806</v>
      </c>
      <c r="B327" s="59" t="s">
        <v>807</v>
      </c>
      <c r="C327" s="30"/>
      <c r="D327" s="30"/>
      <c r="E327" s="30"/>
      <c r="F327" s="30"/>
      <c r="G327" s="30"/>
      <c r="H327" s="30"/>
      <c r="I327" s="30"/>
      <c r="J327" s="30"/>
      <c r="K327" s="30"/>
      <c r="L327" s="30"/>
      <c r="M327" s="30"/>
      <c r="N327" s="30"/>
    </row>
    <row r="328" spans="1:14" x14ac:dyDescent="0.25">
      <c r="A328" s="59" t="s">
        <v>314</v>
      </c>
      <c r="B328" s="59" t="s">
        <v>316</v>
      </c>
      <c r="C328" s="30"/>
      <c r="D328" s="30"/>
      <c r="E328" s="30"/>
      <c r="F328" s="30"/>
      <c r="G328" s="30"/>
      <c r="H328" s="30"/>
      <c r="I328" s="30"/>
      <c r="J328" s="30"/>
      <c r="K328" s="30"/>
      <c r="L328" s="30"/>
      <c r="M328" s="30"/>
      <c r="N328" s="30"/>
    </row>
    <row r="329" spans="1:14" x14ac:dyDescent="0.25">
      <c r="A329" s="59" t="s">
        <v>317</v>
      </c>
      <c r="B329" s="59">
        <v>206134</v>
      </c>
      <c r="C329" s="30"/>
      <c r="D329" s="30"/>
      <c r="E329" s="30"/>
      <c r="F329" s="30"/>
      <c r="G329" s="30"/>
      <c r="H329" s="30"/>
      <c r="I329" s="30"/>
      <c r="J329" s="30"/>
      <c r="K329" s="30"/>
      <c r="L329" s="30"/>
      <c r="M329" s="30"/>
      <c r="N329" s="30"/>
    </row>
    <row r="330" spans="1:14" x14ac:dyDescent="0.25">
      <c r="A330" s="59" t="s">
        <v>321</v>
      </c>
      <c r="B330" s="59" t="s">
        <v>322</v>
      </c>
      <c r="C330" s="30"/>
      <c r="D330" s="30"/>
      <c r="E330" s="30"/>
      <c r="F330" s="30"/>
      <c r="G330" s="30"/>
      <c r="H330" s="30"/>
      <c r="I330" s="30"/>
      <c r="J330" s="30"/>
      <c r="K330" s="30"/>
      <c r="L330" s="30"/>
      <c r="M330" s="30"/>
      <c r="N330" s="30"/>
    </row>
    <row r="331" spans="1:14" x14ac:dyDescent="0.25">
      <c r="A331" s="59" t="s">
        <v>319</v>
      </c>
      <c r="B331" s="59" t="s">
        <v>320</v>
      </c>
      <c r="C331" s="30"/>
      <c r="D331" s="30"/>
      <c r="E331" s="30"/>
      <c r="F331" s="30"/>
      <c r="G331" s="30"/>
      <c r="H331" s="30"/>
      <c r="I331" s="30"/>
      <c r="J331" s="30"/>
      <c r="K331" s="30"/>
      <c r="L331" s="30"/>
      <c r="M331" s="30"/>
      <c r="N331" s="30"/>
    </row>
    <row r="332" spans="1:14" x14ac:dyDescent="0.25">
      <c r="A332" s="59" t="s">
        <v>323</v>
      </c>
      <c r="B332" s="59" t="s">
        <v>324</v>
      </c>
      <c r="C332" s="30"/>
      <c r="D332" s="30"/>
      <c r="E332" s="30"/>
      <c r="F332" s="30"/>
      <c r="G332" s="30"/>
      <c r="H332" s="30"/>
      <c r="I332" s="30"/>
      <c r="J332" s="30"/>
      <c r="K332" s="30"/>
      <c r="L332" s="30"/>
      <c r="M332" s="30"/>
      <c r="N332" s="30"/>
    </row>
    <row r="333" spans="1:14" x14ac:dyDescent="0.25">
      <c r="A333" s="59" t="s">
        <v>325</v>
      </c>
      <c r="B333" s="59">
        <v>206109</v>
      </c>
      <c r="C333" s="30"/>
      <c r="D333" s="30"/>
      <c r="E333" s="30"/>
      <c r="F333" s="30"/>
      <c r="G333" s="30"/>
      <c r="H333" s="30"/>
      <c r="I333" s="30"/>
      <c r="J333" s="30"/>
      <c r="K333" s="30"/>
      <c r="L333" s="30"/>
      <c r="M333" s="30"/>
      <c r="N333" s="30"/>
    </row>
    <row r="334" spans="1:14" x14ac:dyDescent="0.25">
      <c r="A334" s="59" t="s">
        <v>37</v>
      </c>
      <c r="B334" s="59">
        <v>2434</v>
      </c>
      <c r="C334" s="30"/>
      <c r="D334" s="30"/>
      <c r="E334" s="30"/>
      <c r="F334" s="30"/>
      <c r="G334" s="30"/>
      <c r="H334" s="30"/>
      <c r="I334" s="30"/>
      <c r="J334" s="30"/>
      <c r="K334" s="30"/>
      <c r="L334" s="30"/>
      <c r="M334" s="30"/>
      <c r="N334" s="30"/>
    </row>
    <row r="335" spans="1:14" x14ac:dyDescent="0.25">
      <c r="A335" s="59" t="s">
        <v>42</v>
      </c>
      <c r="B335" s="59">
        <v>2009</v>
      </c>
      <c r="C335" s="30"/>
      <c r="D335" s="30"/>
      <c r="E335" s="30"/>
      <c r="F335" s="30"/>
      <c r="G335" s="30"/>
      <c r="H335" s="30"/>
      <c r="I335" s="30"/>
      <c r="J335" s="30"/>
      <c r="K335" s="30"/>
      <c r="L335" s="30"/>
      <c r="M335" s="30"/>
      <c r="N335" s="30"/>
    </row>
    <row r="336" spans="1:14" x14ac:dyDescent="0.25">
      <c r="A336" s="59" t="s">
        <v>569</v>
      </c>
      <c r="B336" s="59">
        <v>6905</v>
      </c>
      <c r="C336" s="30"/>
      <c r="D336" s="30"/>
      <c r="E336" s="30"/>
      <c r="F336" s="30"/>
      <c r="G336" s="30"/>
      <c r="H336" s="30"/>
      <c r="I336" s="30"/>
      <c r="J336" s="30"/>
      <c r="K336" s="30"/>
      <c r="L336" s="30"/>
      <c r="M336" s="30"/>
      <c r="N336" s="30"/>
    </row>
    <row r="337" spans="1:14" x14ac:dyDescent="0.25">
      <c r="A337" s="59" t="s">
        <v>38</v>
      </c>
      <c r="B337" s="59">
        <v>2522</v>
      </c>
      <c r="C337" s="30"/>
      <c r="D337" s="30"/>
      <c r="E337" s="30"/>
      <c r="F337" s="30"/>
      <c r="G337" s="30"/>
      <c r="H337" s="30"/>
      <c r="I337" s="30"/>
      <c r="J337" s="30"/>
      <c r="K337" s="30"/>
      <c r="L337" s="30"/>
      <c r="M337" s="30"/>
      <c r="N337" s="30"/>
    </row>
    <row r="338" spans="1:14" x14ac:dyDescent="0.25">
      <c r="A338" s="59" t="s">
        <v>327</v>
      </c>
      <c r="B338" s="59">
        <v>206110</v>
      </c>
      <c r="C338" s="30"/>
      <c r="D338" s="30"/>
      <c r="E338" s="30"/>
      <c r="F338" s="30"/>
      <c r="G338" s="30"/>
      <c r="H338" s="30"/>
      <c r="I338" s="30"/>
      <c r="J338" s="30"/>
      <c r="K338" s="30"/>
      <c r="L338" s="30"/>
      <c r="M338" s="30"/>
      <c r="N338" s="30"/>
    </row>
    <row r="339" spans="1:14" x14ac:dyDescent="0.25">
      <c r="A339" s="59" t="s">
        <v>329</v>
      </c>
      <c r="B339" s="59">
        <v>206135</v>
      </c>
      <c r="C339" s="30"/>
      <c r="D339" s="30"/>
      <c r="E339" s="30"/>
      <c r="F339" s="30"/>
      <c r="G339" s="30"/>
      <c r="H339" s="30"/>
      <c r="I339" s="30"/>
      <c r="J339" s="30"/>
      <c r="K339" s="30"/>
      <c r="L339" s="30"/>
      <c r="M339" s="30"/>
      <c r="N339" s="30"/>
    </row>
    <row r="340" spans="1:14" x14ac:dyDescent="0.25">
      <c r="A340" s="59" t="s">
        <v>69</v>
      </c>
      <c r="B340" s="59">
        <v>4181</v>
      </c>
      <c r="C340" s="30"/>
      <c r="D340" s="30"/>
      <c r="E340" s="30"/>
      <c r="F340" s="30"/>
      <c r="G340" s="30"/>
      <c r="H340" s="30"/>
      <c r="I340" s="30"/>
      <c r="J340" s="30"/>
      <c r="K340" s="30"/>
      <c r="L340" s="30"/>
      <c r="M340" s="30"/>
      <c r="N340" s="30"/>
    </row>
    <row r="341" spans="1:14" x14ac:dyDescent="0.25">
      <c r="A341" s="59" t="s">
        <v>331</v>
      </c>
      <c r="B341" s="59">
        <v>509195</v>
      </c>
      <c r="C341" s="30"/>
      <c r="D341" s="30"/>
      <c r="E341" s="30"/>
      <c r="F341" s="30"/>
      <c r="G341" s="30"/>
      <c r="H341" s="30"/>
      <c r="I341" s="30"/>
      <c r="J341" s="30"/>
      <c r="K341" s="30"/>
      <c r="L341" s="30"/>
      <c r="M341" s="30"/>
      <c r="N341" s="30"/>
    </row>
    <row r="342" spans="1:14" x14ac:dyDescent="0.25">
      <c r="A342" s="59" t="s">
        <v>1393</v>
      </c>
      <c r="B342" s="59">
        <v>480857</v>
      </c>
      <c r="C342" s="30"/>
      <c r="D342" s="30"/>
      <c r="E342" s="30"/>
      <c r="F342" s="30"/>
      <c r="G342" s="30"/>
      <c r="H342" s="30"/>
      <c r="I342" s="30"/>
      <c r="J342" s="30"/>
      <c r="K342" s="30"/>
      <c r="L342" s="30"/>
      <c r="M342" s="30"/>
      <c r="N342" s="30"/>
    </row>
    <row r="343" spans="1:14" x14ac:dyDescent="0.25">
      <c r="A343" s="59" t="s">
        <v>333</v>
      </c>
      <c r="B343" s="59" t="s">
        <v>334</v>
      </c>
      <c r="C343" s="30"/>
      <c r="D343" s="30"/>
      <c r="E343" s="30"/>
      <c r="F343" s="30"/>
      <c r="G343" s="30"/>
      <c r="H343" s="30"/>
      <c r="I343" s="30"/>
      <c r="J343" s="30"/>
      <c r="K343" s="30"/>
      <c r="L343" s="30"/>
      <c r="M343" s="30"/>
      <c r="N343" s="30"/>
    </row>
    <row r="344" spans="1:14" x14ac:dyDescent="0.25">
      <c r="A344" s="59" t="s">
        <v>335</v>
      </c>
      <c r="B344" s="59" t="s">
        <v>336</v>
      </c>
      <c r="C344" s="30"/>
      <c r="D344" s="30"/>
      <c r="E344" s="30"/>
      <c r="F344" s="30"/>
      <c r="G344" s="30"/>
      <c r="H344" s="30"/>
      <c r="I344" s="30"/>
      <c r="J344" s="30"/>
      <c r="K344" s="30"/>
      <c r="L344" s="30"/>
      <c r="M344" s="30"/>
      <c r="N344" s="30"/>
    </row>
    <row r="345" spans="1:14" x14ac:dyDescent="0.25">
      <c r="A345" s="59" t="s">
        <v>1394</v>
      </c>
      <c r="B345" s="59">
        <v>492973</v>
      </c>
      <c r="C345" s="30"/>
      <c r="D345" s="30"/>
      <c r="E345" s="30"/>
      <c r="F345" s="30"/>
      <c r="G345" s="30"/>
      <c r="H345" s="30"/>
      <c r="I345" s="30"/>
      <c r="J345" s="30"/>
      <c r="K345" s="30"/>
      <c r="L345" s="30"/>
      <c r="M345" s="30"/>
      <c r="N345" s="30"/>
    </row>
    <row r="346" spans="1:14" x14ac:dyDescent="0.25">
      <c r="A346" s="59" t="s">
        <v>337</v>
      </c>
      <c r="B346" s="59" t="s">
        <v>339</v>
      </c>
      <c r="C346" s="30"/>
      <c r="D346" s="30"/>
      <c r="E346" s="30"/>
      <c r="F346" s="30"/>
      <c r="G346" s="30"/>
      <c r="H346" s="30"/>
      <c r="I346" s="30"/>
      <c r="J346" s="30"/>
      <c r="K346" s="30"/>
      <c r="L346" s="30"/>
      <c r="M346" s="30"/>
      <c r="N346" s="30"/>
    </row>
    <row r="347" spans="1:14" x14ac:dyDescent="0.25">
      <c r="A347" s="59" t="s">
        <v>340</v>
      </c>
      <c r="B347" s="59">
        <v>509199</v>
      </c>
      <c r="C347" s="30"/>
      <c r="D347" s="30"/>
      <c r="E347" s="30"/>
      <c r="F347" s="30"/>
      <c r="G347" s="30"/>
      <c r="H347" s="30"/>
      <c r="I347" s="30"/>
      <c r="J347" s="30"/>
      <c r="K347" s="30"/>
      <c r="L347" s="30"/>
      <c r="M347" s="30"/>
      <c r="N347" s="30"/>
    </row>
    <row r="348" spans="1:14" x14ac:dyDescent="0.25">
      <c r="A348" s="59" t="s">
        <v>342</v>
      </c>
      <c r="B348" s="59">
        <v>509197</v>
      </c>
      <c r="C348" s="30"/>
      <c r="D348" s="30"/>
      <c r="E348" s="30"/>
      <c r="F348" s="30"/>
      <c r="G348" s="30"/>
      <c r="H348" s="30"/>
      <c r="I348" s="30"/>
      <c r="J348" s="30"/>
      <c r="K348" s="30"/>
      <c r="L348" s="30"/>
      <c r="M348" s="30"/>
      <c r="N348" s="30"/>
    </row>
    <row r="349" spans="1:14" x14ac:dyDescent="0.25">
      <c r="A349" s="59" t="s">
        <v>808</v>
      </c>
      <c r="B349" s="59">
        <v>479383</v>
      </c>
      <c r="C349" s="30"/>
      <c r="D349" s="30"/>
      <c r="E349" s="30"/>
      <c r="F349" s="30"/>
      <c r="G349" s="30"/>
      <c r="H349" s="30"/>
      <c r="I349" s="30"/>
      <c r="J349" s="30"/>
      <c r="K349" s="30"/>
      <c r="L349" s="30"/>
      <c r="M349" s="30"/>
      <c r="N349" s="30"/>
    </row>
    <row r="350" spans="1:14" x14ac:dyDescent="0.25">
      <c r="A350" s="59" t="s">
        <v>347</v>
      </c>
      <c r="B350" s="59" t="s">
        <v>348</v>
      </c>
      <c r="C350" s="30"/>
      <c r="D350" s="30"/>
      <c r="E350" s="30"/>
      <c r="F350" s="30"/>
      <c r="G350" s="30"/>
      <c r="H350" s="30"/>
      <c r="I350" s="30"/>
      <c r="J350" s="30"/>
      <c r="K350" s="30"/>
      <c r="L350" s="30"/>
      <c r="M350" s="30"/>
      <c r="N350" s="30"/>
    </row>
    <row r="351" spans="1:14" x14ac:dyDescent="0.25">
      <c r="A351" s="59" t="s">
        <v>70</v>
      </c>
      <c r="B351" s="59">
        <v>4182</v>
      </c>
      <c r="C351" s="30"/>
      <c r="D351" s="30"/>
      <c r="E351" s="30"/>
      <c r="F351" s="30"/>
      <c r="G351" s="30"/>
      <c r="H351" s="30"/>
      <c r="I351" s="30"/>
      <c r="J351" s="30"/>
      <c r="K351" s="30"/>
      <c r="L351" s="30"/>
      <c r="M351" s="30"/>
      <c r="N351" s="30"/>
    </row>
    <row r="352" spans="1:14" x14ac:dyDescent="0.25">
      <c r="A352" s="59" t="s">
        <v>344</v>
      </c>
      <c r="B352" s="59" t="s">
        <v>346</v>
      </c>
      <c r="C352" s="30"/>
      <c r="D352" s="30"/>
      <c r="E352" s="30"/>
      <c r="F352" s="30"/>
      <c r="G352" s="30"/>
      <c r="H352" s="30"/>
      <c r="I352" s="30"/>
      <c r="J352" s="30"/>
      <c r="K352" s="30"/>
      <c r="L352" s="30"/>
      <c r="M352" s="30"/>
      <c r="N352" s="30"/>
    </row>
    <row r="353" spans="1:14" x14ac:dyDescent="0.25">
      <c r="A353" s="59" t="s">
        <v>6</v>
      </c>
      <c r="B353" s="59">
        <v>1005</v>
      </c>
      <c r="C353" s="30"/>
      <c r="D353" s="30"/>
      <c r="E353" s="30"/>
      <c r="F353" s="30"/>
      <c r="G353" s="30"/>
      <c r="H353" s="30"/>
      <c r="I353" s="30"/>
      <c r="J353" s="30"/>
      <c r="K353" s="30"/>
      <c r="L353" s="30"/>
      <c r="M353" s="30"/>
      <c r="N353" s="30"/>
    </row>
    <row r="354" spans="1:14" x14ac:dyDescent="0.25">
      <c r="A354" s="59" t="s">
        <v>809</v>
      </c>
      <c r="B354" s="59" t="s">
        <v>810</v>
      </c>
      <c r="C354" s="30"/>
      <c r="D354" s="30"/>
      <c r="E354" s="30"/>
      <c r="F354" s="30"/>
      <c r="G354" s="30"/>
      <c r="H354" s="30"/>
      <c r="I354" s="30"/>
      <c r="J354" s="30"/>
      <c r="K354" s="30"/>
      <c r="L354" s="30"/>
      <c r="M354" s="30"/>
      <c r="N354" s="30"/>
    </row>
    <row r="355" spans="1:14" x14ac:dyDescent="0.25">
      <c r="A355" s="59" t="s">
        <v>39</v>
      </c>
      <c r="B355" s="59">
        <v>2436</v>
      </c>
      <c r="C355" s="30"/>
      <c r="D355" s="30"/>
      <c r="E355" s="30"/>
      <c r="F355" s="30"/>
      <c r="G355" s="30"/>
      <c r="H355" s="30"/>
      <c r="I355" s="30"/>
      <c r="J355" s="30"/>
      <c r="K355" s="30"/>
      <c r="L355" s="30"/>
      <c r="M355" s="30"/>
      <c r="N355" s="30"/>
    </row>
    <row r="356" spans="1:14" x14ac:dyDescent="0.25">
      <c r="A356" s="59" t="s">
        <v>349</v>
      </c>
      <c r="B356" s="59">
        <v>206117</v>
      </c>
      <c r="C356" s="30"/>
      <c r="D356" s="30"/>
      <c r="E356" s="30"/>
      <c r="F356" s="30"/>
      <c r="G356" s="30"/>
      <c r="H356" s="30"/>
      <c r="I356" s="30"/>
      <c r="J356" s="30"/>
      <c r="K356" s="30"/>
      <c r="L356" s="30"/>
      <c r="M356" s="30"/>
      <c r="N356" s="30"/>
    </row>
    <row r="357" spans="1:14" x14ac:dyDescent="0.25">
      <c r="A357" s="59" t="s">
        <v>40</v>
      </c>
      <c r="B357" s="59">
        <v>2452</v>
      </c>
      <c r="C357" s="30"/>
      <c r="D357" s="30"/>
      <c r="E357" s="30"/>
      <c r="F357" s="30"/>
      <c r="G357" s="30"/>
      <c r="H357" s="30"/>
      <c r="I357" s="30"/>
      <c r="J357" s="30"/>
      <c r="K357" s="30"/>
      <c r="L357" s="30"/>
      <c r="M357" s="30"/>
      <c r="N357" s="30"/>
    </row>
    <row r="358" spans="1:14" x14ac:dyDescent="0.25">
      <c r="A358" s="59" t="s">
        <v>71</v>
      </c>
      <c r="B358" s="59">
        <v>4001</v>
      </c>
      <c r="C358" s="30"/>
      <c r="D358" s="30"/>
      <c r="E358" s="30"/>
      <c r="F358" s="30"/>
      <c r="G358" s="30"/>
      <c r="H358" s="30"/>
      <c r="I358" s="30"/>
      <c r="J358" s="30"/>
      <c r="K358" s="30"/>
      <c r="L358" s="30"/>
      <c r="M358" s="30"/>
      <c r="N358" s="30"/>
    </row>
    <row r="359" spans="1:14" x14ac:dyDescent="0.25">
      <c r="A359" s="59" t="s">
        <v>351</v>
      </c>
      <c r="B359" s="59">
        <v>206141</v>
      </c>
      <c r="C359" s="30"/>
      <c r="D359" s="30"/>
      <c r="E359" s="30"/>
      <c r="F359" s="30"/>
      <c r="G359" s="30"/>
      <c r="H359" s="30"/>
      <c r="I359" s="30"/>
      <c r="J359" s="30"/>
      <c r="K359" s="30"/>
      <c r="L359" s="30"/>
      <c r="M359" s="30"/>
      <c r="N359" s="30"/>
    </row>
    <row r="360" spans="1:14" x14ac:dyDescent="0.25">
      <c r="A360" s="59" t="s">
        <v>41</v>
      </c>
      <c r="B360" s="59">
        <v>2627</v>
      </c>
      <c r="C360" s="30"/>
      <c r="D360" s="30"/>
      <c r="E360" s="30"/>
      <c r="F360" s="30"/>
      <c r="G360" s="30"/>
      <c r="H360" s="30"/>
      <c r="I360" s="30"/>
      <c r="J360" s="30"/>
      <c r="K360" s="30"/>
      <c r="L360" s="30"/>
      <c r="M360" s="30"/>
      <c r="N360" s="30"/>
    </row>
    <row r="361" spans="1:14" x14ac:dyDescent="0.25">
      <c r="A361" s="59" t="s">
        <v>112</v>
      </c>
      <c r="B361" s="59">
        <v>5406</v>
      </c>
      <c r="C361" s="30"/>
      <c r="D361" s="30"/>
      <c r="E361" s="30"/>
      <c r="F361" s="30"/>
      <c r="G361" s="30"/>
      <c r="H361" s="30"/>
      <c r="I361" s="30"/>
      <c r="J361" s="30"/>
      <c r="K361" s="30"/>
      <c r="L361" s="30"/>
      <c r="M361" s="30"/>
      <c r="N361" s="30"/>
    </row>
    <row r="362" spans="1:14" x14ac:dyDescent="0.25">
      <c r="A362" s="59" t="s">
        <v>113</v>
      </c>
      <c r="B362" s="59">
        <v>5407</v>
      </c>
      <c r="C362" s="30"/>
      <c r="D362" s="30"/>
      <c r="E362" s="30"/>
      <c r="F362" s="30"/>
      <c r="G362" s="30"/>
      <c r="H362" s="30"/>
      <c r="I362" s="30"/>
      <c r="J362" s="30"/>
      <c r="K362" s="30"/>
      <c r="L362" s="30"/>
      <c r="M362" s="30"/>
      <c r="N362" s="30"/>
    </row>
    <row r="363" spans="1:14" x14ac:dyDescent="0.25">
      <c r="A363" s="59" t="s">
        <v>353</v>
      </c>
      <c r="B363" s="59" t="s">
        <v>355</v>
      </c>
      <c r="C363" s="30"/>
      <c r="D363" s="30"/>
      <c r="E363" s="30"/>
      <c r="F363" s="30"/>
      <c r="G363" s="30"/>
      <c r="H363" s="30"/>
      <c r="I363" s="30"/>
      <c r="J363" s="30"/>
      <c r="K363" s="30"/>
      <c r="L363" s="30"/>
      <c r="M363" s="30"/>
      <c r="N363" s="30"/>
    </row>
    <row r="364" spans="1:14" x14ac:dyDescent="0.25">
      <c r="A364" s="59" t="s">
        <v>356</v>
      </c>
      <c r="B364" s="59">
        <v>258404</v>
      </c>
      <c r="C364" s="30"/>
      <c r="D364" s="30"/>
      <c r="E364" s="30"/>
      <c r="F364" s="30"/>
      <c r="G364" s="30"/>
      <c r="H364" s="30"/>
      <c r="I364" s="30"/>
      <c r="J364" s="30"/>
      <c r="K364" s="30"/>
      <c r="L364" s="30"/>
      <c r="M364" s="30"/>
      <c r="N364" s="30"/>
    </row>
    <row r="365" spans="1:14" x14ac:dyDescent="0.25">
      <c r="A365" s="59" t="s">
        <v>101</v>
      </c>
      <c r="B365" s="59">
        <v>2473</v>
      </c>
      <c r="C365" s="30"/>
      <c r="D365" s="30"/>
      <c r="E365" s="30"/>
      <c r="F365" s="30"/>
      <c r="G365" s="30"/>
      <c r="H365" s="30"/>
      <c r="I365" s="30"/>
      <c r="J365" s="30"/>
      <c r="K365" s="30"/>
      <c r="L365" s="30"/>
      <c r="M365" s="30"/>
      <c r="N365" s="30"/>
    </row>
    <row r="366" spans="1:14" x14ac:dyDescent="0.25">
      <c r="A366" s="59" t="s">
        <v>44</v>
      </c>
      <c r="B366" s="59">
        <v>2471</v>
      </c>
      <c r="C366" s="30"/>
      <c r="D366" s="30"/>
      <c r="E366" s="30"/>
      <c r="F366" s="30"/>
      <c r="G366" s="30"/>
      <c r="H366" s="30"/>
      <c r="I366" s="30"/>
      <c r="J366" s="30"/>
      <c r="K366" s="30"/>
      <c r="L366" s="30"/>
      <c r="M366" s="30"/>
      <c r="N366" s="30"/>
    </row>
    <row r="367" spans="1:14" x14ac:dyDescent="0.25">
      <c r="A367" s="59" t="s">
        <v>358</v>
      </c>
      <c r="B367" s="59">
        <v>258405</v>
      </c>
      <c r="C367" s="30"/>
      <c r="D367" s="30"/>
      <c r="E367" s="30"/>
      <c r="F367" s="30"/>
      <c r="G367" s="30"/>
      <c r="H367" s="30"/>
      <c r="I367" s="30"/>
      <c r="J367" s="30"/>
      <c r="K367" s="30"/>
      <c r="L367" s="30"/>
      <c r="M367" s="30"/>
      <c r="N367" s="30"/>
    </row>
    <row r="368" spans="1:14" x14ac:dyDescent="0.25">
      <c r="A368" s="59" t="s">
        <v>360</v>
      </c>
      <c r="B368" s="59">
        <v>258406</v>
      </c>
      <c r="C368" s="30"/>
      <c r="D368" s="30"/>
      <c r="E368" s="30"/>
      <c r="F368" s="30"/>
      <c r="G368" s="30"/>
      <c r="H368" s="30"/>
      <c r="I368" s="30"/>
      <c r="J368" s="30"/>
      <c r="K368" s="30"/>
      <c r="L368" s="30"/>
      <c r="M368" s="30"/>
      <c r="N368" s="30"/>
    </row>
    <row r="369" spans="1:14" x14ac:dyDescent="0.25">
      <c r="A369" s="59" t="s">
        <v>1395</v>
      </c>
      <c r="B369" s="59">
        <v>206145</v>
      </c>
      <c r="C369" s="30"/>
      <c r="D369" s="30"/>
      <c r="E369" s="30"/>
      <c r="F369" s="30"/>
      <c r="G369" s="30"/>
      <c r="H369" s="30"/>
      <c r="I369" s="30"/>
      <c r="J369" s="30"/>
      <c r="K369" s="30"/>
      <c r="L369" s="30"/>
      <c r="M369" s="30"/>
      <c r="N369" s="30"/>
    </row>
    <row r="370" spans="1:14" x14ac:dyDescent="0.25">
      <c r="A370" s="59" t="s">
        <v>43</v>
      </c>
      <c r="B370" s="59">
        <v>2420</v>
      </c>
      <c r="C370" s="30"/>
      <c r="D370" s="30"/>
      <c r="E370" s="30"/>
      <c r="F370" s="30"/>
      <c r="G370" s="30"/>
      <c r="H370" s="30"/>
      <c r="I370" s="30"/>
      <c r="J370" s="30"/>
      <c r="K370" s="30"/>
      <c r="L370" s="30"/>
      <c r="M370" s="30"/>
      <c r="N370" s="30"/>
    </row>
    <row r="371" spans="1:14" x14ac:dyDescent="0.25">
      <c r="A371" s="59" t="s">
        <v>362</v>
      </c>
      <c r="B371" s="59">
        <v>206160</v>
      </c>
      <c r="C371" s="30"/>
      <c r="D371" s="30"/>
      <c r="E371" s="30"/>
      <c r="F371" s="30"/>
      <c r="G371" s="30"/>
      <c r="H371" s="30"/>
      <c r="I371" s="30"/>
      <c r="J371" s="30"/>
      <c r="K371" s="30"/>
      <c r="L371" s="30"/>
      <c r="M371" s="30"/>
      <c r="N371" s="30"/>
    </row>
    <row r="372" spans="1:14" x14ac:dyDescent="0.25">
      <c r="A372" s="59" t="s">
        <v>45</v>
      </c>
      <c r="B372" s="59">
        <v>2003</v>
      </c>
      <c r="C372" s="30"/>
      <c r="D372" s="30"/>
      <c r="E372" s="30"/>
      <c r="F372" s="30"/>
      <c r="G372" s="30"/>
      <c r="H372" s="30"/>
      <c r="I372" s="30"/>
      <c r="J372" s="30"/>
      <c r="K372" s="30"/>
      <c r="L372" s="30"/>
      <c r="M372" s="30"/>
      <c r="N372" s="30"/>
    </row>
    <row r="373" spans="1:14" x14ac:dyDescent="0.25">
      <c r="A373" s="59" t="s">
        <v>46</v>
      </c>
      <c r="B373" s="59">
        <v>2423</v>
      </c>
      <c r="C373" s="30"/>
      <c r="D373" s="30"/>
      <c r="E373" s="30"/>
      <c r="F373" s="30"/>
      <c r="G373" s="30"/>
      <c r="H373" s="30"/>
      <c r="I373" s="30"/>
      <c r="J373" s="30"/>
      <c r="K373" s="30"/>
      <c r="L373" s="30"/>
      <c r="M373" s="30"/>
      <c r="N373" s="30"/>
    </row>
    <row r="374" spans="1:14" x14ac:dyDescent="0.25">
      <c r="A374" s="59" t="s">
        <v>47</v>
      </c>
      <c r="B374" s="59">
        <v>2424</v>
      </c>
      <c r="C374" s="30"/>
      <c r="D374" s="30"/>
      <c r="E374" s="30"/>
      <c r="F374" s="30"/>
      <c r="G374" s="30"/>
      <c r="H374" s="30"/>
      <c r="I374" s="30"/>
      <c r="J374" s="30"/>
      <c r="K374" s="30"/>
      <c r="L374" s="30"/>
      <c r="M374" s="30"/>
      <c r="N374" s="30"/>
    </row>
    <row r="375" spans="1:14" x14ac:dyDescent="0.25">
      <c r="A375" s="59" t="s">
        <v>364</v>
      </c>
      <c r="B375" s="59" t="s">
        <v>366</v>
      </c>
      <c r="C375" s="30"/>
      <c r="D375" s="30"/>
      <c r="E375" s="30"/>
      <c r="F375" s="30"/>
      <c r="G375" s="30"/>
      <c r="H375" s="30"/>
      <c r="I375" s="30"/>
      <c r="J375" s="30"/>
      <c r="K375" s="30"/>
      <c r="L375" s="30"/>
      <c r="M375" s="30"/>
      <c r="N375" s="30"/>
    </row>
    <row r="376" spans="1:14" x14ac:dyDescent="0.25">
      <c r="A376" s="59" t="s">
        <v>367</v>
      </c>
      <c r="B376" s="59" t="s">
        <v>368</v>
      </c>
      <c r="C376" s="30"/>
      <c r="D376" s="30"/>
      <c r="E376" s="30"/>
      <c r="F376" s="30"/>
      <c r="G376" s="30"/>
      <c r="H376" s="30"/>
      <c r="I376" s="30"/>
      <c r="J376" s="30"/>
      <c r="K376" s="30"/>
      <c r="L376" s="30"/>
      <c r="M376" s="30"/>
      <c r="N376" s="30"/>
    </row>
    <row r="377" spans="1:14" x14ac:dyDescent="0.25">
      <c r="A377" s="59" t="s">
        <v>369</v>
      </c>
      <c r="B377" s="59" t="s">
        <v>371</v>
      </c>
      <c r="C377" s="30"/>
      <c r="D377" s="30"/>
      <c r="E377" s="30"/>
      <c r="F377" s="30"/>
      <c r="G377" s="30"/>
      <c r="H377" s="30"/>
      <c r="I377" s="30"/>
      <c r="J377" s="30"/>
      <c r="K377" s="30"/>
      <c r="L377" s="30"/>
      <c r="M377" s="30"/>
      <c r="N377" s="30"/>
    </row>
    <row r="378" spans="1:14" x14ac:dyDescent="0.25">
      <c r="A378" s="59" t="s">
        <v>811</v>
      </c>
      <c r="B378" s="59" t="s">
        <v>812</v>
      </c>
      <c r="C378" s="30"/>
      <c r="D378" s="30"/>
      <c r="E378" s="30"/>
      <c r="F378" s="30"/>
      <c r="G378" s="30"/>
      <c r="H378" s="30"/>
      <c r="I378" s="30"/>
      <c r="J378" s="30"/>
      <c r="K378" s="30"/>
      <c r="L378" s="30"/>
      <c r="M378" s="30"/>
      <c r="N378" s="30"/>
    </row>
    <row r="379" spans="1:14" x14ac:dyDescent="0.25">
      <c r="A379" s="59" t="s">
        <v>372</v>
      </c>
      <c r="B379" s="59">
        <v>206146</v>
      </c>
      <c r="C379" s="30"/>
      <c r="D379" s="30"/>
      <c r="E379" s="30"/>
      <c r="F379" s="30"/>
      <c r="G379" s="30"/>
      <c r="H379" s="30"/>
      <c r="I379" s="30"/>
      <c r="J379" s="30"/>
      <c r="K379" s="30"/>
      <c r="L379" s="30"/>
      <c r="M379" s="30"/>
      <c r="N379" s="30"/>
    </row>
    <row r="380" spans="1:14" x14ac:dyDescent="0.25">
      <c r="A380" s="59" t="s">
        <v>48</v>
      </c>
      <c r="B380" s="59">
        <v>2439</v>
      </c>
      <c r="C380" s="30"/>
      <c r="D380" s="30"/>
      <c r="E380" s="30"/>
      <c r="F380" s="30"/>
      <c r="G380" s="30"/>
      <c r="H380" s="30"/>
      <c r="I380" s="30"/>
      <c r="J380" s="30"/>
      <c r="K380" s="30"/>
      <c r="L380" s="30"/>
      <c r="M380" s="30"/>
      <c r="N380" s="30"/>
    </row>
    <row r="381" spans="1:14" x14ac:dyDescent="0.25">
      <c r="A381" s="59" t="s">
        <v>49</v>
      </c>
      <c r="B381" s="59">
        <v>2440</v>
      </c>
      <c r="C381" s="30"/>
      <c r="D381" s="30"/>
      <c r="E381" s="30"/>
      <c r="F381" s="30"/>
      <c r="G381" s="30"/>
      <c r="H381" s="30"/>
      <c r="I381" s="30"/>
      <c r="J381" s="30"/>
      <c r="K381" s="30"/>
      <c r="L381" s="30"/>
      <c r="M381" s="30"/>
      <c r="N381" s="30"/>
    </row>
    <row r="382" spans="1:14" x14ac:dyDescent="0.25">
      <c r="A382" s="59" t="s">
        <v>374</v>
      </c>
      <c r="B382" s="59" t="s">
        <v>375</v>
      </c>
      <c r="C382" s="30"/>
      <c r="D382" s="30"/>
      <c r="E382" s="30"/>
      <c r="F382" s="30"/>
      <c r="G382" s="30"/>
      <c r="H382" s="30"/>
      <c r="I382" s="30"/>
      <c r="J382" s="30"/>
      <c r="K382" s="30"/>
      <c r="L382" s="30"/>
      <c r="M382" s="30"/>
      <c r="N382" s="30"/>
    </row>
    <row r="383" spans="1:14" x14ac:dyDescent="0.25">
      <c r="A383" s="59" t="s">
        <v>813</v>
      </c>
      <c r="B383" s="59" t="s">
        <v>814</v>
      </c>
      <c r="C383" s="30"/>
      <c r="D383" s="30"/>
      <c r="E383" s="30"/>
      <c r="F383" s="30"/>
      <c r="G383" s="30"/>
      <c r="H383" s="30"/>
      <c r="I383" s="30"/>
      <c r="J383" s="30"/>
      <c r="K383" s="30"/>
      <c r="L383" s="30"/>
      <c r="M383" s="30"/>
      <c r="N383" s="30"/>
    </row>
    <row r="384" spans="1:14" x14ac:dyDescent="0.25">
      <c r="A384" s="59" t="s">
        <v>815</v>
      </c>
      <c r="B384" s="59" t="s">
        <v>816</v>
      </c>
      <c r="C384" s="30"/>
      <c r="D384" s="30"/>
      <c r="E384" s="30"/>
      <c r="F384" s="30"/>
      <c r="G384" s="30"/>
      <c r="H384" s="30"/>
      <c r="I384" s="30"/>
      <c r="J384" s="30"/>
      <c r="K384" s="30"/>
      <c r="L384" s="30"/>
      <c r="M384" s="30"/>
      <c r="N384" s="30"/>
    </row>
    <row r="385" spans="1:14" x14ac:dyDescent="0.25">
      <c r="A385" s="67" t="s">
        <v>377</v>
      </c>
      <c r="B385" s="67" t="s">
        <v>378</v>
      </c>
      <c r="C385" s="30"/>
      <c r="D385" s="30"/>
      <c r="E385" s="30"/>
      <c r="F385" s="30"/>
      <c r="G385" s="30"/>
      <c r="H385" s="30"/>
      <c r="I385" s="30"/>
      <c r="J385" s="30"/>
      <c r="K385" s="30"/>
      <c r="L385" s="30"/>
      <c r="M385" s="30"/>
      <c r="N385" s="30"/>
    </row>
    <row r="386" spans="1:14" x14ac:dyDescent="0.25">
      <c r="A386" s="105" t="s">
        <v>377</v>
      </c>
      <c r="B386" s="110" t="s">
        <v>817</v>
      </c>
      <c r="C386" s="30"/>
      <c r="D386" s="30"/>
      <c r="E386" s="30"/>
      <c r="F386" s="30"/>
      <c r="G386" s="30"/>
      <c r="H386" s="30"/>
      <c r="I386" s="30"/>
      <c r="J386" s="30"/>
      <c r="K386" s="30"/>
      <c r="L386" s="30"/>
      <c r="M386" s="30"/>
      <c r="N386" s="30"/>
    </row>
    <row r="387" spans="1:14" x14ac:dyDescent="0.25">
      <c r="A387" s="105" t="s">
        <v>102</v>
      </c>
      <c r="B387" s="110">
        <v>2462</v>
      </c>
      <c r="C387" s="30"/>
      <c r="D387" s="30"/>
      <c r="E387" s="30"/>
      <c r="F387" s="30"/>
      <c r="G387" s="30"/>
      <c r="H387" s="30"/>
      <c r="I387" s="30"/>
      <c r="J387" s="30"/>
      <c r="K387" s="30"/>
      <c r="L387" s="30"/>
      <c r="M387" s="30"/>
      <c r="N387" s="30"/>
    </row>
    <row r="388" spans="1:14" x14ac:dyDescent="0.25">
      <c r="A388" s="105" t="s">
        <v>50</v>
      </c>
      <c r="B388" s="110">
        <v>2463</v>
      </c>
      <c r="C388" s="30"/>
      <c r="D388" s="30"/>
      <c r="E388" s="30"/>
      <c r="F388" s="30"/>
      <c r="G388" s="30"/>
      <c r="H388" s="30"/>
      <c r="I388" s="30"/>
      <c r="J388" s="30"/>
      <c r="K388" s="30"/>
      <c r="L388" s="30"/>
      <c r="M388" s="30"/>
      <c r="N388" s="30"/>
    </row>
    <row r="389" spans="1:14" x14ac:dyDescent="0.25">
      <c r="A389" s="105" t="s">
        <v>51</v>
      </c>
      <c r="B389" s="67">
        <v>2505</v>
      </c>
      <c r="C389" s="30"/>
      <c r="D389" s="30"/>
      <c r="E389" s="30"/>
      <c r="F389" s="30"/>
      <c r="G389" s="30"/>
      <c r="H389" s="30"/>
      <c r="I389" s="30"/>
      <c r="J389" s="30"/>
      <c r="K389" s="30"/>
      <c r="L389" s="30"/>
      <c r="M389" s="30"/>
      <c r="N389" s="30"/>
    </row>
    <row r="390" spans="1:14" x14ac:dyDescent="0.25">
      <c r="A390" s="105" t="s">
        <v>1304</v>
      </c>
      <c r="B390" s="110">
        <v>2000</v>
      </c>
      <c r="C390" s="30"/>
      <c r="D390" s="30"/>
      <c r="E390" s="30"/>
      <c r="F390" s="30"/>
      <c r="G390" s="30"/>
      <c r="H390" s="30"/>
      <c r="I390" s="30"/>
      <c r="J390" s="30"/>
      <c r="K390" s="30"/>
      <c r="L390" s="30"/>
      <c r="M390" s="30"/>
      <c r="N390" s="30"/>
    </row>
    <row r="391" spans="1:14" x14ac:dyDescent="0.25">
      <c r="A391" s="105" t="s">
        <v>53</v>
      </c>
      <c r="B391" s="67">
        <v>2458</v>
      </c>
      <c r="C391" s="30"/>
      <c r="D391" s="30"/>
      <c r="E391" s="30"/>
      <c r="F391" s="30"/>
      <c r="G391" s="30"/>
      <c r="H391" s="30"/>
      <c r="I391" s="30"/>
      <c r="J391" s="30"/>
      <c r="K391" s="30"/>
      <c r="L391" s="30"/>
      <c r="M391" s="30"/>
      <c r="N391" s="30"/>
    </row>
    <row r="392" spans="1:14" x14ac:dyDescent="0.25">
      <c r="A392" s="105" t="s">
        <v>379</v>
      </c>
      <c r="B392" s="67" t="s">
        <v>381</v>
      </c>
      <c r="C392" s="30"/>
      <c r="D392" s="30"/>
      <c r="E392" s="30"/>
      <c r="F392" s="30"/>
      <c r="G392" s="30"/>
      <c r="H392" s="30"/>
      <c r="I392" s="30"/>
      <c r="J392" s="30"/>
      <c r="K392" s="30"/>
      <c r="L392" s="30"/>
      <c r="M392" s="30"/>
      <c r="N392" s="30"/>
    </row>
    <row r="393" spans="1:14" x14ac:dyDescent="0.25">
      <c r="A393" s="105" t="s">
        <v>54</v>
      </c>
      <c r="B393" s="67">
        <v>2001</v>
      </c>
      <c r="C393" s="30"/>
      <c r="D393" s="30"/>
      <c r="E393" s="30"/>
      <c r="F393" s="30"/>
      <c r="G393" s="30"/>
      <c r="H393" s="30"/>
      <c r="I393" s="30"/>
      <c r="J393" s="30"/>
      <c r="K393" s="30"/>
      <c r="L393" s="30"/>
      <c r="M393" s="30"/>
      <c r="N393" s="30"/>
    </row>
    <row r="394" spans="1:14" x14ac:dyDescent="0.25">
      <c r="A394" s="105" t="s">
        <v>382</v>
      </c>
      <c r="B394" s="67" t="s">
        <v>383</v>
      </c>
      <c r="C394" s="30"/>
      <c r="D394" s="30"/>
      <c r="E394" s="30"/>
      <c r="F394" s="30"/>
      <c r="G394" s="30"/>
      <c r="H394" s="30"/>
      <c r="I394" s="30"/>
      <c r="J394" s="30"/>
      <c r="K394" s="30"/>
      <c r="L394" s="30"/>
      <c r="M394" s="30"/>
      <c r="N394" s="30"/>
    </row>
    <row r="395" spans="1:14" x14ac:dyDescent="0.25">
      <c r="A395" s="105" t="s">
        <v>55</v>
      </c>
      <c r="B395" s="67">
        <v>2429</v>
      </c>
      <c r="C395" s="30"/>
      <c r="D395" s="30"/>
      <c r="E395" s="30"/>
      <c r="F395" s="30"/>
      <c r="G395" s="30"/>
      <c r="H395" s="30"/>
      <c r="I395" s="30"/>
      <c r="J395" s="30"/>
      <c r="K395" s="30"/>
      <c r="L395" s="30"/>
      <c r="M395" s="30"/>
      <c r="N395" s="30"/>
    </row>
    <row r="396" spans="1:14" x14ac:dyDescent="0.25">
      <c r="A396" s="105" t="s">
        <v>384</v>
      </c>
      <c r="B396" s="67">
        <v>113044</v>
      </c>
      <c r="C396" s="30"/>
      <c r="D396" s="30"/>
      <c r="E396" s="30"/>
      <c r="F396" s="30"/>
      <c r="G396" s="30"/>
      <c r="H396" s="30"/>
      <c r="I396" s="30"/>
      <c r="J396" s="30"/>
      <c r="K396" s="30"/>
      <c r="L396" s="30"/>
      <c r="M396" s="30"/>
      <c r="N396" s="30"/>
    </row>
    <row r="397" spans="1:14" x14ac:dyDescent="0.25">
      <c r="A397" s="105" t="s">
        <v>386</v>
      </c>
      <c r="B397" s="67" t="s">
        <v>388</v>
      </c>
      <c r="C397" s="30"/>
      <c r="D397" s="30"/>
      <c r="E397" s="30"/>
      <c r="F397" s="30"/>
      <c r="G397" s="30"/>
      <c r="H397" s="30"/>
      <c r="I397" s="30"/>
      <c r="J397" s="30"/>
      <c r="K397" s="30"/>
      <c r="L397" s="30"/>
      <c r="M397" s="30"/>
      <c r="N397" s="30"/>
    </row>
    <row r="398" spans="1:14" x14ac:dyDescent="0.25">
      <c r="A398" s="105" t="s">
        <v>72</v>
      </c>
      <c r="B398" s="67">
        <v>4607</v>
      </c>
      <c r="C398" s="30"/>
      <c r="D398" s="30"/>
      <c r="E398" s="30"/>
      <c r="F398" s="30"/>
      <c r="G398" s="30"/>
      <c r="H398" s="30"/>
      <c r="I398" s="30"/>
      <c r="J398" s="30"/>
      <c r="K398" s="30"/>
      <c r="L398" s="30"/>
      <c r="M398" s="30"/>
      <c r="N398" s="30"/>
    </row>
    <row r="399" spans="1:14" x14ac:dyDescent="0.25">
      <c r="A399" s="105" t="s">
        <v>818</v>
      </c>
      <c r="B399" s="67" t="s">
        <v>819</v>
      </c>
      <c r="C399" s="30"/>
      <c r="D399" s="30"/>
      <c r="E399" s="30"/>
      <c r="F399" s="30"/>
      <c r="G399" s="30"/>
      <c r="H399" s="30"/>
      <c r="I399" s="30"/>
      <c r="J399" s="30"/>
      <c r="K399" s="30"/>
      <c r="L399" s="30"/>
      <c r="M399" s="30"/>
      <c r="N399" s="30"/>
    </row>
    <row r="400" spans="1:14" x14ac:dyDescent="0.25">
      <c r="A400" s="105" t="s">
        <v>820</v>
      </c>
      <c r="B400" s="67" t="s">
        <v>821</v>
      </c>
      <c r="C400" s="30"/>
      <c r="D400" s="30"/>
      <c r="E400" s="30"/>
      <c r="F400" s="30"/>
      <c r="G400" s="30"/>
      <c r="H400" s="30"/>
      <c r="I400" s="30"/>
      <c r="J400" s="30"/>
      <c r="K400" s="30"/>
      <c r="L400" s="30"/>
      <c r="M400" s="30"/>
      <c r="N400" s="30"/>
    </row>
    <row r="401" spans="1:14" x14ac:dyDescent="0.25">
      <c r="A401" s="105" t="s">
        <v>56</v>
      </c>
      <c r="B401" s="67">
        <v>2444</v>
      </c>
      <c r="C401" s="30"/>
      <c r="D401" s="30"/>
      <c r="E401" s="30"/>
      <c r="F401" s="30"/>
      <c r="G401" s="30"/>
      <c r="H401" s="30"/>
      <c r="I401" s="30"/>
      <c r="J401" s="30"/>
      <c r="K401" s="30"/>
      <c r="L401" s="30"/>
      <c r="M401" s="30"/>
      <c r="N401" s="30"/>
    </row>
    <row r="402" spans="1:14" x14ac:dyDescent="0.25">
      <c r="A402" s="105" t="s">
        <v>57</v>
      </c>
      <c r="B402" s="67">
        <v>5209</v>
      </c>
      <c r="C402" s="30"/>
      <c r="D402" s="30"/>
      <c r="E402" s="30"/>
      <c r="F402" s="30"/>
      <c r="G402" s="30"/>
      <c r="H402" s="30"/>
      <c r="I402" s="30"/>
      <c r="J402" s="30"/>
      <c r="K402" s="30"/>
      <c r="L402" s="30"/>
      <c r="M402" s="30"/>
      <c r="N402" s="30"/>
    </row>
    <row r="403" spans="1:14" x14ac:dyDescent="0.25">
      <c r="A403" s="105" t="s">
        <v>389</v>
      </c>
      <c r="B403" s="67" t="s">
        <v>391</v>
      </c>
      <c r="C403" s="30"/>
      <c r="D403" s="30"/>
      <c r="E403" s="30"/>
      <c r="F403" s="30"/>
      <c r="G403" s="30"/>
      <c r="H403" s="30"/>
      <c r="I403" s="30"/>
      <c r="J403" s="30"/>
      <c r="K403" s="30"/>
      <c r="L403" s="30"/>
      <c r="M403" s="30"/>
      <c r="N403" s="30"/>
    </row>
    <row r="404" spans="1:14" x14ac:dyDescent="0.25">
      <c r="A404" s="105" t="s">
        <v>392</v>
      </c>
      <c r="B404" s="67" t="s">
        <v>394</v>
      </c>
      <c r="C404" s="30"/>
      <c r="D404" s="30"/>
      <c r="E404" s="30"/>
      <c r="F404" s="30"/>
      <c r="G404" s="30"/>
      <c r="H404" s="30"/>
      <c r="I404" s="30"/>
      <c r="J404" s="30"/>
      <c r="K404" s="30"/>
      <c r="L404" s="30"/>
      <c r="M404" s="30"/>
      <c r="N404" s="30"/>
    </row>
    <row r="405" spans="1:14" x14ac:dyDescent="0.25">
      <c r="A405" s="105" t="s">
        <v>58</v>
      </c>
      <c r="B405" s="67">
        <v>2469</v>
      </c>
      <c r="C405" s="30"/>
      <c r="D405" s="30"/>
      <c r="E405" s="30"/>
      <c r="F405" s="30"/>
      <c r="G405" s="30"/>
      <c r="H405" s="30"/>
      <c r="I405" s="30"/>
      <c r="J405" s="30"/>
      <c r="K405" s="30"/>
      <c r="L405" s="30"/>
      <c r="M405" s="30"/>
      <c r="N405" s="30"/>
    </row>
    <row r="406" spans="1:14" x14ac:dyDescent="0.25">
      <c r="A406" s="105" t="s">
        <v>395</v>
      </c>
      <c r="B406" s="110" t="s">
        <v>397</v>
      </c>
      <c r="C406" s="30"/>
      <c r="D406" s="30"/>
      <c r="E406" s="30"/>
      <c r="F406" s="30"/>
      <c r="G406" s="30"/>
      <c r="H406" s="30"/>
      <c r="I406" s="30"/>
      <c r="J406" s="30"/>
      <c r="K406" s="30"/>
      <c r="L406" s="30"/>
      <c r="M406" s="30"/>
      <c r="N406" s="30"/>
    </row>
    <row r="407" spans="1:14" x14ac:dyDescent="0.25">
      <c r="A407" s="105" t="s">
        <v>398</v>
      </c>
      <c r="B407" s="67" t="s">
        <v>399</v>
      </c>
      <c r="C407" s="30"/>
      <c r="D407" s="30"/>
      <c r="E407" s="30"/>
      <c r="F407" s="30"/>
      <c r="G407" s="30"/>
      <c r="H407" s="30"/>
      <c r="I407" s="30"/>
      <c r="J407" s="30"/>
      <c r="K407" s="30"/>
      <c r="L407" s="30"/>
      <c r="M407" s="30"/>
      <c r="N407" s="30"/>
    </row>
    <row r="408" spans="1:14" x14ac:dyDescent="0.25">
      <c r="A408" s="59" t="s">
        <v>59</v>
      </c>
      <c r="B408" s="59">
        <v>2466</v>
      </c>
      <c r="C408" s="30"/>
      <c r="D408" s="30"/>
      <c r="E408" s="30"/>
      <c r="F408" s="30"/>
      <c r="G408" s="30"/>
      <c r="H408" s="30"/>
      <c r="I408" s="30"/>
      <c r="J408" s="30"/>
      <c r="K408" s="30"/>
      <c r="L408" s="30"/>
      <c r="M408" s="30"/>
      <c r="N408" s="30"/>
    </row>
    <row r="409" spans="1:14" x14ac:dyDescent="0.25">
      <c r="A409" s="59" t="s">
        <v>60</v>
      </c>
      <c r="B409" s="59">
        <v>3543</v>
      </c>
      <c r="C409" s="30"/>
      <c r="D409" s="30"/>
      <c r="E409" s="30"/>
      <c r="F409" s="30"/>
      <c r="G409" s="30"/>
      <c r="H409" s="30"/>
      <c r="I409" s="30"/>
      <c r="J409" s="30"/>
      <c r="K409" s="30"/>
      <c r="L409" s="30"/>
      <c r="M409" s="30"/>
      <c r="N409" s="30"/>
    </row>
    <row r="410" spans="1:14" x14ac:dyDescent="0.25">
      <c r="A410" s="59" t="s">
        <v>400</v>
      </c>
      <c r="B410" s="59">
        <v>206152</v>
      </c>
      <c r="C410" s="30"/>
      <c r="D410" s="30"/>
      <c r="E410" s="30"/>
      <c r="F410" s="30"/>
      <c r="G410" s="30"/>
      <c r="H410" s="30"/>
      <c r="I410" s="30"/>
      <c r="J410" s="30"/>
      <c r="K410" s="30"/>
      <c r="L410" s="30"/>
      <c r="M410" s="30"/>
      <c r="N410" s="30"/>
    </row>
    <row r="411" spans="1:14" x14ac:dyDescent="0.25">
      <c r="A411" s="59" t="s">
        <v>402</v>
      </c>
      <c r="B411" s="59">
        <v>206153</v>
      </c>
      <c r="C411" s="30"/>
      <c r="D411" s="30"/>
      <c r="E411" s="30"/>
      <c r="F411" s="30"/>
      <c r="G411" s="30"/>
      <c r="H411" s="30"/>
      <c r="I411" s="30"/>
      <c r="J411" s="30"/>
      <c r="K411" s="30"/>
      <c r="L411" s="30"/>
      <c r="M411" s="30"/>
      <c r="N411" s="30"/>
    </row>
    <row r="412" spans="1:14" x14ac:dyDescent="0.25">
      <c r="A412" s="59" t="s">
        <v>62</v>
      </c>
      <c r="B412" s="59">
        <v>3531</v>
      </c>
      <c r="C412" s="30"/>
      <c r="D412" s="30"/>
      <c r="E412" s="30"/>
      <c r="F412" s="30"/>
      <c r="G412" s="30"/>
      <c r="H412" s="30"/>
      <c r="I412" s="30"/>
      <c r="J412" s="30"/>
      <c r="K412" s="30"/>
      <c r="L412" s="30"/>
      <c r="M412" s="30"/>
      <c r="N412" s="30"/>
    </row>
    <row r="413" spans="1:14" x14ac:dyDescent="0.25">
      <c r="A413" s="59" t="s">
        <v>63</v>
      </c>
      <c r="B413" s="59">
        <v>3526</v>
      </c>
      <c r="C413" s="30"/>
      <c r="D413" s="30"/>
      <c r="E413" s="30"/>
      <c r="F413" s="30"/>
      <c r="G413" s="30"/>
      <c r="H413" s="30"/>
      <c r="I413" s="30"/>
      <c r="J413" s="30"/>
      <c r="K413" s="30"/>
      <c r="L413" s="30"/>
      <c r="M413" s="30"/>
      <c r="N413" s="30"/>
    </row>
    <row r="414" spans="1:14" x14ac:dyDescent="0.25">
      <c r="A414" s="59" t="s">
        <v>104</v>
      </c>
      <c r="B414" s="59">
        <v>3535</v>
      </c>
      <c r="C414" s="30"/>
      <c r="D414" s="30"/>
      <c r="E414" s="30"/>
      <c r="F414" s="30"/>
      <c r="G414" s="30"/>
      <c r="H414" s="30"/>
      <c r="I414" s="30"/>
      <c r="J414" s="30"/>
      <c r="K414" s="30"/>
      <c r="L414" s="30"/>
      <c r="M414" s="30"/>
      <c r="N414" s="30"/>
    </row>
    <row r="415" spans="1:14" x14ac:dyDescent="0.25">
      <c r="A415" s="59" t="s">
        <v>64</v>
      </c>
      <c r="B415" s="59">
        <v>2008</v>
      </c>
      <c r="C415" s="30"/>
      <c r="D415" s="30"/>
      <c r="E415" s="30"/>
      <c r="F415" s="30"/>
      <c r="G415" s="30"/>
      <c r="H415" s="30"/>
      <c r="I415" s="30"/>
      <c r="J415" s="30"/>
      <c r="K415" s="30"/>
      <c r="L415" s="30"/>
      <c r="M415" s="30"/>
      <c r="N415" s="30"/>
    </row>
    <row r="416" spans="1:14" x14ac:dyDescent="0.25">
      <c r="A416" s="59" t="s">
        <v>105</v>
      </c>
      <c r="B416" s="59">
        <v>3542</v>
      </c>
      <c r="C416" s="30"/>
      <c r="D416" s="30"/>
      <c r="E416" s="30"/>
      <c r="F416" s="30"/>
      <c r="G416" s="30"/>
      <c r="H416" s="30"/>
      <c r="I416" s="30"/>
      <c r="J416" s="30"/>
      <c r="K416" s="30"/>
      <c r="L416" s="30"/>
      <c r="M416" s="30"/>
      <c r="N416" s="30"/>
    </row>
    <row r="417" spans="1:14" x14ac:dyDescent="0.25">
      <c r="A417" s="59" t="s">
        <v>404</v>
      </c>
      <c r="B417" s="59">
        <v>206154</v>
      </c>
      <c r="C417" s="30"/>
      <c r="D417" s="30"/>
      <c r="E417" s="30"/>
      <c r="F417" s="30"/>
      <c r="G417" s="30"/>
      <c r="H417" s="30"/>
      <c r="I417" s="30"/>
      <c r="J417" s="30"/>
      <c r="K417" s="30"/>
      <c r="L417" s="30"/>
      <c r="M417" s="30"/>
      <c r="N417" s="30"/>
    </row>
    <row r="418" spans="1:14" x14ac:dyDescent="0.25">
      <c r="A418" s="59" t="s">
        <v>106</v>
      </c>
      <c r="B418" s="59">
        <v>3528</v>
      </c>
      <c r="C418" s="30"/>
      <c r="D418" s="30"/>
      <c r="E418" s="30"/>
      <c r="F418" s="30"/>
      <c r="G418" s="30"/>
      <c r="H418" s="30"/>
      <c r="I418" s="30"/>
      <c r="J418" s="30"/>
      <c r="K418" s="30"/>
      <c r="L418" s="30"/>
      <c r="M418" s="30"/>
      <c r="N418" s="30"/>
    </row>
    <row r="419" spans="1:14" x14ac:dyDescent="0.25">
      <c r="A419" s="59" t="s">
        <v>406</v>
      </c>
      <c r="B419" s="59" t="s">
        <v>407</v>
      </c>
      <c r="C419" s="30"/>
      <c r="D419" s="30"/>
      <c r="E419" s="30"/>
      <c r="F419" s="30"/>
      <c r="G419" s="30"/>
      <c r="H419" s="30"/>
      <c r="I419" s="30"/>
      <c r="J419" s="30"/>
      <c r="K419" s="30"/>
      <c r="L419" s="30"/>
      <c r="M419" s="30"/>
      <c r="N419" s="30"/>
    </row>
    <row r="420" spans="1:14" x14ac:dyDescent="0.25">
      <c r="A420" s="59" t="s">
        <v>107</v>
      </c>
      <c r="B420" s="59">
        <v>3534</v>
      </c>
      <c r="C420" s="30"/>
      <c r="D420" s="30"/>
      <c r="E420" s="30"/>
      <c r="F420" s="30"/>
      <c r="G420" s="30"/>
      <c r="H420" s="30"/>
      <c r="I420" s="30"/>
      <c r="J420" s="30"/>
      <c r="K420" s="30"/>
      <c r="L420" s="30"/>
      <c r="M420" s="30"/>
      <c r="N420" s="30"/>
    </row>
    <row r="421" spans="1:14" x14ac:dyDescent="0.25">
      <c r="A421" s="59" t="s">
        <v>108</v>
      </c>
      <c r="B421" s="59">
        <v>3532</v>
      </c>
      <c r="C421" s="30"/>
      <c r="D421" s="30"/>
      <c r="E421" s="30"/>
      <c r="F421" s="30"/>
      <c r="G421" s="30"/>
      <c r="H421" s="30"/>
      <c r="I421" s="30"/>
      <c r="J421" s="30"/>
      <c r="K421" s="30"/>
      <c r="L421" s="30"/>
      <c r="M421" s="30"/>
      <c r="N421" s="30"/>
    </row>
    <row r="422" spans="1:14" x14ac:dyDescent="0.25">
      <c r="A422" s="59" t="s">
        <v>7</v>
      </c>
      <c r="B422" s="59">
        <v>1010</v>
      </c>
      <c r="C422" s="30"/>
      <c r="D422" s="30"/>
      <c r="E422" s="30"/>
      <c r="F422" s="30"/>
      <c r="G422" s="30"/>
      <c r="H422" s="30"/>
      <c r="I422" s="30"/>
      <c r="J422" s="30"/>
      <c r="K422" s="30"/>
      <c r="L422" s="30"/>
      <c r="M422" s="30"/>
      <c r="N422" s="30"/>
    </row>
    <row r="423" spans="1:14" x14ac:dyDescent="0.25">
      <c r="A423" s="59" t="s">
        <v>1396</v>
      </c>
      <c r="B423" s="59">
        <v>484523</v>
      </c>
      <c r="C423" s="30"/>
      <c r="D423" s="30"/>
      <c r="E423" s="30"/>
      <c r="F423" s="30"/>
      <c r="G423" s="30"/>
      <c r="H423" s="30"/>
      <c r="I423" s="30"/>
      <c r="J423" s="30"/>
      <c r="K423" s="30"/>
      <c r="L423" s="30"/>
      <c r="M423" s="30"/>
      <c r="N423" s="30"/>
    </row>
    <row r="424" spans="1:14" x14ac:dyDescent="0.25">
      <c r="A424" s="59" t="s">
        <v>408</v>
      </c>
      <c r="B424" s="59" t="s">
        <v>410</v>
      </c>
      <c r="C424" s="30"/>
      <c r="D424" s="30"/>
      <c r="E424" s="30"/>
      <c r="F424" s="30"/>
      <c r="G424" s="30"/>
      <c r="H424" s="30"/>
      <c r="I424" s="30"/>
      <c r="J424" s="30"/>
      <c r="K424" s="30"/>
      <c r="L424" s="30"/>
      <c r="M424" s="30"/>
      <c r="N424" s="30"/>
    </row>
    <row r="425" spans="1:14" x14ac:dyDescent="0.25">
      <c r="A425" s="59" t="s">
        <v>114</v>
      </c>
      <c r="B425" s="59">
        <v>4177</v>
      </c>
    </row>
    <row r="426" spans="1:14" x14ac:dyDescent="0.25">
      <c r="A426" s="59" t="s">
        <v>822</v>
      </c>
      <c r="B426" s="59" t="s">
        <v>824</v>
      </c>
    </row>
    <row r="427" spans="1:14" x14ac:dyDescent="0.25">
      <c r="A427" s="59" t="s">
        <v>411</v>
      </c>
      <c r="B427" s="59" t="s">
        <v>413</v>
      </c>
    </row>
    <row r="428" spans="1:14" x14ac:dyDescent="0.25">
      <c r="A428" s="59" t="s">
        <v>414</v>
      </c>
      <c r="B428" s="59">
        <v>206103</v>
      </c>
    </row>
    <row r="429" spans="1:14" x14ac:dyDescent="0.25">
      <c r="A429" s="59" t="s">
        <v>415</v>
      </c>
      <c r="B429" s="59" t="s">
        <v>417</v>
      </c>
    </row>
    <row r="430" spans="1:14" x14ac:dyDescent="0.25">
      <c r="A430" s="59" t="s">
        <v>418</v>
      </c>
      <c r="B430" s="59" t="s">
        <v>420</v>
      </c>
    </row>
    <row r="431" spans="1:14" x14ac:dyDescent="0.25">
      <c r="A431" s="59" t="s">
        <v>421</v>
      </c>
      <c r="B431" s="59">
        <v>258420</v>
      </c>
    </row>
    <row r="432" spans="1:14" x14ac:dyDescent="0.25">
      <c r="A432" s="59" t="s">
        <v>423</v>
      </c>
      <c r="B432" s="59">
        <v>258424</v>
      </c>
    </row>
    <row r="433" spans="1:2" x14ac:dyDescent="0.25">
      <c r="A433" s="59" t="s">
        <v>1397</v>
      </c>
      <c r="B433" s="59">
        <v>482634</v>
      </c>
    </row>
    <row r="434" spans="1:2" x14ac:dyDescent="0.25">
      <c r="A434" s="59" t="s">
        <v>425</v>
      </c>
      <c r="B434" s="59" t="s">
        <v>426</v>
      </c>
    </row>
    <row r="435" spans="1:2" x14ac:dyDescent="0.25">
      <c r="A435" s="59" t="s">
        <v>65</v>
      </c>
      <c r="B435" s="59">
        <v>3546</v>
      </c>
    </row>
    <row r="436" spans="1:2" x14ac:dyDescent="0.25">
      <c r="A436" s="59" t="s">
        <v>8</v>
      </c>
      <c r="B436" s="59">
        <v>1009</v>
      </c>
    </row>
    <row r="437" spans="1:2" x14ac:dyDescent="0.25">
      <c r="A437" s="59" t="s">
        <v>1398</v>
      </c>
      <c r="B437" s="59">
        <v>476554</v>
      </c>
    </row>
    <row r="438" spans="1:2" x14ac:dyDescent="0.25">
      <c r="A438" s="59" t="s">
        <v>66</v>
      </c>
      <c r="B438" s="59">
        <v>3530</v>
      </c>
    </row>
    <row r="439" spans="1:2" x14ac:dyDescent="0.25">
      <c r="A439" s="59" t="s">
        <v>74</v>
      </c>
      <c r="B439" s="59">
        <v>5412</v>
      </c>
    </row>
    <row r="440" spans="1:2" x14ac:dyDescent="0.25">
      <c r="A440" s="59" t="s">
        <v>432</v>
      </c>
      <c r="B440" s="59" t="s">
        <v>433</v>
      </c>
    </row>
    <row r="441" spans="1:2" x14ac:dyDescent="0.25">
      <c r="A441" s="59" t="s">
        <v>427</v>
      </c>
      <c r="B441" s="59" t="s">
        <v>429</v>
      </c>
    </row>
    <row r="442" spans="1:2" x14ac:dyDescent="0.25">
      <c r="A442" s="59" t="s">
        <v>9</v>
      </c>
      <c r="B442" s="59">
        <v>1015</v>
      </c>
    </row>
    <row r="443" spans="1:2" x14ac:dyDescent="0.25">
      <c r="A443" s="59" t="s">
        <v>430</v>
      </c>
      <c r="B443" s="59" t="s">
        <v>431</v>
      </c>
    </row>
    <row r="444" spans="1:2" x14ac:dyDescent="0.25">
      <c r="A444" s="59" t="s">
        <v>434</v>
      </c>
      <c r="B444" s="59">
        <v>509204</v>
      </c>
    </row>
    <row r="445" spans="1:2" x14ac:dyDescent="0.25">
      <c r="A445" s="59" t="s">
        <v>434</v>
      </c>
      <c r="B445" s="59" t="s">
        <v>825</v>
      </c>
    </row>
    <row r="446" spans="1:2" x14ac:dyDescent="0.25">
      <c r="A446" s="59" t="s">
        <v>67</v>
      </c>
      <c r="B446" s="59">
        <v>2459</v>
      </c>
    </row>
    <row r="447" spans="1:2" x14ac:dyDescent="0.25">
      <c r="A447" s="59" t="s">
        <v>96</v>
      </c>
      <c r="B447" s="59">
        <v>2007</v>
      </c>
    </row>
  </sheetData>
  <sheetProtection password="EF5C" sheet="1" objects="1" scenarios="1"/>
  <mergeCells count="1">
    <mergeCell ref="C1:C2"/>
  </mergeCells>
  <dataValidations count="1">
    <dataValidation type="decimal" operator="greaterThanOrEqual" allowBlank="1" showInputMessage="1" showErrorMessage="1" errorTitle="Error" error="Thisfigure cannot be negative. Please provide a positive unit value." sqref="B141:C148 B154:C161 C131 B126:C130 B132:C133 B113:C117 B119:C120">
      <formula1>0</formula1>
    </dataValidation>
  </dataValidations>
  <pageMargins left="0.7" right="0.7" top="0.75" bottom="0.75" header="0.3" footer="0.3"/>
  <pageSetup paperSize="9" orientation="portrait"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50"/>
    <pageSetUpPr fitToPage="1"/>
  </sheetPr>
  <dimension ref="A1:AQ506"/>
  <sheetViews>
    <sheetView zoomScale="85" zoomScaleNormal="85" zoomScaleSheetLayoutView="50" workbookViewId="0">
      <pane xSplit="1" ySplit="1" topLeftCell="AB143" activePane="bottomRight" state="frozen"/>
      <selection activeCell="S139" sqref="S139"/>
      <selection pane="topRight" activeCell="S139" sqref="S139"/>
      <selection pane="bottomLeft" activeCell="S139" sqref="S139"/>
      <selection pane="bottomRight" activeCell="A61" sqref="A61:XFD61"/>
    </sheetView>
  </sheetViews>
  <sheetFormatPr defaultColWidth="12.88671875" defaultRowHeight="13.2" x14ac:dyDescent="0.25"/>
  <cols>
    <col min="1" max="1" width="50.44140625" style="30" bestFit="1" customWidth="1"/>
    <col min="2" max="2" width="17.109375" style="22" bestFit="1" customWidth="1"/>
    <col min="3" max="14" width="13.88671875" style="11" customWidth="1"/>
    <col min="15" max="15" width="18.33203125" style="11" customWidth="1"/>
    <col min="16" max="16" width="13.88671875" style="11" customWidth="1"/>
    <col min="17" max="17" width="22.5546875" style="11" customWidth="1"/>
    <col min="18" max="18" width="11.88671875" style="29" customWidth="1"/>
    <col min="19" max="19" width="12.88671875" style="11" customWidth="1"/>
    <col min="20" max="20" width="10.88671875" style="11" customWidth="1"/>
    <col min="21" max="21" width="9.6640625" style="11" customWidth="1"/>
    <col min="22" max="22" width="9.109375" style="11" customWidth="1"/>
    <col min="23" max="23" width="13.5546875" style="11" customWidth="1"/>
    <col min="24" max="24" width="12.88671875" style="11" customWidth="1"/>
    <col min="25" max="25" width="20.6640625" style="11" customWidth="1"/>
    <col min="26" max="26" width="11.33203125" style="29" customWidth="1"/>
    <col min="27" max="36" width="12.88671875" style="11" customWidth="1"/>
    <col min="37" max="63" width="12.88671875" style="30" customWidth="1"/>
    <col min="64" max="16384" width="12.88671875" style="30"/>
  </cols>
  <sheetData>
    <row r="1" spans="1:43" s="35" customFormat="1" ht="99.75" customHeight="1" thickBot="1" x14ac:dyDescent="0.35">
      <c r="A1" s="34" t="s">
        <v>118</v>
      </c>
      <c r="B1" s="37" t="s">
        <v>81</v>
      </c>
      <c r="C1" s="8" t="s">
        <v>138</v>
      </c>
      <c r="D1" s="8" t="s">
        <v>129</v>
      </c>
      <c r="E1" s="8" t="s">
        <v>130</v>
      </c>
      <c r="F1" s="8" t="s">
        <v>131</v>
      </c>
      <c r="G1" s="8" t="s">
        <v>132</v>
      </c>
      <c r="H1" s="8" t="s">
        <v>133</v>
      </c>
      <c r="I1" s="8" t="s">
        <v>134</v>
      </c>
      <c r="J1" s="8" t="s">
        <v>135</v>
      </c>
      <c r="K1" s="1099" t="s">
        <v>1347</v>
      </c>
      <c r="L1" s="8" t="s">
        <v>136</v>
      </c>
      <c r="M1" s="8" t="s">
        <v>127</v>
      </c>
      <c r="N1" s="8" t="s">
        <v>128</v>
      </c>
      <c r="O1" s="8" t="s">
        <v>1206</v>
      </c>
      <c r="P1" s="8" t="s">
        <v>140</v>
      </c>
      <c r="Q1" s="36" t="s">
        <v>1207</v>
      </c>
      <c r="R1" s="36" t="s">
        <v>139</v>
      </c>
      <c r="S1" s="421" t="s">
        <v>141</v>
      </c>
      <c r="T1" s="421" t="s">
        <v>142</v>
      </c>
      <c r="U1" s="421" t="s">
        <v>1208</v>
      </c>
      <c r="V1" s="421" t="s">
        <v>536</v>
      </c>
      <c r="W1" s="1111" t="s">
        <v>144</v>
      </c>
      <c r="X1" s="421" t="s">
        <v>1348</v>
      </c>
      <c r="Y1" s="1111" t="s">
        <v>146</v>
      </c>
      <c r="Z1" s="36" t="s">
        <v>147</v>
      </c>
      <c r="AA1" s="36"/>
      <c r="AB1" s="36" t="s">
        <v>436</v>
      </c>
      <c r="AC1" s="36"/>
      <c r="AD1" s="36"/>
      <c r="AE1" s="36"/>
      <c r="AF1" s="36" t="s">
        <v>584</v>
      </c>
      <c r="AG1" s="36" t="s">
        <v>585</v>
      </c>
      <c r="AH1" s="36"/>
      <c r="AI1" s="36"/>
      <c r="AJ1" s="1044" t="s">
        <v>1253</v>
      </c>
      <c r="AK1" s="1043" t="s">
        <v>1254</v>
      </c>
      <c r="AL1" s="11"/>
      <c r="AM1" s="11"/>
      <c r="AN1" s="11"/>
      <c r="AO1" s="11"/>
      <c r="AP1" s="11"/>
      <c r="AQ1" s="11"/>
    </row>
    <row r="2" spans="1:43" ht="12.75" x14ac:dyDescent="0.2">
      <c r="A2" s="9" t="s">
        <v>1301</v>
      </c>
      <c r="B2" s="1023">
        <v>2014</v>
      </c>
      <c r="C2" s="11">
        <v>86955.919101999985</v>
      </c>
      <c r="D2" s="11">
        <v>7211.0210299319724</v>
      </c>
      <c r="E2" s="11">
        <v>0</v>
      </c>
      <c r="F2" s="11">
        <v>0</v>
      </c>
      <c r="G2" s="11">
        <v>22420.225560000003</v>
      </c>
      <c r="H2" s="11">
        <v>0</v>
      </c>
      <c r="I2" s="11">
        <v>100000</v>
      </c>
      <c r="J2" s="11">
        <v>0</v>
      </c>
      <c r="K2" s="11">
        <v>8800.0499999999956</v>
      </c>
      <c r="L2" s="11">
        <v>0</v>
      </c>
      <c r="M2" s="29">
        <f t="shared" ref="M2:M33" si="0">SUM(C2:L2)</f>
        <v>225387.21569193195</v>
      </c>
      <c r="N2" s="11">
        <v>0</v>
      </c>
      <c r="O2" s="11">
        <v>0</v>
      </c>
      <c r="P2" s="29">
        <f>SUM(M2:O2)</f>
        <v>225387.21569193195</v>
      </c>
      <c r="Q2" s="11">
        <v>0</v>
      </c>
      <c r="R2" s="29">
        <f>SUM(P2+Q2)</f>
        <v>225387.21569193195</v>
      </c>
      <c r="S2" s="11">
        <v>27307.716535433072</v>
      </c>
      <c r="U2" s="11">
        <v>0</v>
      </c>
      <c r="X2" s="11">
        <v>0</v>
      </c>
      <c r="Y2" s="11">
        <v>0</v>
      </c>
      <c r="Z2" s="29">
        <f t="shared" ref="Z2" si="1">SUM(R2:Y2)</f>
        <v>252694.93222736503</v>
      </c>
      <c r="AB2" s="11">
        <f>SUMIF('ERS 2015-16'!B:B,B2,'ERS 2015-16'!AC:AC)</f>
        <v>0</v>
      </c>
      <c r="AG2" s="11">
        <f t="shared" ref="AG2:AG33" si="2">K2</f>
        <v>8800.0499999999956</v>
      </c>
      <c r="AJ2" s="11">
        <f t="shared" ref="AJ2:AJ55" si="3">Z2-AG2-AB2-W2</f>
        <v>243894.88222736504</v>
      </c>
      <c r="AK2" s="11">
        <f>AJ2+AG2</f>
        <v>252694.93222736503</v>
      </c>
      <c r="AL2" s="11"/>
      <c r="AM2" s="11"/>
      <c r="AN2" s="11"/>
      <c r="AO2" s="11"/>
      <c r="AP2" s="11"/>
    </row>
    <row r="3" spans="1:43" ht="12.75" x14ac:dyDescent="0.2">
      <c r="A3" s="9" t="s">
        <v>10</v>
      </c>
      <c r="B3" s="1171">
        <v>2012</v>
      </c>
      <c r="C3" s="11">
        <v>971782.1798879999</v>
      </c>
      <c r="D3" s="11">
        <v>399185.0824999942</v>
      </c>
      <c r="E3" s="11">
        <v>4185.4420749295768</v>
      </c>
      <c r="F3" s="11">
        <v>0</v>
      </c>
      <c r="G3" s="11">
        <v>59037.430278594387</v>
      </c>
      <c r="H3" s="11">
        <v>0</v>
      </c>
      <c r="I3" s="11">
        <v>100000</v>
      </c>
      <c r="J3" s="11">
        <v>0</v>
      </c>
      <c r="K3" s="11">
        <v>-16601.281999999999</v>
      </c>
      <c r="L3" s="11">
        <v>0</v>
      </c>
      <c r="M3" s="29">
        <f t="shared" si="0"/>
        <v>1517588.8527415183</v>
      </c>
      <c r="N3" s="11">
        <v>56980.687568503898</v>
      </c>
      <c r="O3" s="11">
        <v>0</v>
      </c>
      <c r="P3" s="29">
        <f>SUM(M3:O3)</f>
        <v>1574569.5403100222</v>
      </c>
      <c r="Q3" s="11">
        <v>0</v>
      </c>
      <c r="R3" s="29">
        <f>SUM(P3+Q3)</f>
        <v>1574569.5403100222</v>
      </c>
      <c r="S3" s="11">
        <v>19759.625984251968</v>
      </c>
      <c r="U3" s="11">
        <v>22524.38</v>
      </c>
      <c r="X3" s="11">
        <v>0</v>
      </c>
      <c r="Y3" s="11">
        <v>0</v>
      </c>
      <c r="Z3" s="29">
        <f t="shared" ref="Z3" si="4">SUM(R3:Y3)</f>
        <v>1616853.546294274</v>
      </c>
      <c r="AB3" s="11">
        <f>SUMIF('ERS 2015-16'!B:B,B3,'ERS 2015-16'!AC:AC)</f>
        <v>0</v>
      </c>
      <c r="AG3" s="11">
        <f t="shared" si="2"/>
        <v>-16601.281999999999</v>
      </c>
      <c r="AJ3" s="11">
        <f t="shared" si="3"/>
        <v>1633454.8282942739</v>
      </c>
      <c r="AK3" s="11">
        <f t="shared" ref="AK3:AK66" si="5">AJ3+AG3</f>
        <v>1616853.546294274</v>
      </c>
      <c r="AN3" s="11"/>
      <c r="AO3" s="11"/>
      <c r="AQ3" s="11"/>
    </row>
    <row r="4" spans="1:43" ht="12.75" x14ac:dyDescent="0.2">
      <c r="A4" s="9" t="s">
        <v>11</v>
      </c>
      <c r="B4" s="26">
        <v>2443</v>
      </c>
      <c r="C4" s="11">
        <v>700957.6379519999</v>
      </c>
      <c r="D4" s="11">
        <v>126291.27000792125</v>
      </c>
      <c r="E4" s="11">
        <v>0</v>
      </c>
      <c r="F4" s="11">
        <v>0</v>
      </c>
      <c r="G4" s="11">
        <v>23505.474090173306</v>
      </c>
      <c r="H4" s="11">
        <v>0</v>
      </c>
      <c r="I4" s="11">
        <v>100000</v>
      </c>
      <c r="J4" s="11">
        <v>0</v>
      </c>
      <c r="K4" s="11">
        <v>12697.215</v>
      </c>
      <c r="L4" s="11">
        <v>0</v>
      </c>
      <c r="M4" s="29">
        <f t="shared" si="0"/>
        <v>963451.59705009439</v>
      </c>
      <c r="N4" s="11">
        <v>0</v>
      </c>
      <c r="O4" s="11">
        <v>0</v>
      </c>
      <c r="P4" s="29">
        <f t="shared" ref="P4:P67" si="6">SUM(M4:O4)</f>
        <v>963451.59705009439</v>
      </c>
      <c r="Q4" s="11">
        <v>-17775.12</v>
      </c>
      <c r="R4" s="29">
        <f t="shared" ref="R4:R67" si="7">SUM(P4+Q4)</f>
        <v>945676.4770500944</v>
      </c>
      <c r="S4" s="11">
        <v>15000</v>
      </c>
      <c r="U4" s="11">
        <v>16517.88</v>
      </c>
      <c r="X4" s="11">
        <v>106634.38104867368</v>
      </c>
      <c r="Y4" s="11">
        <v>0</v>
      </c>
      <c r="Z4" s="29">
        <f t="shared" ref="Z4:Z67" si="8">SUM(R4:Y4)</f>
        <v>1083828.7380987681</v>
      </c>
      <c r="AB4" s="11">
        <f>SUMIF('ERS 2015-16'!B:B,B4,'ERS 2015-16'!AC:AC)</f>
        <v>0</v>
      </c>
      <c r="AG4" s="11">
        <f t="shared" si="2"/>
        <v>12697.215</v>
      </c>
      <c r="AJ4" s="11">
        <f t="shared" si="3"/>
        <v>1071131.523098768</v>
      </c>
      <c r="AK4" s="11">
        <f t="shared" si="5"/>
        <v>1083828.7380987681</v>
      </c>
      <c r="AL4" s="11"/>
      <c r="AM4" s="11"/>
      <c r="AN4" s="11"/>
      <c r="AO4" s="11"/>
      <c r="AP4" s="11"/>
      <c r="AQ4" s="11"/>
    </row>
    <row r="5" spans="1:43" ht="12.75" x14ac:dyDescent="0.2">
      <c r="A5" s="9" t="s">
        <v>94</v>
      </c>
      <c r="B5" s="26">
        <v>2442</v>
      </c>
      <c r="C5" s="11">
        <v>849645.62175999989</v>
      </c>
      <c r="D5" s="11">
        <v>208515.89286819525</v>
      </c>
      <c r="E5" s="11">
        <v>1349.0010716510903</v>
      </c>
      <c r="F5" s="11">
        <v>0</v>
      </c>
      <c r="G5" s="11">
        <v>3700.470486486483</v>
      </c>
      <c r="H5" s="11">
        <v>0</v>
      </c>
      <c r="I5" s="11">
        <v>100000</v>
      </c>
      <c r="J5" s="11">
        <v>0</v>
      </c>
      <c r="K5" s="11">
        <v>12697.215</v>
      </c>
      <c r="L5" s="11">
        <v>0</v>
      </c>
      <c r="M5" s="29">
        <f t="shared" si="0"/>
        <v>1175908.2011863329</v>
      </c>
      <c r="N5" s="11">
        <v>0</v>
      </c>
      <c r="O5" s="11">
        <v>0</v>
      </c>
      <c r="P5" s="29">
        <f t="shared" si="6"/>
        <v>1175908.2011863329</v>
      </c>
      <c r="Q5" s="11">
        <v>-21545.599999999999</v>
      </c>
      <c r="R5" s="29">
        <f t="shared" si="7"/>
        <v>1154362.6011863328</v>
      </c>
      <c r="S5" s="11">
        <v>0</v>
      </c>
      <c r="T5" s="11">
        <v>179675.24</v>
      </c>
      <c r="U5" s="11">
        <v>9009.75</v>
      </c>
      <c r="X5" s="11">
        <v>0</v>
      </c>
      <c r="Y5" s="11">
        <v>0</v>
      </c>
      <c r="Z5" s="29">
        <f t="shared" si="8"/>
        <v>1343047.5911863327</v>
      </c>
      <c r="AB5" s="11">
        <f>SUMIF('ERS 2015-16'!B:B,B5,'ERS 2015-16'!AC:AC)</f>
        <v>0</v>
      </c>
      <c r="AG5" s="11">
        <f t="shared" si="2"/>
        <v>12697.215</v>
      </c>
      <c r="AJ5" s="11">
        <f t="shared" si="3"/>
        <v>1330350.3761863327</v>
      </c>
      <c r="AK5" s="11">
        <f t="shared" si="5"/>
        <v>1343047.5911863327</v>
      </c>
      <c r="AL5" s="11"/>
      <c r="AM5" s="11"/>
      <c r="AN5" s="11"/>
      <c r="AO5" s="11"/>
      <c r="AP5" s="11"/>
      <c r="AQ5" s="11"/>
    </row>
    <row r="6" spans="1:43" ht="12.75" x14ac:dyDescent="0.2">
      <c r="A6" s="9" t="s">
        <v>13</v>
      </c>
      <c r="B6" s="26">
        <v>2629</v>
      </c>
      <c r="C6" s="11">
        <v>1270485.7187879998</v>
      </c>
      <c r="D6" s="11">
        <v>368444.46995795658</v>
      </c>
      <c r="E6" s="11">
        <v>1478.3429017123287</v>
      </c>
      <c r="F6" s="11">
        <v>0</v>
      </c>
      <c r="G6" s="11">
        <v>220966.44377570314</v>
      </c>
      <c r="H6" s="11">
        <v>10347.62616308991</v>
      </c>
      <c r="I6" s="11">
        <v>100000</v>
      </c>
      <c r="J6" s="11">
        <v>0</v>
      </c>
      <c r="K6" s="11">
        <v>89765.440000000002</v>
      </c>
      <c r="L6" s="11">
        <v>0</v>
      </c>
      <c r="M6" s="29">
        <f t="shared" si="0"/>
        <v>2061488.0415864617</v>
      </c>
      <c r="N6" s="11">
        <v>2111.3387121574488</v>
      </c>
      <c r="O6" s="11">
        <v>0</v>
      </c>
      <c r="P6" s="29">
        <f t="shared" si="6"/>
        <v>2063599.3802986192</v>
      </c>
      <c r="Q6" s="11">
        <v>-32217.404999999999</v>
      </c>
      <c r="R6" s="29">
        <f t="shared" si="7"/>
        <v>2031381.9752986191</v>
      </c>
      <c r="S6" s="11">
        <v>35913.484251968504</v>
      </c>
      <c r="T6" s="11">
        <v>42828.36</v>
      </c>
      <c r="U6" s="11">
        <v>6006.5</v>
      </c>
      <c r="X6" s="11">
        <v>196344.81859877738</v>
      </c>
      <c r="Y6" s="11">
        <v>0</v>
      </c>
      <c r="Z6" s="29">
        <f t="shared" si="8"/>
        <v>2312475.1381493653</v>
      </c>
      <c r="AB6" s="11">
        <f>SUMIF('ERS 2015-16'!B:B,B6,'ERS 2015-16'!AC:AC)</f>
        <v>0</v>
      </c>
      <c r="AG6" s="11">
        <f t="shared" si="2"/>
        <v>89765.440000000002</v>
      </c>
      <c r="AJ6" s="11">
        <f t="shared" si="3"/>
        <v>2222709.6981493654</v>
      </c>
      <c r="AK6" s="11">
        <f t="shared" si="5"/>
        <v>2312475.1381493653</v>
      </c>
      <c r="AL6" s="11"/>
      <c r="AM6" s="11"/>
      <c r="AN6" s="11"/>
      <c r="AO6" s="11"/>
      <c r="AP6" s="11"/>
      <c r="AQ6" s="11"/>
    </row>
    <row r="7" spans="1:43" ht="12.75" x14ac:dyDescent="0.2">
      <c r="A7" s="9" t="s">
        <v>14</v>
      </c>
      <c r="B7" s="26">
        <v>2509</v>
      </c>
      <c r="C7" s="11">
        <v>546959.36900799989</v>
      </c>
      <c r="D7" s="11">
        <v>90778.817933388636</v>
      </c>
      <c r="E7" s="11">
        <v>4140.0392108910892</v>
      </c>
      <c r="F7" s="11">
        <v>0</v>
      </c>
      <c r="G7" s="11">
        <v>32751.691449180336</v>
      </c>
      <c r="H7" s="11">
        <v>26872.832000000024</v>
      </c>
      <c r="I7" s="11">
        <v>100000</v>
      </c>
      <c r="J7" s="11">
        <v>0</v>
      </c>
      <c r="K7" s="11">
        <v>11565.779999999999</v>
      </c>
      <c r="L7" s="11">
        <v>0</v>
      </c>
      <c r="M7" s="29">
        <f t="shared" si="0"/>
        <v>813068.52960146009</v>
      </c>
      <c r="N7" s="11">
        <v>0</v>
      </c>
      <c r="O7" s="11">
        <v>0</v>
      </c>
      <c r="P7" s="29">
        <f t="shared" si="6"/>
        <v>813068.52960146009</v>
      </c>
      <c r="Q7" s="11">
        <v>-13869.98</v>
      </c>
      <c r="R7" s="29">
        <f t="shared" si="7"/>
        <v>799198.54960146011</v>
      </c>
      <c r="S7" s="11">
        <v>18942.322834645671</v>
      </c>
      <c r="U7" s="11">
        <v>3003.25</v>
      </c>
      <c r="X7" s="11">
        <v>0</v>
      </c>
      <c r="Y7" s="11">
        <v>0</v>
      </c>
      <c r="Z7" s="29">
        <f t="shared" si="8"/>
        <v>821144.12243610574</v>
      </c>
      <c r="AB7" s="11">
        <f>SUMIF('ERS 2015-16'!B:B,B7,'ERS 2015-16'!AC:AC)</f>
        <v>0</v>
      </c>
      <c r="AG7" s="11">
        <f t="shared" si="2"/>
        <v>11565.779999999999</v>
      </c>
      <c r="AJ7" s="11">
        <f t="shared" si="3"/>
        <v>809578.34243610571</v>
      </c>
      <c r="AK7" s="11">
        <f t="shared" si="5"/>
        <v>821144.12243610574</v>
      </c>
      <c r="AN7" s="11"/>
      <c r="AO7" s="11"/>
    </row>
    <row r="8" spans="1:43" ht="12.75" x14ac:dyDescent="0.2">
      <c r="A8" s="9" t="s">
        <v>15</v>
      </c>
      <c r="B8" s="26">
        <v>2005</v>
      </c>
      <c r="C8" s="11">
        <v>846990.47919199988</v>
      </c>
      <c r="D8" s="11">
        <v>263884.48153845547</v>
      </c>
      <c r="E8" s="11">
        <v>1332.3337262345678</v>
      </c>
      <c r="F8" s="11">
        <v>0</v>
      </c>
      <c r="G8" s="11">
        <v>30903.292324528211</v>
      </c>
      <c r="H8" s="11">
        <v>25313.247999999905</v>
      </c>
      <c r="I8" s="11">
        <v>100000</v>
      </c>
      <c r="J8" s="11">
        <v>0</v>
      </c>
      <c r="K8" s="11">
        <v>13954.365</v>
      </c>
      <c r="L8" s="11">
        <v>0</v>
      </c>
      <c r="M8" s="29">
        <f t="shared" si="0"/>
        <v>1282378.1997812178</v>
      </c>
      <c r="N8" s="11">
        <v>0</v>
      </c>
      <c r="O8" s="11">
        <v>0</v>
      </c>
      <c r="P8" s="29">
        <f t="shared" si="6"/>
        <v>1282378.1997812178</v>
      </c>
      <c r="Q8" s="11">
        <v>-21478.27</v>
      </c>
      <c r="R8" s="29">
        <f t="shared" si="7"/>
        <v>1260899.9297812178</v>
      </c>
      <c r="S8" s="11">
        <v>32307.716535433072</v>
      </c>
      <c r="U8" s="11">
        <v>0</v>
      </c>
      <c r="X8" s="11">
        <v>0</v>
      </c>
      <c r="Y8" s="11">
        <v>0</v>
      </c>
      <c r="Z8" s="29">
        <f t="shared" si="8"/>
        <v>1293207.6463166508</v>
      </c>
      <c r="AB8" s="11">
        <f>SUMIF('ERS 2015-16'!B:B,B8,'ERS 2015-16'!AC:AC)</f>
        <v>0</v>
      </c>
      <c r="AG8" s="11">
        <f t="shared" si="2"/>
        <v>13954.365</v>
      </c>
      <c r="AJ8" s="11">
        <f t="shared" si="3"/>
        <v>1279253.2813166508</v>
      </c>
      <c r="AK8" s="11">
        <f t="shared" si="5"/>
        <v>1293207.6463166508</v>
      </c>
      <c r="AN8" s="11"/>
      <c r="AO8" s="11"/>
    </row>
    <row r="9" spans="1:43" ht="12.75" x14ac:dyDescent="0.2">
      <c r="A9" s="9" t="s">
        <v>16</v>
      </c>
      <c r="B9" s="26">
        <v>2464</v>
      </c>
      <c r="C9" s="11">
        <v>533683.65616799996</v>
      </c>
      <c r="D9" s="11">
        <v>88354.652537874877</v>
      </c>
      <c r="E9" s="11">
        <v>1394.8541369230768</v>
      </c>
      <c r="F9" s="11">
        <v>0</v>
      </c>
      <c r="G9" s="11">
        <v>2023.5587505882281</v>
      </c>
      <c r="H9" s="11">
        <v>0</v>
      </c>
      <c r="I9" s="11">
        <v>100000</v>
      </c>
      <c r="J9" s="11">
        <v>0</v>
      </c>
      <c r="K9" s="11">
        <v>10811.49</v>
      </c>
      <c r="L9" s="11">
        <v>0</v>
      </c>
      <c r="M9" s="29">
        <f t="shared" si="0"/>
        <v>736268.21159338614</v>
      </c>
      <c r="N9" s="11">
        <v>26555.392383332015</v>
      </c>
      <c r="O9" s="11">
        <v>0</v>
      </c>
      <c r="P9" s="29">
        <f t="shared" si="6"/>
        <v>762823.60397671815</v>
      </c>
      <c r="Q9" s="11">
        <v>-13533.33</v>
      </c>
      <c r="R9" s="29">
        <f t="shared" si="7"/>
        <v>749290.27397671819</v>
      </c>
      <c r="S9" s="11">
        <v>5000</v>
      </c>
      <c r="U9" s="11">
        <v>18019.5</v>
      </c>
      <c r="X9" s="11">
        <v>52997.144567326373</v>
      </c>
      <c r="Y9" s="11">
        <v>0</v>
      </c>
      <c r="Z9" s="29">
        <f t="shared" si="8"/>
        <v>825306.9185440446</v>
      </c>
      <c r="AB9" s="11">
        <f>SUMIF('ERS 2015-16'!B:B,B9,'ERS 2015-16'!AC:AC)</f>
        <v>0</v>
      </c>
      <c r="AG9" s="11">
        <f t="shared" si="2"/>
        <v>10811.49</v>
      </c>
      <c r="AJ9" s="11">
        <f t="shared" si="3"/>
        <v>814495.42854404461</v>
      </c>
      <c r="AK9" s="11">
        <f t="shared" si="5"/>
        <v>825306.9185440446</v>
      </c>
      <c r="AN9" s="11"/>
      <c r="AO9" s="11"/>
    </row>
    <row r="10" spans="1:43" ht="12.75" x14ac:dyDescent="0.2">
      <c r="A10" s="9" t="s">
        <v>17</v>
      </c>
      <c r="B10" s="26">
        <v>2004</v>
      </c>
      <c r="C10" s="11">
        <v>674406.21227199992</v>
      </c>
      <c r="D10" s="11">
        <v>288229.74842416274</v>
      </c>
      <c r="E10" s="11">
        <v>2613.8178083650191</v>
      </c>
      <c r="F10" s="11">
        <v>0</v>
      </c>
      <c r="G10" s="11">
        <v>11909.938915068491</v>
      </c>
      <c r="H10" s="11">
        <v>0</v>
      </c>
      <c r="I10" s="11">
        <v>100000</v>
      </c>
      <c r="J10" s="11">
        <v>0</v>
      </c>
      <c r="K10" s="11">
        <v>12571.5</v>
      </c>
      <c r="L10" s="11">
        <v>0</v>
      </c>
      <c r="M10" s="29">
        <f t="shared" si="0"/>
        <v>1089731.2174195962</v>
      </c>
      <c r="N10" s="11">
        <v>56981.067035882035</v>
      </c>
      <c r="O10" s="11">
        <v>0</v>
      </c>
      <c r="P10" s="29">
        <f t="shared" si="6"/>
        <v>1146712.2844554782</v>
      </c>
      <c r="Q10" s="11">
        <v>-17101.82</v>
      </c>
      <c r="R10" s="29">
        <f t="shared" si="7"/>
        <v>1129610.4644554781</v>
      </c>
      <c r="S10" s="11">
        <v>44855.807086614172</v>
      </c>
      <c r="U10" s="11">
        <v>0</v>
      </c>
      <c r="X10" s="11">
        <v>76407.92477431579</v>
      </c>
      <c r="Y10" s="11">
        <v>0</v>
      </c>
      <c r="Z10" s="29">
        <f t="shared" si="8"/>
        <v>1250874.196316408</v>
      </c>
      <c r="AB10" s="11">
        <f>SUMIF('ERS 2015-16'!B:B,B10,'ERS 2015-16'!AC:AC)</f>
        <v>0</v>
      </c>
      <c r="AG10" s="11">
        <f t="shared" si="2"/>
        <v>12571.5</v>
      </c>
      <c r="AJ10" s="11">
        <f t="shared" si="3"/>
        <v>1238302.696316408</v>
      </c>
      <c r="AK10" s="11">
        <f t="shared" si="5"/>
        <v>1250874.196316408</v>
      </c>
      <c r="AN10" s="11"/>
      <c r="AO10" s="11"/>
    </row>
    <row r="11" spans="1:43" ht="12.75" x14ac:dyDescent="0.2">
      <c r="A11" s="9" t="s">
        <v>18</v>
      </c>
      <c r="B11" s="26">
        <v>2405</v>
      </c>
      <c r="C11" s="11">
        <v>525718.22846399993</v>
      </c>
      <c r="D11" s="11">
        <v>176959.17575349135</v>
      </c>
      <c r="E11" s="11">
        <v>0</v>
      </c>
      <c r="F11" s="11">
        <v>0</v>
      </c>
      <c r="G11" s="11">
        <v>44793.238220689651</v>
      </c>
      <c r="H11" s="11">
        <v>0</v>
      </c>
      <c r="I11" s="11">
        <v>100000</v>
      </c>
      <c r="J11" s="11">
        <v>0</v>
      </c>
      <c r="K11" s="11">
        <v>10057.199999999999</v>
      </c>
      <c r="L11" s="11">
        <v>0</v>
      </c>
      <c r="M11" s="29">
        <f t="shared" si="0"/>
        <v>857527.84243818093</v>
      </c>
      <c r="N11" s="11">
        <v>0</v>
      </c>
      <c r="O11" s="11">
        <v>0</v>
      </c>
      <c r="P11" s="29">
        <f t="shared" si="6"/>
        <v>857527.84243818093</v>
      </c>
      <c r="Q11" s="11">
        <v>-13331.34</v>
      </c>
      <c r="R11" s="29">
        <f t="shared" si="7"/>
        <v>844196.50243818096</v>
      </c>
      <c r="S11" s="11">
        <v>5000</v>
      </c>
      <c r="T11" s="11">
        <v>115515.58500000001</v>
      </c>
      <c r="U11" s="11">
        <v>27029.25</v>
      </c>
      <c r="X11" s="11">
        <v>55222.606718185234</v>
      </c>
      <c r="Y11" s="11">
        <v>0</v>
      </c>
      <c r="Z11" s="29">
        <f t="shared" si="8"/>
        <v>1046963.9441563662</v>
      </c>
      <c r="AB11" s="11">
        <f>SUMIF('ERS 2015-16'!B:B,B11,'ERS 2015-16'!AC:AC)</f>
        <v>0</v>
      </c>
      <c r="AG11" s="11">
        <f t="shared" si="2"/>
        <v>10057.199999999999</v>
      </c>
      <c r="AJ11" s="11">
        <f t="shared" si="3"/>
        <v>1036906.7441563662</v>
      </c>
      <c r="AK11" s="11">
        <f t="shared" si="5"/>
        <v>1046963.9441563662</v>
      </c>
      <c r="AN11" s="11"/>
      <c r="AO11" s="11"/>
    </row>
    <row r="12" spans="1:43" ht="12.75" x14ac:dyDescent="0.2">
      <c r="A12" s="9" t="s">
        <v>95</v>
      </c>
      <c r="B12" s="1023">
        <v>2011</v>
      </c>
      <c r="C12" s="11">
        <v>560235.08184799994</v>
      </c>
      <c r="D12" s="11">
        <v>130698.91602844889</v>
      </c>
      <c r="E12" s="11">
        <v>0</v>
      </c>
      <c r="F12" s="11">
        <v>0</v>
      </c>
      <c r="G12" s="11">
        <v>10317.704674285706</v>
      </c>
      <c r="H12" s="11">
        <v>0</v>
      </c>
      <c r="I12" s="11">
        <v>100000</v>
      </c>
      <c r="J12" s="11">
        <v>0</v>
      </c>
      <c r="K12" s="11">
        <v>4953.1709999999985</v>
      </c>
      <c r="L12" s="11">
        <v>0</v>
      </c>
      <c r="M12" s="29">
        <f t="shared" si="0"/>
        <v>806204.87355073448</v>
      </c>
      <c r="N12" s="11">
        <v>0</v>
      </c>
      <c r="O12" s="11">
        <v>0</v>
      </c>
      <c r="P12" s="29">
        <f t="shared" si="6"/>
        <v>806204.87355073448</v>
      </c>
      <c r="Q12" s="11">
        <v>0</v>
      </c>
      <c r="R12" s="29">
        <f t="shared" si="7"/>
        <v>806204.87355073448</v>
      </c>
      <c r="S12" s="11">
        <v>5000</v>
      </c>
      <c r="U12" s="11">
        <v>25527.63</v>
      </c>
      <c r="X12" s="11">
        <v>64153.310448834192</v>
      </c>
      <c r="Y12" s="11">
        <v>0</v>
      </c>
      <c r="Z12" s="29">
        <f t="shared" si="8"/>
        <v>900885.81399956869</v>
      </c>
      <c r="AB12" s="11">
        <f>SUMIF('ERS 2015-16'!B:B,B12,'ERS 2015-16'!AC:AC)</f>
        <v>0</v>
      </c>
      <c r="AG12" s="11">
        <f t="shared" si="2"/>
        <v>4953.1709999999985</v>
      </c>
      <c r="AJ12" s="11">
        <f t="shared" si="3"/>
        <v>895932.64299956872</v>
      </c>
      <c r="AK12" s="11">
        <f t="shared" si="5"/>
        <v>900885.81399956869</v>
      </c>
      <c r="AN12" s="11"/>
      <c r="AO12" s="11"/>
    </row>
    <row r="13" spans="1:43" ht="12.75" x14ac:dyDescent="0.2">
      <c r="A13" s="9" t="s">
        <v>20</v>
      </c>
      <c r="B13" s="26">
        <v>5201</v>
      </c>
      <c r="C13" s="11">
        <v>1099229.0231519998</v>
      </c>
      <c r="D13" s="11">
        <v>80000.334190160327</v>
      </c>
      <c r="E13" s="11">
        <v>3963.9036353773581</v>
      </c>
      <c r="F13" s="11">
        <v>0</v>
      </c>
      <c r="G13" s="11">
        <v>6004.6405627118702</v>
      </c>
      <c r="H13" s="11">
        <v>0</v>
      </c>
      <c r="I13" s="11">
        <v>100000</v>
      </c>
      <c r="J13" s="11">
        <v>0</v>
      </c>
      <c r="K13" s="11">
        <v>16915.239999999998</v>
      </c>
      <c r="L13" s="11">
        <v>0</v>
      </c>
      <c r="M13" s="29">
        <f t="shared" si="0"/>
        <v>1306113.1415402493</v>
      </c>
      <c r="N13" s="11">
        <v>0</v>
      </c>
      <c r="O13" s="11">
        <v>0</v>
      </c>
      <c r="P13" s="29">
        <f t="shared" si="6"/>
        <v>1306113.1415402493</v>
      </c>
      <c r="Q13" s="11">
        <v>-27874.62</v>
      </c>
      <c r="R13" s="29">
        <f t="shared" si="7"/>
        <v>1278238.5215402492</v>
      </c>
      <c r="S13" s="11">
        <v>10000</v>
      </c>
      <c r="U13" s="11">
        <v>34537.379999999997</v>
      </c>
      <c r="X13" s="11">
        <v>90645.147049050531</v>
      </c>
      <c r="Y13" s="11">
        <v>0</v>
      </c>
      <c r="Z13" s="29">
        <f t="shared" si="8"/>
        <v>1413421.0485892997</v>
      </c>
      <c r="AB13" s="11">
        <f>SUMIF('ERS 2015-16'!B:B,B13,'ERS 2015-16'!AC:AC)</f>
        <v>0</v>
      </c>
      <c r="AG13" s="11">
        <f t="shared" si="2"/>
        <v>16915.239999999998</v>
      </c>
      <c r="AJ13" s="11">
        <f t="shared" si="3"/>
        <v>1396505.8085892997</v>
      </c>
      <c r="AK13" s="11">
        <f t="shared" si="5"/>
        <v>1413421.0485892997</v>
      </c>
      <c r="AN13" s="11"/>
      <c r="AO13" s="11"/>
    </row>
    <row r="14" spans="1:43" ht="12.75" x14ac:dyDescent="0.2">
      <c r="A14" s="9" t="s">
        <v>96</v>
      </c>
      <c r="B14" s="26">
        <v>2007</v>
      </c>
      <c r="C14" s="11">
        <v>910713.90082399989</v>
      </c>
      <c r="D14" s="11">
        <v>308068.82472155173</v>
      </c>
      <c r="E14" s="11">
        <v>4477.3632935691321</v>
      </c>
      <c r="F14" s="11">
        <v>0</v>
      </c>
      <c r="G14" s="11">
        <v>39135.559119999903</v>
      </c>
      <c r="H14" s="11">
        <v>34430.815999999955</v>
      </c>
      <c r="I14" s="11">
        <v>100000</v>
      </c>
      <c r="J14" s="11">
        <v>0</v>
      </c>
      <c r="K14" s="11">
        <v>2564.5859999999993</v>
      </c>
      <c r="L14" s="11">
        <v>0</v>
      </c>
      <c r="M14" s="29">
        <f t="shared" si="0"/>
        <v>1399391.0499591203</v>
      </c>
      <c r="N14" s="11">
        <v>0</v>
      </c>
      <c r="O14" s="11">
        <v>0</v>
      </c>
      <c r="P14" s="29">
        <f t="shared" si="6"/>
        <v>1399391.0499591203</v>
      </c>
      <c r="Q14" s="11">
        <v>0</v>
      </c>
      <c r="R14" s="29">
        <f t="shared" si="7"/>
        <v>1399391.0499591203</v>
      </c>
      <c r="S14" s="11">
        <v>12788.464566929135</v>
      </c>
      <c r="U14" s="11">
        <v>28781.15</v>
      </c>
      <c r="X14" s="11">
        <v>121201.2785836565</v>
      </c>
      <c r="Y14" s="11">
        <v>0</v>
      </c>
      <c r="Z14" s="29">
        <f t="shared" si="8"/>
        <v>1562161.9431097058</v>
      </c>
      <c r="AB14" s="11">
        <f>SUMIF('ERS 2015-16'!B:B,B14,'ERS 2015-16'!AC:AC)</f>
        <v>0</v>
      </c>
      <c r="AG14" s="11">
        <f t="shared" si="2"/>
        <v>2564.5859999999993</v>
      </c>
      <c r="AJ14" s="11">
        <f t="shared" si="3"/>
        <v>1559597.3571097059</v>
      </c>
      <c r="AK14" s="11">
        <f t="shared" si="5"/>
        <v>1562161.9431097058</v>
      </c>
      <c r="AN14" s="11"/>
      <c r="AO14" s="11"/>
    </row>
    <row r="15" spans="1:43" ht="12.75" x14ac:dyDescent="0.2">
      <c r="A15" s="9" t="s">
        <v>21</v>
      </c>
      <c r="B15" s="26">
        <v>2433</v>
      </c>
      <c r="C15" s="11">
        <v>440753.66628799995</v>
      </c>
      <c r="D15" s="11">
        <v>99690.890345167136</v>
      </c>
      <c r="E15" s="11">
        <v>0</v>
      </c>
      <c r="F15" s="11">
        <v>0</v>
      </c>
      <c r="G15" s="11">
        <v>9612.5285503759351</v>
      </c>
      <c r="H15" s="11">
        <v>0</v>
      </c>
      <c r="I15" s="11">
        <v>100000</v>
      </c>
      <c r="J15" s="11">
        <v>0</v>
      </c>
      <c r="K15" s="11">
        <v>7040.04</v>
      </c>
      <c r="L15" s="11">
        <v>0</v>
      </c>
      <c r="M15" s="29">
        <f t="shared" si="0"/>
        <v>657097.12518354307</v>
      </c>
      <c r="N15" s="11">
        <v>56519.196358682122</v>
      </c>
      <c r="O15" s="11">
        <v>0</v>
      </c>
      <c r="P15" s="29">
        <f t="shared" si="6"/>
        <v>713616.3215422252</v>
      </c>
      <c r="Q15" s="11">
        <v>-11176.779999999999</v>
      </c>
      <c r="R15" s="29">
        <f t="shared" si="7"/>
        <v>702439.54154222517</v>
      </c>
      <c r="S15" s="11">
        <v>54038.503937007874</v>
      </c>
      <c r="T15" s="11">
        <v>430021.97</v>
      </c>
      <c r="U15" s="11">
        <v>9009.75</v>
      </c>
      <c r="X15" s="11">
        <v>109099.75329570359</v>
      </c>
      <c r="Y15" s="11">
        <v>0</v>
      </c>
      <c r="Z15" s="29">
        <f t="shared" si="8"/>
        <v>1304609.5187749367</v>
      </c>
      <c r="AB15" s="11">
        <f>SUMIF('ERS 2015-16'!B:B,B15,'ERS 2015-16'!AC:AC)</f>
        <v>0</v>
      </c>
      <c r="AG15" s="11">
        <f t="shared" si="2"/>
        <v>7040.04</v>
      </c>
      <c r="AJ15" s="11">
        <f t="shared" si="3"/>
        <v>1297569.4787749366</v>
      </c>
      <c r="AK15" s="11">
        <f t="shared" si="5"/>
        <v>1304609.5187749367</v>
      </c>
      <c r="AN15" s="11"/>
      <c r="AO15" s="11"/>
    </row>
    <row r="16" spans="1:43" ht="12.75" x14ac:dyDescent="0.2">
      <c r="A16" s="9" t="s">
        <v>22</v>
      </c>
      <c r="B16" s="26">
        <v>2432</v>
      </c>
      <c r="C16" s="11">
        <v>541649.08387199999</v>
      </c>
      <c r="D16" s="11">
        <v>148093.32569059875</v>
      </c>
      <c r="E16" s="11">
        <v>1117.636464777328</v>
      </c>
      <c r="F16" s="11">
        <v>0</v>
      </c>
      <c r="G16" s="11">
        <v>5091.6161100000054</v>
      </c>
      <c r="H16" s="11">
        <v>0</v>
      </c>
      <c r="I16" s="11">
        <v>100000</v>
      </c>
      <c r="J16" s="11">
        <v>0</v>
      </c>
      <c r="K16" s="11">
        <v>7040.04</v>
      </c>
      <c r="L16" s="11">
        <v>0</v>
      </c>
      <c r="M16" s="29">
        <f t="shared" si="0"/>
        <v>802991.70213737607</v>
      </c>
      <c r="N16" s="11">
        <v>6833.8866254332243</v>
      </c>
      <c r="O16" s="11">
        <v>0</v>
      </c>
      <c r="P16" s="29">
        <f t="shared" si="6"/>
        <v>809825.58876280929</v>
      </c>
      <c r="Q16" s="11">
        <v>-13735.32</v>
      </c>
      <c r="R16" s="29">
        <f t="shared" si="7"/>
        <v>796090.26876280934</v>
      </c>
      <c r="S16" s="11">
        <v>0</v>
      </c>
      <c r="T16" s="11">
        <v>527830.49</v>
      </c>
      <c r="U16" s="11">
        <v>31534.13</v>
      </c>
      <c r="X16" s="11">
        <v>0</v>
      </c>
      <c r="Y16" s="11">
        <v>0</v>
      </c>
      <c r="Z16" s="29">
        <f t="shared" si="8"/>
        <v>1355454.8887628093</v>
      </c>
      <c r="AB16" s="11">
        <f>SUMIF('ERS 2015-16'!B:B,B16,'ERS 2015-16'!AC:AC)</f>
        <v>7091.0150000000003</v>
      </c>
      <c r="AG16" s="11">
        <f t="shared" si="2"/>
        <v>7040.04</v>
      </c>
      <c r="AJ16" s="11">
        <f t="shared" si="3"/>
        <v>1341323.8337628094</v>
      </c>
      <c r="AK16" s="11">
        <f t="shared" si="5"/>
        <v>1348363.8737628094</v>
      </c>
      <c r="AN16" s="11"/>
      <c r="AO16" s="11"/>
    </row>
    <row r="17" spans="1:37" s="11" customFormat="1" ht="12.75" x14ac:dyDescent="0.2">
      <c r="A17" s="9" t="s">
        <v>188</v>
      </c>
      <c r="B17" s="26">
        <v>2447</v>
      </c>
      <c r="C17" s="11">
        <v>1125780.4488319999</v>
      </c>
      <c r="D17" s="11">
        <v>257835.62975311987</v>
      </c>
      <c r="E17" s="11">
        <v>0</v>
      </c>
      <c r="F17" s="11">
        <v>0</v>
      </c>
      <c r="G17" s="11">
        <v>20615.405181818176</v>
      </c>
      <c r="H17" s="11">
        <v>0</v>
      </c>
      <c r="I17" s="11">
        <v>100000</v>
      </c>
      <c r="J17" s="11">
        <v>0</v>
      </c>
      <c r="K17" s="11">
        <v>16594.379999999997</v>
      </c>
      <c r="L17" s="11">
        <v>0</v>
      </c>
      <c r="M17" s="29">
        <f t="shared" si="0"/>
        <v>1520825.8637669377</v>
      </c>
      <c r="N17" s="11">
        <v>45808.657437435817</v>
      </c>
      <c r="O17" s="11">
        <v>0</v>
      </c>
      <c r="P17" s="29">
        <f t="shared" si="6"/>
        <v>1566634.5212043736</v>
      </c>
      <c r="Q17" s="11">
        <v>-28547.919999999998</v>
      </c>
      <c r="R17" s="29">
        <f t="shared" si="7"/>
        <v>1538086.6012043736</v>
      </c>
      <c r="S17" s="11">
        <v>54038.503937007874</v>
      </c>
      <c r="U17" s="11">
        <v>6006.5</v>
      </c>
      <c r="X17" s="11">
        <v>124184.27684210526</v>
      </c>
      <c r="Y17" s="11">
        <v>0</v>
      </c>
      <c r="Z17" s="29">
        <f t="shared" si="8"/>
        <v>1722315.8819834867</v>
      </c>
      <c r="AB17" s="11">
        <f>SUMIF('ERS 2015-16'!B:B,B17,'ERS 2015-16'!AC:AC)</f>
        <v>0</v>
      </c>
      <c r="AG17" s="11">
        <f t="shared" si="2"/>
        <v>16594.379999999997</v>
      </c>
      <c r="AJ17" s="11">
        <f t="shared" si="3"/>
        <v>1705721.5019834868</v>
      </c>
      <c r="AK17" s="11">
        <f t="shared" si="5"/>
        <v>1722315.8819834867</v>
      </c>
    </row>
    <row r="18" spans="1:37" s="11" customFormat="1" ht="12.75" x14ac:dyDescent="0.2">
      <c r="A18" s="9" t="s">
        <v>23</v>
      </c>
      <c r="B18" s="26">
        <v>2512</v>
      </c>
      <c r="C18" s="11">
        <v>565545.36698399996</v>
      </c>
      <c r="D18" s="11">
        <v>33629.350642660735</v>
      </c>
      <c r="E18" s="11">
        <v>0</v>
      </c>
      <c r="F18" s="11">
        <v>0</v>
      </c>
      <c r="G18" s="11">
        <v>19920.360590163971</v>
      </c>
      <c r="H18" s="11">
        <v>0</v>
      </c>
      <c r="I18" s="11">
        <v>100000</v>
      </c>
      <c r="J18" s="11">
        <v>0</v>
      </c>
      <c r="K18" s="11">
        <v>15337.23</v>
      </c>
      <c r="L18" s="11">
        <v>0</v>
      </c>
      <c r="M18" s="29">
        <f t="shared" si="0"/>
        <v>734432.30821682466</v>
      </c>
      <c r="N18" s="11">
        <v>0</v>
      </c>
      <c r="O18" s="11">
        <v>0</v>
      </c>
      <c r="P18" s="29">
        <f t="shared" si="6"/>
        <v>734432.30821682466</v>
      </c>
      <c r="Q18" s="11">
        <v>-14341.289999999999</v>
      </c>
      <c r="R18" s="29">
        <f t="shared" si="7"/>
        <v>720091.01821682462</v>
      </c>
      <c r="S18" s="11">
        <v>5000</v>
      </c>
      <c r="U18" s="11">
        <v>28530.880000000001</v>
      </c>
      <c r="X18" s="11">
        <v>56822.365916517796</v>
      </c>
      <c r="Y18" s="11">
        <v>0</v>
      </c>
      <c r="Z18" s="29">
        <f t="shared" si="8"/>
        <v>810444.26413334243</v>
      </c>
      <c r="AB18" s="11">
        <f>SUMIF('ERS 2015-16'!B:B,B18,'ERS 2015-16'!AC:AC)</f>
        <v>0</v>
      </c>
      <c r="AG18" s="11">
        <f t="shared" si="2"/>
        <v>15337.23</v>
      </c>
      <c r="AJ18" s="11">
        <f t="shared" si="3"/>
        <v>795107.03413334244</v>
      </c>
      <c r="AK18" s="11">
        <f t="shared" si="5"/>
        <v>810444.26413334243</v>
      </c>
    </row>
    <row r="19" spans="1:37" s="11" customFormat="1" ht="12.75" x14ac:dyDescent="0.2">
      <c r="A19" s="9" t="s">
        <v>24</v>
      </c>
      <c r="B19" s="26">
        <v>2456</v>
      </c>
      <c r="C19" s="11">
        <v>467305.09196799994</v>
      </c>
      <c r="D19" s="11">
        <v>23940.486559784444</v>
      </c>
      <c r="E19" s="11">
        <v>1338.0120179775281</v>
      </c>
      <c r="F19" s="11">
        <v>0</v>
      </c>
      <c r="G19" s="11">
        <v>34050.764076521715</v>
      </c>
      <c r="H19" s="11">
        <v>0</v>
      </c>
      <c r="I19" s="11">
        <v>100000</v>
      </c>
      <c r="J19" s="11">
        <v>0</v>
      </c>
      <c r="K19" s="11">
        <v>8568.6999999999989</v>
      </c>
      <c r="L19" s="11">
        <v>0</v>
      </c>
      <c r="M19" s="29">
        <f t="shared" si="0"/>
        <v>635203.05462228355</v>
      </c>
      <c r="N19" s="11">
        <v>0</v>
      </c>
      <c r="O19" s="11">
        <v>0</v>
      </c>
      <c r="P19" s="29">
        <f t="shared" si="6"/>
        <v>635203.05462228355</v>
      </c>
      <c r="Q19" s="11">
        <v>-11850.08</v>
      </c>
      <c r="R19" s="29">
        <f t="shared" si="7"/>
        <v>623352.9746222836</v>
      </c>
      <c r="S19" s="11">
        <v>10000</v>
      </c>
      <c r="U19" s="11">
        <v>9009.75</v>
      </c>
      <c r="X19" s="11">
        <v>67044.059244129559</v>
      </c>
      <c r="Y19" s="11">
        <v>0</v>
      </c>
      <c r="Z19" s="29">
        <f t="shared" si="8"/>
        <v>709406.78386641317</v>
      </c>
      <c r="AB19" s="11">
        <f>SUMIF('ERS 2015-16'!B:B,B19,'ERS 2015-16'!AC:AC)</f>
        <v>0</v>
      </c>
      <c r="AG19" s="11">
        <f t="shared" si="2"/>
        <v>8568.6999999999989</v>
      </c>
      <c r="AJ19" s="11">
        <f t="shared" si="3"/>
        <v>700838.08386641322</v>
      </c>
      <c r="AK19" s="11">
        <f t="shared" si="5"/>
        <v>709406.78386641317</v>
      </c>
    </row>
    <row r="20" spans="1:37" s="11" customFormat="1" ht="12.75" x14ac:dyDescent="0.2">
      <c r="A20" s="9" t="s">
        <v>25</v>
      </c>
      <c r="B20" s="26">
        <v>2449</v>
      </c>
      <c r="C20" s="11">
        <v>708923.06565599993</v>
      </c>
      <c r="D20" s="11">
        <v>84617.718087593108</v>
      </c>
      <c r="E20" s="11">
        <v>0</v>
      </c>
      <c r="F20" s="11">
        <v>0</v>
      </c>
      <c r="G20" s="11">
        <v>7658.5784782122901</v>
      </c>
      <c r="H20" s="11">
        <v>0</v>
      </c>
      <c r="I20" s="11">
        <v>100000</v>
      </c>
      <c r="J20" s="11">
        <v>0</v>
      </c>
      <c r="K20" s="11">
        <v>11772.84</v>
      </c>
      <c r="L20" s="11">
        <v>0</v>
      </c>
      <c r="M20" s="29">
        <f t="shared" si="0"/>
        <v>912972.20222180523</v>
      </c>
      <c r="N20" s="11">
        <v>0</v>
      </c>
      <c r="O20" s="11">
        <v>0</v>
      </c>
      <c r="P20" s="29">
        <f t="shared" si="6"/>
        <v>912972.20222180523</v>
      </c>
      <c r="Q20" s="11">
        <v>-17977.11</v>
      </c>
      <c r="R20" s="29">
        <f t="shared" si="7"/>
        <v>894995.09222180524</v>
      </c>
      <c r="S20" s="11">
        <v>17788.464566929135</v>
      </c>
      <c r="U20" s="11">
        <v>5631.09</v>
      </c>
      <c r="X20" s="11">
        <v>172866.16315518267</v>
      </c>
      <c r="Y20" s="11">
        <v>0</v>
      </c>
      <c r="Z20" s="29">
        <f t="shared" si="8"/>
        <v>1091280.809943917</v>
      </c>
      <c r="AB20" s="11">
        <f>SUMIF('ERS 2015-16'!B:B,B20,'ERS 2015-16'!AC:AC)</f>
        <v>0</v>
      </c>
      <c r="AG20" s="11">
        <f t="shared" si="2"/>
        <v>11772.84</v>
      </c>
      <c r="AJ20" s="11">
        <f t="shared" si="3"/>
        <v>1079507.9699439169</v>
      </c>
      <c r="AK20" s="11">
        <f t="shared" si="5"/>
        <v>1091280.809943917</v>
      </c>
    </row>
    <row r="21" spans="1:37" s="11" customFormat="1" ht="12.75" x14ac:dyDescent="0.2">
      <c r="A21" s="9" t="s">
        <v>26</v>
      </c>
      <c r="B21" s="26">
        <v>2448</v>
      </c>
      <c r="C21" s="11">
        <v>916024.18595999992</v>
      </c>
      <c r="D21" s="11">
        <v>160029.38842957764</v>
      </c>
      <c r="E21" s="11">
        <v>0</v>
      </c>
      <c r="F21" s="11">
        <v>0</v>
      </c>
      <c r="G21" s="11">
        <v>3452.9609473684095</v>
      </c>
      <c r="H21" s="11">
        <v>0</v>
      </c>
      <c r="I21" s="11">
        <v>100000</v>
      </c>
      <c r="J21" s="11">
        <v>0</v>
      </c>
      <c r="K21" s="11">
        <v>23723.16</v>
      </c>
      <c r="L21" s="11">
        <v>0</v>
      </c>
      <c r="M21" s="29">
        <f t="shared" si="0"/>
        <v>1203229.6953369458</v>
      </c>
      <c r="N21" s="11">
        <v>0</v>
      </c>
      <c r="O21" s="11">
        <v>0</v>
      </c>
      <c r="P21" s="29">
        <f t="shared" si="6"/>
        <v>1203229.6953369458</v>
      </c>
      <c r="Q21" s="11">
        <v>-23228.85</v>
      </c>
      <c r="R21" s="29">
        <f t="shared" si="7"/>
        <v>1180000.8453369457</v>
      </c>
      <c r="S21" s="11">
        <v>0</v>
      </c>
      <c r="U21" s="11">
        <v>32660.34</v>
      </c>
      <c r="X21" s="11">
        <v>0</v>
      </c>
      <c r="Y21" s="11">
        <v>0</v>
      </c>
      <c r="Z21" s="29">
        <f t="shared" si="8"/>
        <v>1212661.1853369458</v>
      </c>
      <c r="AB21" s="11">
        <f>SUMIF('ERS 2015-16'!B:B,B21,'ERS 2015-16'!AC:AC)</f>
        <v>0</v>
      </c>
      <c r="AG21" s="11">
        <f t="shared" si="2"/>
        <v>23723.16</v>
      </c>
      <c r="AJ21" s="11">
        <f t="shared" si="3"/>
        <v>1188938.0253369459</v>
      </c>
      <c r="AK21" s="11">
        <f t="shared" si="5"/>
        <v>1212661.1853369458</v>
      </c>
    </row>
    <row r="22" spans="1:37" s="11" customFormat="1" ht="12.75" x14ac:dyDescent="0.2">
      <c r="A22" s="9" t="s">
        <v>126</v>
      </c>
      <c r="B22" s="26">
        <v>2467</v>
      </c>
      <c r="C22" s="11">
        <v>897438.18798399996</v>
      </c>
      <c r="D22" s="11">
        <v>152725.87612343498</v>
      </c>
      <c r="E22" s="11">
        <v>0</v>
      </c>
      <c r="F22" s="11">
        <v>0</v>
      </c>
      <c r="G22" s="11">
        <v>13452.931367441848</v>
      </c>
      <c r="H22" s="11">
        <v>0</v>
      </c>
      <c r="I22" s="11">
        <v>100000</v>
      </c>
      <c r="J22" s="11">
        <v>0</v>
      </c>
      <c r="K22" s="11">
        <v>11314.349999999999</v>
      </c>
      <c r="L22" s="11">
        <v>0</v>
      </c>
      <c r="M22" s="29">
        <f t="shared" si="0"/>
        <v>1174931.3454748767</v>
      </c>
      <c r="N22" s="11">
        <v>11806.330096870661</v>
      </c>
      <c r="O22" s="11">
        <v>0</v>
      </c>
      <c r="P22" s="29">
        <f t="shared" si="6"/>
        <v>1186737.6755717474</v>
      </c>
      <c r="Q22" s="11">
        <v>-22757.54</v>
      </c>
      <c r="R22" s="29">
        <f t="shared" si="7"/>
        <v>1163980.1355717473</v>
      </c>
      <c r="S22" s="11">
        <v>42067.342519685044</v>
      </c>
      <c r="U22" s="11">
        <v>0</v>
      </c>
      <c r="X22" s="11">
        <v>93465.092107274744</v>
      </c>
      <c r="Y22" s="11">
        <v>0</v>
      </c>
      <c r="Z22" s="29">
        <f t="shared" si="8"/>
        <v>1299512.570198707</v>
      </c>
      <c r="AB22" s="11">
        <f>SUMIF('ERS 2015-16'!B:B,B22,'ERS 2015-16'!AC:AC)</f>
        <v>0</v>
      </c>
      <c r="AG22" s="11">
        <f t="shared" si="2"/>
        <v>11314.349999999999</v>
      </c>
      <c r="AJ22" s="11">
        <f t="shared" si="3"/>
        <v>1288198.220198707</v>
      </c>
      <c r="AK22" s="11">
        <f t="shared" si="5"/>
        <v>1299512.570198707</v>
      </c>
    </row>
    <row r="23" spans="1:37" s="11" customFormat="1" ht="12.75" x14ac:dyDescent="0.2">
      <c r="A23" s="9" t="s">
        <v>28</v>
      </c>
      <c r="B23" s="26">
        <v>2455</v>
      </c>
      <c r="C23" s="11">
        <v>939920.46907199989</v>
      </c>
      <c r="D23" s="11">
        <v>71937.37267533991</v>
      </c>
      <c r="E23" s="11">
        <v>0</v>
      </c>
      <c r="F23" s="11">
        <v>0</v>
      </c>
      <c r="G23" s="11">
        <v>22007.717984615396</v>
      </c>
      <c r="H23" s="11">
        <v>0</v>
      </c>
      <c r="I23" s="11">
        <v>100000</v>
      </c>
      <c r="J23" s="11">
        <v>0</v>
      </c>
      <c r="K23" s="11">
        <v>25143</v>
      </c>
      <c r="L23" s="11">
        <v>0</v>
      </c>
      <c r="M23" s="29">
        <f t="shared" si="0"/>
        <v>1159008.5597319552</v>
      </c>
      <c r="N23" s="11">
        <v>0</v>
      </c>
      <c r="O23" s="11">
        <v>0</v>
      </c>
      <c r="P23" s="29">
        <f t="shared" si="6"/>
        <v>1159008.5597319552</v>
      </c>
      <c r="Q23" s="11">
        <v>-23834.82</v>
      </c>
      <c r="R23" s="29">
        <f t="shared" si="7"/>
        <v>1135173.7397319551</v>
      </c>
      <c r="S23" s="11">
        <v>20000</v>
      </c>
      <c r="U23" s="11">
        <v>0</v>
      </c>
      <c r="X23" s="11">
        <v>0</v>
      </c>
      <c r="Y23" s="11">
        <v>0</v>
      </c>
      <c r="Z23" s="29">
        <f t="shared" si="8"/>
        <v>1155173.7397319551</v>
      </c>
      <c r="AB23" s="11">
        <f>SUMIF('ERS 2015-16'!B:B,B23,'ERS 2015-16'!AC:AC)</f>
        <v>0</v>
      </c>
      <c r="AG23" s="11">
        <f t="shared" si="2"/>
        <v>25143</v>
      </c>
      <c r="AJ23" s="11">
        <f t="shared" si="3"/>
        <v>1130030.7397319551</v>
      </c>
      <c r="AK23" s="11">
        <f t="shared" si="5"/>
        <v>1155173.7397319551</v>
      </c>
    </row>
    <row r="24" spans="1:37" s="11" customFormat="1" ht="12.75" x14ac:dyDescent="0.2">
      <c r="A24" s="9" t="s">
        <v>29</v>
      </c>
      <c r="B24" s="26">
        <v>5203</v>
      </c>
      <c r="C24" s="11">
        <v>1303675.0008879998</v>
      </c>
      <c r="D24" s="11">
        <v>121311.81771140057</v>
      </c>
      <c r="E24" s="11">
        <v>1375.6302271221532</v>
      </c>
      <c r="F24" s="11">
        <v>0</v>
      </c>
      <c r="G24" s="11">
        <v>6873.8698699386514</v>
      </c>
      <c r="H24" s="11">
        <v>0</v>
      </c>
      <c r="I24" s="11">
        <v>100000</v>
      </c>
      <c r="J24" s="11">
        <v>0</v>
      </c>
      <c r="K24" s="11">
        <v>4877.7419999999984</v>
      </c>
      <c r="L24" s="11">
        <v>0</v>
      </c>
      <c r="M24" s="29">
        <f t="shared" si="0"/>
        <v>1538114.0606964612</v>
      </c>
      <c r="N24" s="11">
        <v>0</v>
      </c>
      <c r="O24" s="11">
        <v>0</v>
      </c>
      <c r="P24" s="29">
        <f t="shared" si="6"/>
        <v>1538114.0606964612</v>
      </c>
      <c r="Q24" s="11">
        <v>-33059.03</v>
      </c>
      <c r="R24" s="29">
        <f t="shared" si="7"/>
        <v>1505055.0306964612</v>
      </c>
      <c r="S24" s="11">
        <v>0</v>
      </c>
      <c r="U24" s="11">
        <v>21022.75</v>
      </c>
      <c r="X24" s="11">
        <v>0</v>
      </c>
      <c r="Y24" s="11">
        <v>0</v>
      </c>
      <c r="Z24" s="29">
        <f t="shared" si="8"/>
        <v>1526077.7806964612</v>
      </c>
      <c r="AB24" s="11">
        <f>SUMIF('ERS 2015-16'!B:B,B24,'ERS 2015-16'!AC:AC)</f>
        <v>0</v>
      </c>
      <c r="AG24" s="11">
        <f t="shared" si="2"/>
        <v>4877.7419999999984</v>
      </c>
      <c r="AJ24" s="11">
        <f t="shared" si="3"/>
        <v>1521200.0386964611</v>
      </c>
      <c r="AK24" s="11">
        <f t="shared" si="5"/>
        <v>1526077.7806964612</v>
      </c>
    </row>
    <row r="25" spans="1:37" s="11" customFormat="1" ht="12.75" x14ac:dyDescent="0.2">
      <c r="A25" s="9" t="s">
        <v>30</v>
      </c>
      <c r="B25" s="26">
        <v>2451</v>
      </c>
      <c r="C25" s="11">
        <v>1348812.4245439998</v>
      </c>
      <c r="D25" s="11">
        <v>151327.83646503178</v>
      </c>
      <c r="E25" s="11">
        <v>0</v>
      </c>
      <c r="F25" s="11">
        <v>0</v>
      </c>
      <c r="G25" s="11">
        <v>9141.1563869158999</v>
      </c>
      <c r="H25" s="11">
        <v>0</v>
      </c>
      <c r="I25" s="11">
        <v>100000</v>
      </c>
      <c r="J25" s="11">
        <v>0</v>
      </c>
      <c r="K25" s="11">
        <v>22880.129999999997</v>
      </c>
      <c r="L25" s="11">
        <v>0</v>
      </c>
      <c r="M25" s="29">
        <f t="shared" si="0"/>
        <v>1632161.5473959474</v>
      </c>
      <c r="N25" s="11">
        <v>0</v>
      </c>
      <c r="O25" s="11">
        <v>0</v>
      </c>
      <c r="P25" s="29">
        <f t="shared" si="6"/>
        <v>1632161.5473959474</v>
      </c>
      <c r="Q25" s="11">
        <v>-34203.64</v>
      </c>
      <c r="R25" s="29">
        <f t="shared" si="7"/>
        <v>1597957.9073959475</v>
      </c>
      <c r="S25" s="11">
        <v>30336.555118110235</v>
      </c>
      <c r="U25" s="11">
        <v>17518.96</v>
      </c>
      <c r="X25" s="11">
        <v>115821.73523729797</v>
      </c>
      <c r="Y25" s="11">
        <v>0</v>
      </c>
      <c r="Z25" s="29">
        <f t="shared" si="8"/>
        <v>1761635.1577513558</v>
      </c>
      <c r="AB25" s="11">
        <f>SUMIF('ERS 2015-16'!B:B,B25,'ERS 2015-16'!AC:AC)</f>
        <v>0</v>
      </c>
      <c r="AG25" s="11">
        <f t="shared" si="2"/>
        <v>22880.129999999997</v>
      </c>
      <c r="AJ25" s="11">
        <f t="shared" si="3"/>
        <v>1738755.0277513559</v>
      </c>
      <c r="AK25" s="11">
        <f t="shared" si="5"/>
        <v>1761635.1577513558</v>
      </c>
    </row>
    <row r="26" spans="1:37" s="11" customFormat="1" ht="12.75" x14ac:dyDescent="0.2">
      <c r="A26" s="9" t="s">
        <v>31</v>
      </c>
      <c r="B26" s="26">
        <v>2409</v>
      </c>
      <c r="C26" s="11">
        <v>1444397.556992</v>
      </c>
      <c r="D26" s="11">
        <v>304623.65539205808</v>
      </c>
      <c r="E26" s="11">
        <v>0</v>
      </c>
      <c r="F26" s="11">
        <v>0</v>
      </c>
      <c r="G26" s="11">
        <v>179601.63763370289</v>
      </c>
      <c r="H26" s="11">
        <v>0</v>
      </c>
      <c r="I26" s="11">
        <v>100000</v>
      </c>
      <c r="J26" s="11">
        <v>0</v>
      </c>
      <c r="K26" s="11">
        <v>29920.17</v>
      </c>
      <c r="L26" s="11">
        <v>0</v>
      </c>
      <c r="M26" s="29">
        <f t="shared" si="0"/>
        <v>2058543.020017761</v>
      </c>
      <c r="N26" s="11">
        <v>41336.728513587732</v>
      </c>
      <c r="O26" s="11">
        <v>0</v>
      </c>
      <c r="P26" s="29">
        <f t="shared" si="6"/>
        <v>2099879.748531349</v>
      </c>
      <c r="Q26" s="11">
        <v>-36627.519999999997</v>
      </c>
      <c r="R26" s="29">
        <f t="shared" si="7"/>
        <v>2063252.228531349</v>
      </c>
      <c r="S26" s="11">
        <v>35913.484251968504</v>
      </c>
      <c r="U26" s="11">
        <v>30658.18</v>
      </c>
      <c r="X26" s="11">
        <v>0</v>
      </c>
      <c r="Y26" s="11">
        <v>0</v>
      </c>
      <c r="Z26" s="29">
        <f t="shared" si="8"/>
        <v>2129823.8927833177</v>
      </c>
      <c r="AB26" s="11">
        <f>SUMIF('ERS 2015-16'!B:B,B26,'ERS 2015-16'!AC:AC)</f>
        <v>0</v>
      </c>
      <c r="AG26" s="11">
        <f t="shared" si="2"/>
        <v>29920.17</v>
      </c>
      <c r="AJ26" s="11">
        <f t="shared" si="3"/>
        <v>2099903.7227833178</v>
      </c>
      <c r="AK26" s="11">
        <f t="shared" si="5"/>
        <v>2129823.8927833177</v>
      </c>
    </row>
    <row r="27" spans="1:37" s="11" customFormat="1" ht="12.75" x14ac:dyDescent="0.2">
      <c r="A27" s="9" t="s">
        <v>98</v>
      </c>
      <c r="B27" s="26">
        <v>3158</v>
      </c>
      <c r="C27" s="11">
        <v>318617.10815999995</v>
      </c>
      <c r="D27" s="11">
        <v>69082.990925914666</v>
      </c>
      <c r="E27" s="11">
        <v>0</v>
      </c>
      <c r="F27" s="11">
        <v>0</v>
      </c>
      <c r="G27" s="11">
        <v>93589.114329113916</v>
      </c>
      <c r="H27" s="11">
        <v>0</v>
      </c>
      <c r="I27" s="11">
        <v>100000</v>
      </c>
      <c r="J27" s="11">
        <v>0</v>
      </c>
      <c r="K27" s="11">
        <v>1080.6759999999997</v>
      </c>
      <c r="L27" s="11">
        <v>0</v>
      </c>
      <c r="M27" s="29">
        <f t="shared" si="0"/>
        <v>582369.88941502851</v>
      </c>
      <c r="N27" s="11">
        <v>0</v>
      </c>
      <c r="O27" s="11">
        <v>0</v>
      </c>
      <c r="P27" s="29">
        <f t="shared" si="6"/>
        <v>582369.88941502851</v>
      </c>
      <c r="Q27" s="11">
        <v>-8079.5999999999995</v>
      </c>
      <c r="R27" s="29">
        <f t="shared" si="7"/>
        <v>574290.28941502853</v>
      </c>
      <c r="S27" s="11">
        <v>37884.645669291342</v>
      </c>
      <c r="U27" s="11">
        <v>5756.23</v>
      </c>
      <c r="X27" s="11">
        <v>107888.57112776386</v>
      </c>
      <c r="Y27" s="11">
        <v>0</v>
      </c>
      <c r="Z27" s="29">
        <f t="shared" si="8"/>
        <v>725819.73621208372</v>
      </c>
      <c r="AB27" s="11">
        <f>SUMIF('ERS 2015-16'!B:B,B27,'ERS 2015-16'!AC:AC)</f>
        <v>0</v>
      </c>
      <c r="AG27" s="11">
        <f t="shared" si="2"/>
        <v>1080.6759999999997</v>
      </c>
      <c r="AJ27" s="11">
        <f t="shared" si="3"/>
        <v>724739.06021208374</v>
      </c>
      <c r="AK27" s="11">
        <f t="shared" si="5"/>
        <v>725819.73621208372</v>
      </c>
    </row>
    <row r="28" spans="1:37" s="11" customFormat="1" ht="12.75" x14ac:dyDescent="0.2">
      <c r="A28" s="9" t="s">
        <v>32</v>
      </c>
      <c r="B28" s="26">
        <v>2619</v>
      </c>
      <c r="C28" s="11">
        <v>587007.76940866653</v>
      </c>
      <c r="D28" s="11">
        <v>244419.37245482486</v>
      </c>
      <c r="E28" s="11">
        <v>1445.2833756441221</v>
      </c>
      <c r="F28" s="11">
        <v>0</v>
      </c>
      <c r="G28" s="11">
        <v>21257.13269101128</v>
      </c>
      <c r="H28" s="11">
        <v>0</v>
      </c>
      <c r="I28" s="11">
        <v>100000</v>
      </c>
      <c r="J28" s="11">
        <v>0</v>
      </c>
      <c r="K28" s="11">
        <v>20491.544999999998</v>
      </c>
      <c r="L28" s="11">
        <v>0</v>
      </c>
      <c r="M28" s="29">
        <f t="shared" si="0"/>
        <v>974621.10293014685</v>
      </c>
      <c r="N28" s="11">
        <v>12438.647196252015</v>
      </c>
      <c r="O28" s="11">
        <v>0</v>
      </c>
      <c r="P28" s="29">
        <f t="shared" si="6"/>
        <v>987059.75012639887</v>
      </c>
      <c r="Q28" s="11">
        <v>-14885.540833333333</v>
      </c>
      <c r="R28" s="29">
        <f t="shared" si="7"/>
        <v>972174.20929306559</v>
      </c>
      <c r="S28" s="11">
        <v>5000</v>
      </c>
      <c r="U28" s="11">
        <v>22524.38</v>
      </c>
      <c r="X28" s="11">
        <v>99376.625564894275</v>
      </c>
      <c r="Y28" s="11">
        <v>0</v>
      </c>
      <c r="Z28" s="29">
        <f t="shared" si="8"/>
        <v>1099075.2148579599</v>
      </c>
      <c r="AB28" s="11">
        <f>SUMIF('ERS 2015-16'!B:B,B28,'ERS 2015-16'!AC:AC)</f>
        <v>0</v>
      </c>
      <c r="AG28" s="11">
        <f t="shared" si="2"/>
        <v>20491.544999999998</v>
      </c>
      <c r="AJ28" s="11">
        <f t="shared" si="3"/>
        <v>1078583.66985796</v>
      </c>
      <c r="AK28" s="11">
        <f t="shared" si="5"/>
        <v>1099075.2148579599</v>
      </c>
    </row>
    <row r="29" spans="1:37" s="11" customFormat="1" ht="12.75" x14ac:dyDescent="0.2">
      <c r="A29" s="9" t="s">
        <v>33</v>
      </c>
      <c r="B29" s="1023">
        <v>2518</v>
      </c>
      <c r="C29" s="11">
        <v>836369.90891999996</v>
      </c>
      <c r="D29" s="11">
        <v>269498.50577151973</v>
      </c>
      <c r="E29" s="11">
        <v>2478.2747703488371</v>
      </c>
      <c r="F29" s="11">
        <v>0</v>
      </c>
      <c r="G29" s="11">
        <v>129894.80996739118</v>
      </c>
      <c r="H29" s="11">
        <v>84577.440000000075</v>
      </c>
      <c r="I29" s="11">
        <v>100000</v>
      </c>
      <c r="J29" s="11">
        <v>0</v>
      </c>
      <c r="K29" s="11">
        <v>8201.4699999999993</v>
      </c>
      <c r="L29" s="11">
        <v>0</v>
      </c>
      <c r="M29" s="29">
        <f t="shared" si="0"/>
        <v>1431020.4094292598</v>
      </c>
      <c r="N29" s="11">
        <v>0</v>
      </c>
      <c r="O29" s="11">
        <v>0</v>
      </c>
      <c r="P29" s="29">
        <f t="shared" si="6"/>
        <v>1431020.4094292598</v>
      </c>
      <c r="Q29" s="11">
        <v>-21208.95</v>
      </c>
      <c r="R29" s="29">
        <f t="shared" si="7"/>
        <v>1409811.4594292599</v>
      </c>
      <c r="S29" s="11">
        <v>47644.271653543306</v>
      </c>
      <c r="U29" s="11">
        <v>13514.625</v>
      </c>
      <c r="X29" s="11">
        <v>23857.017079630896</v>
      </c>
      <c r="Y29" s="11">
        <v>0</v>
      </c>
      <c r="Z29" s="29">
        <f t="shared" si="8"/>
        <v>1494827.373162434</v>
      </c>
      <c r="AB29" s="11">
        <f>SUMIF('ERS 2015-16'!B:B,B29,'ERS 2015-16'!AC:AC)</f>
        <v>0</v>
      </c>
      <c r="AG29" s="11">
        <f t="shared" si="2"/>
        <v>8201.4699999999993</v>
      </c>
      <c r="AJ29" s="11">
        <f t="shared" si="3"/>
        <v>1486625.903162434</v>
      </c>
      <c r="AK29" s="11">
        <f t="shared" si="5"/>
        <v>1494827.373162434</v>
      </c>
    </row>
    <row r="30" spans="1:37" s="11" customFormat="1" ht="12.75" x14ac:dyDescent="0.2">
      <c r="A30" s="9" t="s">
        <v>34</v>
      </c>
      <c r="B30" s="26">
        <v>2457</v>
      </c>
      <c r="C30" s="11">
        <v>971782.1798879999</v>
      </c>
      <c r="D30" s="11">
        <v>123718.43766753576</v>
      </c>
      <c r="E30" s="11">
        <v>6803.2597829670322</v>
      </c>
      <c r="F30" s="11">
        <v>0</v>
      </c>
      <c r="G30" s="11">
        <v>33373.618199999895</v>
      </c>
      <c r="H30" s="11">
        <v>0</v>
      </c>
      <c r="I30" s="11">
        <v>100000</v>
      </c>
      <c r="J30" s="11">
        <v>0</v>
      </c>
      <c r="K30" s="11">
        <v>15965.804999999998</v>
      </c>
      <c r="L30" s="11">
        <v>0</v>
      </c>
      <c r="M30" s="29">
        <f t="shared" si="0"/>
        <v>1251643.3005385024</v>
      </c>
      <c r="N30" s="11">
        <v>0</v>
      </c>
      <c r="O30" s="11">
        <v>0</v>
      </c>
      <c r="P30" s="29">
        <f t="shared" si="6"/>
        <v>1251643.3005385024</v>
      </c>
      <c r="Q30" s="11">
        <v>-24642.78</v>
      </c>
      <c r="R30" s="29">
        <f t="shared" si="7"/>
        <v>1227000.5205385024</v>
      </c>
      <c r="S30" s="11">
        <v>0</v>
      </c>
      <c r="U30" s="11">
        <v>0</v>
      </c>
      <c r="X30" s="11">
        <v>0</v>
      </c>
      <c r="Y30" s="11">
        <v>0</v>
      </c>
      <c r="Z30" s="29">
        <f t="shared" si="8"/>
        <v>1227000.5205385024</v>
      </c>
      <c r="AB30" s="11">
        <f>SUMIF('ERS 2015-16'!B:B,B30,'ERS 2015-16'!AC:AC)</f>
        <v>0</v>
      </c>
      <c r="AG30" s="11">
        <f t="shared" si="2"/>
        <v>15965.804999999998</v>
      </c>
      <c r="AJ30" s="11">
        <f t="shared" si="3"/>
        <v>1211034.7155385024</v>
      </c>
      <c r="AK30" s="11">
        <f t="shared" si="5"/>
        <v>1227000.5205385024</v>
      </c>
    </row>
    <row r="31" spans="1:37" s="11" customFormat="1" ht="12.75" x14ac:dyDescent="0.2">
      <c r="A31" s="9" t="s">
        <v>99</v>
      </c>
      <c r="B31" s="26">
        <v>2010</v>
      </c>
      <c r="C31" s="11">
        <v>560235.08184799994</v>
      </c>
      <c r="D31" s="11">
        <v>185046.62005054636</v>
      </c>
      <c r="E31" s="11">
        <v>0</v>
      </c>
      <c r="F31" s="11">
        <v>0</v>
      </c>
      <c r="G31" s="11">
        <v>32099.525653333378</v>
      </c>
      <c r="H31" s="11">
        <v>0</v>
      </c>
      <c r="I31" s="11">
        <v>100000</v>
      </c>
      <c r="J31" s="11">
        <v>0</v>
      </c>
      <c r="K31" s="11">
        <v>2992.0169999999998</v>
      </c>
      <c r="L31" s="11">
        <v>0</v>
      </c>
      <c r="M31" s="29">
        <f t="shared" si="0"/>
        <v>880373.2445518797</v>
      </c>
      <c r="N31" s="11">
        <v>51172.725021714577</v>
      </c>
      <c r="O31" s="11">
        <v>0</v>
      </c>
      <c r="P31" s="29">
        <f t="shared" si="6"/>
        <v>931545.96957359428</v>
      </c>
      <c r="Q31" s="11">
        <v>0</v>
      </c>
      <c r="R31" s="29">
        <f t="shared" si="7"/>
        <v>931545.96957359428</v>
      </c>
      <c r="S31" s="11">
        <v>5000</v>
      </c>
      <c r="U31" s="11">
        <v>10010.83</v>
      </c>
      <c r="X31" s="11">
        <v>99941.304439604486</v>
      </c>
      <c r="Y31" s="11">
        <v>0</v>
      </c>
      <c r="Z31" s="29">
        <f t="shared" si="8"/>
        <v>1046498.1040131988</v>
      </c>
      <c r="AB31" s="11">
        <f>SUMIF('ERS 2015-16'!B:B,B31,'ERS 2015-16'!AC:AC)</f>
        <v>0</v>
      </c>
      <c r="AG31" s="11">
        <f t="shared" si="2"/>
        <v>2992.0169999999998</v>
      </c>
      <c r="AJ31" s="11">
        <f t="shared" si="3"/>
        <v>1043506.0870131988</v>
      </c>
      <c r="AK31" s="11">
        <f t="shared" si="5"/>
        <v>1046498.1040131988</v>
      </c>
    </row>
    <row r="32" spans="1:37" s="11" customFormat="1" ht="12.75" x14ac:dyDescent="0.2">
      <c r="A32" s="9" t="s">
        <v>35</v>
      </c>
      <c r="B32" s="26">
        <v>2002</v>
      </c>
      <c r="C32" s="11">
        <v>1141711.30424</v>
      </c>
      <c r="D32" s="11">
        <v>44150.837308183312</v>
      </c>
      <c r="E32" s="11">
        <v>1356.3710512820512</v>
      </c>
      <c r="F32" s="11">
        <v>0</v>
      </c>
      <c r="G32" s="11">
        <v>15998.501478260863</v>
      </c>
      <c r="H32" s="11">
        <v>0</v>
      </c>
      <c r="I32" s="11">
        <v>100000</v>
      </c>
      <c r="J32" s="11">
        <v>0</v>
      </c>
      <c r="K32" s="11">
        <v>44000.25</v>
      </c>
      <c r="L32" s="11">
        <v>0</v>
      </c>
      <c r="M32" s="29">
        <f t="shared" si="0"/>
        <v>1347217.2640777263</v>
      </c>
      <c r="N32" s="11">
        <v>0</v>
      </c>
      <c r="O32" s="11">
        <v>0</v>
      </c>
      <c r="P32" s="29">
        <f t="shared" si="6"/>
        <v>1347217.2640777263</v>
      </c>
      <c r="Q32" s="11">
        <v>-28951.899999999998</v>
      </c>
      <c r="R32" s="29">
        <f t="shared" si="7"/>
        <v>1318265.3640777264</v>
      </c>
      <c r="S32" s="11">
        <v>10000</v>
      </c>
      <c r="U32" s="11">
        <v>76582.880000000005</v>
      </c>
      <c r="X32" s="11">
        <v>96990.952334520131</v>
      </c>
      <c r="Y32" s="11">
        <v>0</v>
      </c>
      <c r="Z32" s="29">
        <f t="shared" si="8"/>
        <v>1501839.1964122464</v>
      </c>
      <c r="AB32" s="11">
        <f>SUMIF('ERS 2015-16'!B:B,B32,'ERS 2015-16'!AC:AC)</f>
        <v>0</v>
      </c>
      <c r="AG32" s="11">
        <f t="shared" si="2"/>
        <v>44000.25</v>
      </c>
      <c r="AJ32" s="11">
        <f t="shared" si="3"/>
        <v>1457838.9464122464</v>
      </c>
      <c r="AK32" s="11">
        <f t="shared" si="5"/>
        <v>1501839.1964122464</v>
      </c>
    </row>
    <row r="33" spans="1:37" s="11" customFormat="1" ht="12.75" x14ac:dyDescent="0.2">
      <c r="A33" s="9" t="s">
        <v>36</v>
      </c>
      <c r="B33" s="26">
        <v>3544</v>
      </c>
      <c r="C33" s="11">
        <v>1412535.8461759998</v>
      </c>
      <c r="D33" s="11">
        <v>394700.13321867283</v>
      </c>
      <c r="E33" s="11">
        <v>13356.424571428572</v>
      </c>
      <c r="F33" s="11">
        <v>0</v>
      </c>
      <c r="G33" s="11">
        <v>219909.08263728805</v>
      </c>
      <c r="H33" s="11">
        <v>0</v>
      </c>
      <c r="I33" s="11">
        <v>100000</v>
      </c>
      <c r="J33" s="11">
        <v>0</v>
      </c>
      <c r="K33" s="11">
        <v>58331.759999999995</v>
      </c>
      <c r="L33" s="11">
        <v>131811.16</v>
      </c>
      <c r="M33" s="29">
        <f t="shared" si="0"/>
        <v>2330644.4066033894</v>
      </c>
      <c r="N33" s="11">
        <v>0</v>
      </c>
      <c r="O33" s="11">
        <v>0</v>
      </c>
      <c r="P33" s="29">
        <f t="shared" si="6"/>
        <v>2330644.4066033894</v>
      </c>
      <c r="Q33" s="11">
        <v>-35819.56</v>
      </c>
      <c r="R33" s="29">
        <f t="shared" si="7"/>
        <v>2294824.8466033894</v>
      </c>
      <c r="S33" s="11">
        <v>10000</v>
      </c>
      <c r="U33" s="11">
        <v>104112.67</v>
      </c>
      <c r="X33" s="11">
        <v>141211.81065281463</v>
      </c>
      <c r="Y33" s="11">
        <v>0</v>
      </c>
      <c r="Z33" s="29">
        <f t="shared" si="8"/>
        <v>2550149.3272562041</v>
      </c>
      <c r="AB33" s="11">
        <f>SUMIF('ERS 2015-16'!B:B,B33,'ERS 2015-16'!AC:AC)</f>
        <v>0</v>
      </c>
      <c r="AG33" s="11">
        <f t="shared" si="2"/>
        <v>58331.759999999995</v>
      </c>
      <c r="AJ33" s="11">
        <f t="shared" si="3"/>
        <v>2491817.5672562043</v>
      </c>
      <c r="AK33" s="11">
        <f t="shared" si="5"/>
        <v>2550149.3272562041</v>
      </c>
    </row>
    <row r="34" spans="1:37" s="11" customFormat="1" ht="12.75" x14ac:dyDescent="0.2">
      <c r="A34" s="9" t="s">
        <v>100</v>
      </c>
      <c r="B34" s="26">
        <v>2006</v>
      </c>
      <c r="C34" s="11">
        <v>764681.05958399992</v>
      </c>
      <c r="D34" s="11">
        <v>14876.788480009202</v>
      </c>
      <c r="E34" s="11">
        <v>0</v>
      </c>
      <c r="F34" s="11">
        <v>0</v>
      </c>
      <c r="G34" s="11">
        <v>5381.0335021834107</v>
      </c>
      <c r="H34" s="11">
        <v>0</v>
      </c>
      <c r="I34" s="11">
        <v>100000</v>
      </c>
      <c r="J34" s="11">
        <v>0</v>
      </c>
      <c r="K34" s="11">
        <v>25897.289999999997</v>
      </c>
      <c r="L34" s="11">
        <v>0</v>
      </c>
      <c r="M34" s="29">
        <f t="shared" ref="M34:M65" si="9">SUM(C34:L34)</f>
        <v>910836.17156619253</v>
      </c>
      <c r="N34" s="11">
        <v>0</v>
      </c>
      <c r="O34" s="11">
        <v>0</v>
      </c>
      <c r="P34" s="29">
        <f t="shared" si="6"/>
        <v>910836.17156619253</v>
      </c>
      <c r="Q34" s="11">
        <v>-19391.04</v>
      </c>
      <c r="R34" s="29">
        <f t="shared" si="7"/>
        <v>891445.13156619249</v>
      </c>
      <c r="S34" s="11">
        <v>28125.01968503937</v>
      </c>
      <c r="U34" s="11">
        <v>88220.47</v>
      </c>
      <c r="X34" s="11">
        <v>103437.35522482838</v>
      </c>
      <c r="Y34" s="11">
        <v>0</v>
      </c>
      <c r="Z34" s="29">
        <f t="shared" si="8"/>
        <v>1111227.9764760602</v>
      </c>
      <c r="AB34" s="11">
        <f>SUMIF('ERS 2015-16'!B:B,B34,'ERS 2015-16'!AC:AC)</f>
        <v>0</v>
      </c>
      <c r="AG34" s="11">
        <f t="shared" ref="AG34:AG65" si="10">K34</f>
        <v>25897.289999999997</v>
      </c>
      <c r="AJ34" s="11">
        <f t="shared" si="3"/>
        <v>1085330.6864760602</v>
      </c>
      <c r="AK34" s="11">
        <f t="shared" si="5"/>
        <v>1111227.9764760602</v>
      </c>
    </row>
    <row r="35" spans="1:37" s="11" customFormat="1" ht="12.75" x14ac:dyDescent="0.2">
      <c r="A35" s="9" t="s">
        <v>37</v>
      </c>
      <c r="B35" s="26">
        <v>2434</v>
      </c>
      <c r="C35" s="11">
        <v>1400587.70462</v>
      </c>
      <c r="D35" s="11">
        <v>376519.49334112532</v>
      </c>
      <c r="E35" s="11">
        <v>9151.5616570512811</v>
      </c>
      <c r="F35" s="11">
        <v>0</v>
      </c>
      <c r="G35" s="11">
        <v>17560.166708237979</v>
      </c>
      <c r="H35" s="11">
        <v>15373.865310734165</v>
      </c>
      <c r="I35" s="11">
        <v>100000</v>
      </c>
      <c r="J35" s="11">
        <v>0</v>
      </c>
      <c r="K35" s="11">
        <v>44251.68</v>
      </c>
      <c r="L35" s="11">
        <v>141954.6</v>
      </c>
      <c r="M35" s="29">
        <f t="shared" si="9"/>
        <v>2105399.0716371485</v>
      </c>
      <c r="N35" s="11">
        <v>86223.582077238942</v>
      </c>
      <c r="O35" s="11">
        <v>0</v>
      </c>
      <c r="P35" s="29">
        <f t="shared" si="6"/>
        <v>2191622.6537143877</v>
      </c>
      <c r="Q35" s="11">
        <v>-35516.574999999997</v>
      </c>
      <c r="R35" s="29">
        <f t="shared" si="7"/>
        <v>2156106.0787143875</v>
      </c>
      <c r="S35" s="11">
        <v>60432.736220472441</v>
      </c>
      <c r="T35" s="11">
        <v>260890.035</v>
      </c>
      <c r="U35" s="11">
        <v>11512.46</v>
      </c>
      <c r="X35" s="11">
        <v>219789.37669034526</v>
      </c>
      <c r="Y35" s="11">
        <v>0</v>
      </c>
      <c r="Z35" s="29">
        <f t="shared" si="8"/>
        <v>2708730.6866252054</v>
      </c>
      <c r="AB35" s="11">
        <f>SUMIF('ERS 2015-16'!B:B,B35,'ERS 2015-16'!AC:AC)</f>
        <v>0</v>
      </c>
      <c r="AG35" s="11">
        <f t="shared" si="10"/>
        <v>44251.68</v>
      </c>
      <c r="AJ35" s="11">
        <f t="shared" si="3"/>
        <v>2664479.0066252053</v>
      </c>
      <c r="AK35" s="11">
        <f t="shared" si="5"/>
        <v>2708730.6866252054</v>
      </c>
    </row>
    <row r="36" spans="1:37" s="11" customFormat="1" ht="12.75" x14ac:dyDescent="0.2">
      <c r="A36" s="9" t="s">
        <v>38</v>
      </c>
      <c r="B36" s="26">
        <v>2522</v>
      </c>
      <c r="C36" s="11">
        <v>1048781.31436</v>
      </c>
      <c r="D36" s="11">
        <v>74750.684215462912</v>
      </c>
      <c r="E36" s="11">
        <v>0</v>
      </c>
      <c r="F36" s="11">
        <v>0</v>
      </c>
      <c r="G36" s="11">
        <v>9080.9959970149102</v>
      </c>
      <c r="H36" s="11">
        <v>0</v>
      </c>
      <c r="I36" s="11">
        <v>100000</v>
      </c>
      <c r="J36" s="11">
        <v>0</v>
      </c>
      <c r="K36" s="11">
        <v>13954.365</v>
      </c>
      <c r="L36" s="11">
        <v>0</v>
      </c>
      <c r="M36" s="29">
        <f t="shared" si="9"/>
        <v>1246567.3595724779</v>
      </c>
      <c r="N36" s="11">
        <v>0</v>
      </c>
      <c r="O36" s="11">
        <v>0</v>
      </c>
      <c r="P36" s="29">
        <f t="shared" si="6"/>
        <v>1246567.3595724779</v>
      </c>
      <c r="Q36" s="11">
        <v>-26595.35</v>
      </c>
      <c r="R36" s="29">
        <f t="shared" si="7"/>
        <v>1219972.0095724778</v>
      </c>
      <c r="S36" s="11">
        <v>10000</v>
      </c>
      <c r="U36" s="11">
        <v>19521.13</v>
      </c>
      <c r="X36" s="11">
        <v>0</v>
      </c>
      <c r="Y36" s="11">
        <v>0</v>
      </c>
      <c r="Z36" s="29">
        <f t="shared" si="8"/>
        <v>1249493.1395724777</v>
      </c>
      <c r="AB36" s="11">
        <f>SUMIF('ERS 2015-16'!B:B,B36,'ERS 2015-16'!AC:AC)</f>
        <v>0</v>
      </c>
      <c r="AG36" s="11">
        <f t="shared" si="10"/>
        <v>13954.365</v>
      </c>
      <c r="AJ36" s="11">
        <f t="shared" si="3"/>
        <v>1235538.7745724777</v>
      </c>
      <c r="AK36" s="11">
        <f t="shared" si="5"/>
        <v>1249493.1395724777</v>
      </c>
    </row>
    <row r="37" spans="1:37" s="11" customFormat="1" ht="12.75" x14ac:dyDescent="0.2">
      <c r="A37" s="9" t="s">
        <v>39</v>
      </c>
      <c r="B37" s="26">
        <v>2436</v>
      </c>
      <c r="C37" s="11">
        <v>921334.47109599994</v>
      </c>
      <c r="D37" s="11">
        <v>111910.87552562324</v>
      </c>
      <c r="E37" s="11">
        <v>1377.0269645161291</v>
      </c>
      <c r="F37" s="11">
        <v>0</v>
      </c>
      <c r="G37" s="11">
        <v>13174.795808191138</v>
      </c>
      <c r="H37" s="11">
        <v>0</v>
      </c>
      <c r="I37" s="11">
        <v>100000</v>
      </c>
      <c r="J37" s="11">
        <v>0</v>
      </c>
      <c r="K37" s="11">
        <v>13200.074999999999</v>
      </c>
      <c r="L37" s="11">
        <v>0</v>
      </c>
      <c r="M37" s="29">
        <f t="shared" si="9"/>
        <v>1160997.2443943305</v>
      </c>
      <c r="N37" s="11">
        <v>0</v>
      </c>
      <c r="O37" s="11">
        <v>0</v>
      </c>
      <c r="P37" s="29">
        <f t="shared" si="6"/>
        <v>1160997.2443943305</v>
      </c>
      <c r="Q37" s="11">
        <v>-23363.51</v>
      </c>
      <c r="R37" s="29">
        <f t="shared" si="7"/>
        <v>1137633.7343943305</v>
      </c>
      <c r="S37" s="11">
        <v>12788.464566929135</v>
      </c>
      <c r="T37" s="11">
        <v>200860.35</v>
      </c>
      <c r="U37" s="11">
        <v>25027.08</v>
      </c>
      <c r="X37" s="11">
        <v>0</v>
      </c>
      <c r="Y37" s="11">
        <v>0</v>
      </c>
      <c r="Z37" s="29">
        <f t="shared" si="8"/>
        <v>1376309.6289612597</v>
      </c>
      <c r="AB37" s="11">
        <f>SUMIF('ERS 2015-16'!B:B,B37,'ERS 2015-16'!AC:AC)</f>
        <v>45960.1</v>
      </c>
      <c r="AG37" s="11">
        <f t="shared" si="10"/>
        <v>13200.074999999999</v>
      </c>
      <c r="AJ37" s="11">
        <f t="shared" si="3"/>
        <v>1317149.4539612597</v>
      </c>
      <c r="AK37" s="11">
        <f t="shared" si="5"/>
        <v>1330349.5289612596</v>
      </c>
    </row>
    <row r="38" spans="1:37" s="11" customFormat="1" ht="12.75" x14ac:dyDescent="0.2">
      <c r="A38" s="9" t="s">
        <v>40</v>
      </c>
      <c r="B38" s="26">
        <v>2452</v>
      </c>
      <c r="C38" s="11">
        <v>517752.80075999995</v>
      </c>
      <c r="D38" s="11">
        <v>107023.52846809843</v>
      </c>
      <c r="E38" s="11">
        <v>0</v>
      </c>
      <c r="F38" s="11">
        <v>0</v>
      </c>
      <c r="G38" s="11">
        <v>11057.524102409645</v>
      </c>
      <c r="H38" s="11">
        <v>0</v>
      </c>
      <c r="I38" s="11">
        <v>100000</v>
      </c>
      <c r="J38" s="11">
        <v>0</v>
      </c>
      <c r="K38" s="11">
        <v>11565.779999999999</v>
      </c>
      <c r="L38" s="11">
        <v>0</v>
      </c>
      <c r="M38" s="29">
        <f t="shared" si="9"/>
        <v>747399.63333050802</v>
      </c>
      <c r="N38" s="11">
        <v>0</v>
      </c>
      <c r="O38" s="11">
        <v>0</v>
      </c>
      <c r="P38" s="29">
        <f t="shared" si="6"/>
        <v>747399.63333050802</v>
      </c>
      <c r="Q38" s="11">
        <v>-13129.35</v>
      </c>
      <c r="R38" s="29">
        <f t="shared" si="7"/>
        <v>734270.28333050804</v>
      </c>
      <c r="S38" s="11">
        <v>6394.2322834645674</v>
      </c>
      <c r="U38" s="11">
        <v>19521.13</v>
      </c>
      <c r="X38" s="11">
        <v>50211.386784765549</v>
      </c>
      <c r="Y38" s="11">
        <v>0</v>
      </c>
      <c r="Z38" s="29">
        <f t="shared" si="8"/>
        <v>810397.03239873808</v>
      </c>
      <c r="AB38" s="11">
        <f>SUMIF('ERS 2015-16'!B:B,B38,'ERS 2015-16'!AC:AC)</f>
        <v>0</v>
      </c>
      <c r="AG38" s="11">
        <f t="shared" si="10"/>
        <v>11565.779999999999</v>
      </c>
      <c r="AJ38" s="11">
        <f t="shared" si="3"/>
        <v>798831.25239873806</v>
      </c>
      <c r="AK38" s="11">
        <f t="shared" si="5"/>
        <v>810397.03239873808</v>
      </c>
    </row>
    <row r="39" spans="1:37" s="11" customFormat="1" ht="12.75" x14ac:dyDescent="0.2">
      <c r="A39" s="9" t="s">
        <v>41</v>
      </c>
      <c r="B39" s="26">
        <v>2627</v>
      </c>
      <c r="C39" s="11">
        <v>1046126.171792</v>
      </c>
      <c r="D39" s="11">
        <v>40974.595081402345</v>
      </c>
      <c r="E39" s="11">
        <v>0</v>
      </c>
      <c r="F39" s="11">
        <v>0</v>
      </c>
      <c r="G39" s="11">
        <v>29450.645779518058</v>
      </c>
      <c r="H39" s="11">
        <v>0</v>
      </c>
      <c r="I39" s="11">
        <v>100000</v>
      </c>
      <c r="J39" s="11">
        <v>0</v>
      </c>
      <c r="K39" s="11">
        <v>18102.96</v>
      </c>
      <c r="L39" s="11">
        <v>0</v>
      </c>
      <c r="M39" s="29">
        <f t="shared" si="9"/>
        <v>1234654.3726529202</v>
      </c>
      <c r="N39" s="11">
        <v>0</v>
      </c>
      <c r="O39" s="11">
        <v>0</v>
      </c>
      <c r="P39" s="29">
        <f t="shared" si="6"/>
        <v>1234654.3726529202</v>
      </c>
      <c r="Q39" s="11">
        <v>-26528.02</v>
      </c>
      <c r="R39" s="29">
        <f t="shared" si="7"/>
        <v>1208126.3526529202</v>
      </c>
      <c r="S39" s="11">
        <v>10000</v>
      </c>
      <c r="U39" s="11">
        <v>8509.2099999999991</v>
      </c>
      <c r="X39" s="11">
        <v>0</v>
      </c>
      <c r="Y39" s="11">
        <v>0</v>
      </c>
      <c r="Z39" s="29">
        <f t="shared" si="8"/>
        <v>1226635.5626529201</v>
      </c>
      <c r="AB39" s="11">
        <f>SUMIF('ERS 2015-16'!B:B,B39,'ERS 2015-16'!AC:AC)</f>
        <v>0</v>
      </c>
      <c r="AG39" s="11">
        <f t="shared" si="10"/>
        <v>18102.96</v>
      </c>
      <c r="AJ39" s="11">
        <f t="shared" si="3"/>
        <v>1208532.6026529202</v>
      </c>
      <c r="AK39" s="11">
        <f t="shared" si="5"/>
        <v>1226635.5626529201</v>
      </c>
    </row>
    <row r="40" spans="1:37" s="11" customFormat="1" ht="12.75" x14ac:dyDescent="0.2">
      <c r="A40" s="9" t="s">
        <v>42</v>
      </c>
      <c r="B40" s="26">
        <v>2009</v>
      </c>
      <c r="C40" s="11">
        <v>730164.2061999999</v>
      </c>
      <c r="D40" s="11">
        <v>239307.42576284808</v>
      </c>
      <c r="E40" s="11">
        <v>0</v>
      </c>
      <c r="F40" s="11">
        <v>0</v>
      </c>
      <c r="G40" s="11">
        <v>18025.031106382987</v>
      </c>
      <c r="H40" s="11">
        <v>0</v>
      </c>
      <c r="I40" s="11">
        <v>100000</v>
      </c>
      <c r="J40" s="11">
        <v>0</v>
      </c>
      <c r="K40" s="11">
        <v>2464.0139999999992</v>
      </c>
      <c r="L40" s="11">
        <v>0</v>
      </c>
      <c r="M40" s="29">
        <f t="shared" si="9"/>
        <v>1089960.6770692309</v>
      </c>
      <c r="N40" s="11">
        <v>5949.124593038694</v>
      </c>
      <c r="O40" s="11">
        <v>0</v>
      </c>
      <c r="P40" s="29">
        <f t="shared" si="6"/>
        <v>1095909.8016622695</v>
      </c>
      <c r="Q40" s="11">
        <v>0</v>
      </c>
      <c r="R40" s="29">
        <f t="shared" si="7"/>
        <v>1095909.8016622695</v>
      </c>
      <c r="S40" s="11">
        <v>37884.645669291342</v>
      </c>
      <c r="U40" s="11">
        <v>4254.6000000000004</v>
      </c>
      <c r="X40" s="11">
        <v>0</v>
      </c>
      <c r="Y40" s="11">
        <v>0</v>
      </c>
      <c r="Z40" s="29">
        <f t="shared" si="8"/>
        <v>1138049.0473315609</v>
      </c>
      <c r="AB40" s="11">
        <f>SUMIF('ERS 2015-16'!B:B,B40,'ERS 2015-16'!AC:AC)</f>
        <v>0</v>
      </c>
      <c r="AG40" s="11">
        <f t="shared" si="10"/>
        <v>2464.0139999999992</v>
      </c>
      <c r="AJ40" s="11">
        <f t="shared" si="3"/>
        <v>1135585.0333315609</v>
      </c>
      <c r="AK40" s="11">
        <f t="shared" si="5"/>
        <v>1138049.0473315609</v>
      </c>
    </row>
    <row r="41" spans="1:37" s="11" customFormat="1" ht="12.75" x14ac:dyDescent="0.2">
      <c r="A41" s="9" t="s">
        <v>101</v>
      </c>
      <c r="B41" s="26">
        <v>2473</v>
      </c>
      <c r="C41" s="11">
        <v>695647.35281599988</v>
      </c>
      <c r="D41" s="11">
        <v>148498.60533756611</v>
      </c>
      <c r="E41" s="11">
        <v>0</v>
      </c>
      <c r="F41" s="11">
        <v>0</v>
      </c>
      <c r="G41" s="11">
        <v>9071.7675676300478</v>
      </c>
      <c r="H41" s="11">
        <v>0</v>
      </c>
      <c r="I41" s="11">
        <v>100000</v>
      </c>
      <c r="J41" s="11">
        <v>0</v>
      </c>
      <c r="K41" s="11">
        <v>12068.64</v>
      </c>
      <c r="L41" s="11">
        <v>0</v>
      </c>
      <c r="M41" s="29">
        <f t="shared" si="9"/>
        <v>965286.36572119605</v>
      </c>
      <c r="N41" s="11">
        <v>0</v>
      </c>
      <c r="O41" s="11">
        <v>0</v>
      </c>
      <c r="P41" s="29">
        <f t="shared" si="6"/>
        <v>965286.36572119605</v>
      </c>
      <c r="Q41" s="11">
        <v>-17640.46</v>
      </c>
      <c r="R41" s="29">
        <f t="shared" si="7"/>
        <v>947645.90572119609</v>
      </c>
      <c r="S41" s="11">
        <v>16394.232283464567</v>
      </c>
      <c r="U41" s="11">
        <v>9009.75</v>
      </c>
      <c r="X41" s="11">
        <v>177430.50702932215</v>
      </c>
      <c r="Y41" s="11">
        <v>0</v>
      </c>
      <c r="Z41" s="29">
        <f t="shared" si="8"/>
        <v>1150480.3950339828</v>
      </c>
      <c r="AB41" s="11">
        <f>SUMIF('ERS 2015-16'!B:B,B41,'ERS 2015-16'!AC:AC)</f>
        <v>0</v>
      </c>
      <c r="AG41" s="11">
        <f t="shared" si="10"/>
        <v>12068.64</v>
      </c>
      <c r="AJ41" s="11">
        <f t="shared" si="3"/>
        <v>1138411.7550339829</v>
      </c>
      <c r="AK41" s="11">
        <f t="shared" si="5"/>
        <v>1150480.3950339828</v>
      </c>
    </row>
    <row r="42" spans="1:37" s="11" customFormat="1" ht="12.75" x14ac:dyDescent="0.2">
      <c r="A42" s="9" t="s">
        <v>44</v>
      </c>
      <c r="B42" s="26">
        <v>2471</v>
      </c>
      <c r="C42" s="11">
        <v>937265.32650399988</v>
      </c>
      <c r="D42" s="11">
        <v>231883.42479901674</v>
      </c>
      <c r="E42" s="11">
        <v>1345.592943943662</v>
      </c>
      <c r="F42" s="11">
        <v>0</v>
      </c>
      <c r="G42" s="11">
        <v>880.6823072886292</v>
      </c>
      <c r="H42" s="11">
        <v>0</v>
      </c>
      <c r="I42" s="11">
        <v>100000</v>
      </c>
      <c r="J42" s="11">
        <v>0</v>
      </c>
      <c r="K42" s="11">
        <v>12068.64</v>
      </c>
      <c r="L42" s="11">
        <v>0</v>
      </c>
      <c r="M42" s="29">
        <f t="shared" si="9"/>
        <v>1283443.6665542487</v>
      </c>
      <c r="N42" s="11">
        <v>0</v>
      </c>
      <c r="O42" s="11">
        <v>0</v>
      </c>
      <c r="P42" s="29">
        <f t="shared" si="6"/>
        <v>1283443.6665542487</v>
      </c>
      <c r="Q42" s="11">
        <v>-23767.489999999998</v>
      </c>
      <c r="R42" s="29">
        <f t="shared" si="7"/>
        <v>1259676.1765542487</v>
      </c>
      <c r="S42" s="11">
        <v>0</v>
      </c>
      <c r="U42" s="11">
        <v>44673.34</v>
      </c>
      <c r="X42" s="11">
        <v>0</v>
      </c>
      <c r="Y42" s="11">
        <v>0</v>
      </c>
      <c r="Z42" s="29">
        <f t="shared" si="8"/>
        <v>1304349.5165542488</v>
      </c>
      <c r="AB42" s="11">
        <f>SUMIF('ERS 2015-16'!B:B,B42,'ERS 2015-16'!AC:AC)</f>
        <v>0</v>
      </c>
      <c r="AG42" s="11">
        <f t="shared" si="10"/>
        <v>12068.64</v>
      </c>
      <c r="AJ42" s="11">
        <f t="shared" si="3"/>
        <v>1292280.8765542489</v>
      </c>
      <c r="AK42" s="11">
        <f t="shared" si="5"/>
        <v>1304349.5165542488</v>
      </c>
    </row>
    <row r="43" spans="1:37" s="11" customFormat="1" ht="12.75" x14ac:dyDescent="0.2">
      <c r="A43" s="9" t="s">
        <v>43</v>
      </c>
      <c r="B43" s="26">
        <v>2420</v>
      </c>
      <c r="C43" s="11">
        <v>1382886.7541666667</v>
      </c>
      <c r="D43" s="11">
        <v>608237.06911745341</v>
      </c>
      <c r="E43" s="11">
        <v>1387.4022924868766</v>
      </c>
      <c r="F43" s="11">
        <v>0</v>
      </c>
      <c r="G43" s="11">
        <v>118514.26917613641</v>
      </c>
      <c r="H43" s="11">
        <v>67222.588157019083</v>
      </c>
      <c r="I43" s="11">
        <v>100000</v>
      </c>
      <c r="J43" s="11">
        <v>0</v>
      </c>
      <c r="K43" s="11">
        <v>18982.965</v>
      </c>
      <c r="L43" s="11">
        <v>0</v>
      </c>
      <c r="M43" s="29">
        <f t="shared" si="9"/>
        <v>2297231.0479097622</v>
      </c>
      <c r="N43" s="11">
        <v>62489.884055931121</v>
      </c>
      <c r="O43" s="11">
        <v>0</v>
      </c>
      <c r="P43" s="29">
        <f t="shared" si="6"/>
        <v>2359720.9319656934</v>
      </c>
      <c r="Q43" s="11">
        <v>-35067.708333333336</v>
      </c>
      <c r="R43" s="29">
        <f t="shared" si="7"/>
        <v>2324653.2236323599</v>
      </c>
      <c r="S43" s="11">
        <v>10000</v>
      </c>
      <c r="U43" s="11">
        <v>0</v>
      </c>
      <c r="X43" s="11">
        <v>191203.67846486255</v>
      </c>
      <c r="Y43" s="11">
        <v>0</v>
      </c>
      <c r="Z43" s="29">
        <f t="shared" si="8"/>
        <v>2525856.9020972224</v>
      </c>
      <c r="AB43" s="11">
        <f>SUMIF('ERS 2015-16'!B:B,B43,'ERS 2015-16'!AC:AC)</f>
        <v>0</v>
      </c>
      <c r="AG43" s="11">
        <f t="shared" si="10"/>
        <v>18982.965</v>
      </c>
      <c r="AJ43" s="11">
        <f t="shared" si="3"/>
        <v>2506873.9370972225</v>
      </c>
      <c r="AK43" s="11">
        <f t="shared" si="5"/>
        <v>2525856.9020972224</v>
      </c>
    </row>
    <row r="44" spans="1:37" s="11" customFormat="1" ht="12.75" x14ac:dyDescent="0.2">
      <c r="A44" s="9" t="s">
        <v>45</v>
      </c>
      <c r="B44" s="26">
        <v>2003</v>
      </c>
      <c r="C44" s="11">
        <v>557579.93927999993</v>
      </c>
      <c r="D44" s="11">
        <v>15973.946136038865</v>
      </c>
      <c r="E44" s="11">
        <v>0</v>
      </c>
      <c r="F44" s="11">
        <v>0</v>
      </c>
      <c r="G44" s="11">
        <v>2995.0683000000058</v>
      </c>
      <c r="H44" s="11">
        <v>0</v>
      </c>
      <c r="I44" s="11">
        <v>100000</v>
      </c>
      <c r="J44" s="11">
        <v>0</v>
      </c>
      <c r="K44" s="11">
        <v>25394.43</v>
      </c>
      <c r="L44" s="11">
        <v>0</v>
      </c>
      <c r="M44" s="29">
        <f t="shared" si="9"/>
        <v>701943.38371603889</v>
      </c>
      <c r="N44" s="11">
        <v>0</v>
      </c>
      <c r="O44" s="11">
        <v>0</v>
      </c>
      <c r="P44" s="29">
        <f t="shared" si="6"/>
        <v>701943.38371603889</v>
      </c>
      <c r="Q44" s="11">
        <v>-14139.3</v>
      </c>
      <c r="R44" s="29">
        <f t="shared" si="7"/>
        <v>687804.08371603885</v>
      </c>
      <c r="S44" s="11">
        <v>5000</v>
      </c>
      <c r="U44" s="11">
        <v>12763.81</v>
      </c>
      <c r="X44" s="11">
        <v>92240.053344129556</v>
      </c>
      <c r="Y44" s="11">
        <v>0</v>
      </c>
      <c r="Z44" s="29">
        <f t="shared" si="8"/>
        <v>797807.94706016849</v>
      </c>
      <c r="AB44" s="11">
        <f>SUMIF('ERS 2015-16'!B:B,B44,'ERS 2015-16'!AC:AC)</f>
        <v>0</v>
      </c>
      <c r="AG44" s="11">
        <f t="shared" si="10"/>
        <v>25394.43</v>
      </c>
      <c r="AJ44" s="11">
        <f t="shared" si="3"/>
        <v>772413.51706016844</v>
      </c>
      <c r="AK44" s="11">
        <f t="shared" si="5"/>
        <v>797807.94706016849</v>
      </c>
    </row>
    <row r="45" spans="1:37" s="11" customFormat="1" ht="12.75" x14ac:dyDescent="0.2">
      <c r="A45" s="9" t="s">
        <v>46</v>
      </c>
      <c r="B45" s="26">
        <v>2423</v>
      </c>
      <c r="C45" s="11">
        <v>905403.61568799987</v>
      </c>
      <c r="D45" s="11">
        <v>325334.06111271377</v>
      </c>
      <c r="E45" s="11">
        <v>0</v>
      </c>
      <c r="F45" s="11">
        <v>0</v>
      </c>
      <c r="G45" s="11">
        <v>113431.70498456983</v>
      </c>
      <c r="H45" s="11">
        <v>33471.072000000066</v>
      </c>
      <c r="I45" s="11">
        <v>100000</v>
      </c>
      <c r="J45" s="11">
        <v>0</v>
      </c>
      <c r="K45" s="11">
        <v>10811.49</v>
      </c>
      <c r="L45" s="11">
        <v>0</v>
      </c>
      <c r="M45" s="29">
        <f t="shared" si="9"/>
        <v>1488451.9437852837</v>
      </c>
      <c r="N45" s="11">
        <v>61143.750815300969</v>
      </c>
      <c r="O45" s="11">
        <v>0</v>
      </c>
      <c r="P45" s="29">
        <f t="shared" si="6"/>
        <v>1549595.6946005847</v>
      </c>
      <c r="Q45" s="11">
        <v>-22959.53</v>
      </c>
      <c r="R45" s="29">
        <f t="shared" si="7"/>
        <v>1526636.1646005847</v>
      </c>
      <c r="S45" s="11">
        <v>0</v>
      </c>
      <c r="U45" s="11">
        <v>0</v>
      </c>
      <c r="X45" s="11">
        <v>0</v>
      </c>
      <c r="Y45" s="11">
        <v>0</v>
      </c>
      <c r="Z45" s="29">
        <f t="shared" si="8"/>
        <v>1526636.1646005847</v>
      </c>
      <c r="AB45" s="11">
        <f>SUMIF('ERS 2015-16'!B:B,B45,'ERS 2015-16'!AC:AC)</f>
        <v>0</v>
      </c>
      <c r="AG45" s="11">
        <f t="shared" si="10"/>
        <v>10811.49</v>
      </c>
      <c r="AJ45" s="11">
        <f t="shared" si="3"/>
        <v>1515824.6746005847</v>
      </c>
      <c r="AK45" s="11">
        <f t="shared" si="5"/>
        <v>1526636.1646005847</v>
      </c>
    </row>
    <row r="46" spans="1:37" s="11" customFormat="1" ht="12.75" x14ac:dyDescent="0.2">
      <c r="A46" s="9" t="s">
        <v>47</v>
      </c>
      <c r="B46" s="26">
        <v>2424</v>
      </c>
      <c r="C46" s="11">
        <v>695647.35281599988</v>
      </c>
      <c r="D46" s="11">
        <v>215408.79000169822</v>
      </c>
      <c r="E46" s="11">
        <v>3939.3641711111113</v>
      </c>
      <c r="F46" s="11">
        <v>0</v>
      </c>
      <c r="G46" s="11">
        <v>158863.31253942865</v>
      </c>
      <c r="H46" s="11">
        <v>0</v>
      </c>
      <c r="I46" s="11">
        <v>100000</v>
      </c>
      <c r="J46" s="11">
        <v>0</v>
      </c>
      <c r="K46" s="11">
        <v>10811.49</v>
      </c>
      <c r="L46" s="11">
        <v>0</v>
      </c>
      <c r="M46" s="29">
        <f t="shared" si="9"/>
        <v>1184670.3095282379</v>
      </c>
      <c r="N46" s="11">
        <v>74361.630088318605</v>
      </c>
      <c r="O46" s="11">
        <v>0</v>
      </c>
      <c r="P46" s="29">
        <f t="shared" si="6"/>
        <v>1259031.9396165565</v>
      </c>
      <c r="Q46" s="11">
        <v>-17640.46</v>
      </c>
      <c r="R46" s="29">
        <f t="shared" si="7"/>
        <v>1241391.4796165565</v>
      </c>
      <c r="S46" s="11">
        <v>21971.161417322837</v>
      </c>
      <c r="U46" s="11">
        <v>0</v>
      </c>
      <c r="X46" s="11">
        <v>0</v>
      </c>
      <c r="Y46" s="11">
        <v>0</v>
      </c>
      <c r="Z46" s="29">
        <f t="shared" si="8"/>
        <v>1263362.6410338795</v>
      </c>
      <c r="AB46" s="11">
        <f>SUMIF('ERS 2015-16'!B:B,B46,'ERS 2015-16'!AC:AC)</f>
        <v>0</v>
      </c>
      <c r="AG46" s="11">
        <f t="shared" si="10"/>
        <v>10811.49</v>
      </c>
      <c r="AJ46" s="11">
        <f t="shared" si="3"/>
        <v>1252551.1510338795</v>
      </c>
      <c r="AK46" s="11">
        <f t="shared" si="5"/>
        <v>1263362.6410338795</v>
      </c>
    </row>
    <row r="47" spans="1:37" s="11" customFormat="1" ht="12.75" x14ac:dyDescent="0.2">
      <c r="A47" s="9" t="s">
        <v>48</v>
      </c>
      <c r="B47" s="26">
        <v>2439</v>
      </c>
      <c r="C47" s="11">
        <v>690337.06767999998</v>
      </c>
      <c r="D47" s="11">
        <v>29031.561021879606</v>
      </c>
      <c r="E47" s="11">
        <v>0</v>
      </c>
      <c r="F47" s="11">
        <v>0</v>
      </c>
      <c r="G47" s="11">
        <v>9161.3853882352942</v>
      </c>
      <c r="H47" s="11">
        <v>0</v>
      </c>
      <c r="I47" s="11">
        <v>100000</v>
      </c>
      <c r="J47" s="11">
        <v>0</v>
      </c>
      <c r="K47" s="11">
        <v>8079.0599999999995</v>
      </c>
      <c r="L47" s="11">
        <v>0</v>
      </c>
      <c r="M47" s="29">
        <f t="shared" si="9"/>
        <v>836609.07409011503</v>
      </c>
      <c r="N47" s="11">
        <v>0</v>
      </c>
      <c r="O47" s="11">
        <v>0</v>
      </c>
      <c r="P47" s="29">
        <f t="shared" si="6"/>
        <v>836609.07409011503</v>
      </c>
      <c r="Q47" s="11">
        <v>-17505.8</v>
      </c>
      <c r="R47" s="29">
        <f t="shared" si="7"/>
        <v>819103.27409011498</v>
      </c>
      <c r="S47" s="11">
        <v>15000</v>
      </c>
      <c r="U47" s="11">
        <v>2502.71</v>
      </c>
      <c r="X47" s="11">
        <v>0</v>
      </c>
      <c r="Y47" s="11">
        <v>0</v>
      </c>
      <c r="Z47" s="29">
        <f t="shared" si="8"/>
        <v>836605.98409011494</v>
      </c>
      <c r="AB47" s="11">
        <f>SUMIF('ERS 2015-16'!B:B,B47,'ERS 2015-16'!AC:AC)</f>
        <v>0</v>
      </c>
      <c r="AG47" s="11">
        <f t="shared" si="10"/>
        <v>8079.0599999999995</v>
      </c>
      <c r="AJ47" s="11">
        <f t="shared" si="3"/>
        <v>828526.92409011489</v>
      </c>
      <c r="AK47" s="11">
        <f t="shared" si="5"/>
        <v>836605.98409011494</v>
      </c>
    </row>
    <row r="48" spans="1:37" s="11" customFormat="1" ht="12.75" x14ac:dyDescent="0.2">
      <c r="A48" s="9" t="s">
        <v>49</v>
      </c>
      <c r="B48" s="26">
        <v>2440</v>
      </c>
      <c r="C48" s="11">
        <v>865576.47716799995</v>
      </c>
      <c r="D48" s="11">
        <v>38671.627706267085</v>
      </c>
      <c r="E48" s="11">
        <v>1353.2166999999999</v>
      </c>
      <c r="F48" s="11">
        <v>0</v>
      </c>
      <c r="G48" s="11">
        <v>4278.6689999999899</v>
      </c>
      <c r="H48" s="11">
        <v>0</v>
      </c>
      <c r="I48" s="11">
        <v>100000</v>
      </c>
      <c r="J48" s="11">
        <v>0</v>
      </c>
      <c r="K48" s="11">
        <v>31931.609999999997</v>
      </c>
      <c r="L48" s="11">
        <v>0</v>
      </c>
      <c r="M48" s="29">
        <f t="shared" si="9"/>
        <v>1041811.600574267</v>
      </c>
      <c r="N48" s="11">
        <v>0</v>
      </c>
      <c r="O48" s="11">
        <v>0</v>
      </c>
      <c r="P48" s="29">
        <f t="shared" si="6"/>
        <v>1041811.600574267</v>
      </c>
      <c r="Q48" s="11">
        <v>-21949.579999999998</v>
      </c>
      <c r="R48" s="29">
        <f t="shared" si="7"/>
        <v>1019862.020574267</v>
      </c>
      <c r="S48" s="11">
        <v>0</v>
      </c>
      <c r="U48" s="11">
        <v>57812.56</v>
      </c>
      <c r="X48" s="11">
        <v>0</v>
      </c>
      <c r="Y48" s="11">
        <v>0</v>
      </c>
      <c r="Z48" s="29">
        <f t="shared" si="8"/>
        <v>1077674.5805742671</v>
      </c>
      <c r="AB48" s="11">
        <f>SUMIF('ERS 2015-16'!B:B,B48,'ERS 2015-16'!AC:AC)</f>
        <v>0</v>
      </c>
      <c r="AG48" s="11">
        <f t="shared" si="10"/>
        <v>31931.609999999997</v>
      </c>
      <c r="AJ48" s="11">
        <f t="shared" si="3"/>
        <v>1045742.9705742671</v>
      </c>
      <c r="AK48" s="11">
        <f t="shared" si="5"/>
        <v>1077674.5805742671</v>
      </c>
    </row>
    <row r="49" spans="1:37" s="11" customFormat="1" ht="12.75" x14ac:dyDescent="0.2">
      <c r="A49" s="9" t="s">
        <v>102</v>
      </c>
      <c r="B49" s="26">
        <v>2462</v>
      </c>
      <c r="C49" s="11">
        <v>578821.0798239999</v>
      </c>
      <c r="D49" s="11">
        <v>56536.659459529845</v>
      </c>
      <c r="E49" s="11">
        <v>0</v>
      </c>
      <c r="F49" s="11">
        <v>0</v>
      </c>
      <c r="G49" s="11">
        <v>45113.391050980361</v>
      </c>
      <c r="H49" s="11">
        <v>0</v>
      </c>
      <c r="I49" s="11">
        <v>100000</v>
      </c>
      <c r="J49" s="11">
        <v>0</v>
      </c>
      <c r="K49" s="11">
        <v>12068.64</v>
      </c>
      <c r="L49" s="11">
        <v>0</v>
      </c>
      <c r="M49" s="29">
        <f t="shared" si="9"/>
        <v>792539.77033451002</v>
      </c>
      <c r="N49" s="11">
        <v>0</v>
      </c>
      <c r="O49" s="11">
        <v>0</v>
      </c>
      <c r="P49" s="29">
        <f t="shared" si="6"/>
        <v>792539.77033451002</v>
      </c>
      <c r="Q49" s="11">
        <v>-14677.94</v>
      </c>
      <c r="R49" s="29">
        <f t="shared" si="7"/>
        <v>777861.83033451007</v>
      </c>
      <c r="S49" s="11">
        <v>49855.807086614172</v>
      </c>
      <c r="U49" s="11">
        <v>50679.839999999997</v>
      </c>
      <c r="X49" s="11">
        <v>96804.470702916078</v>
      </c>
      <c r="Y49" s="11">
        <v>0</v>
      </c>
      <c r="Z49" s="29">
        <f t="shared" si="8"/>
        <v>975201.94812404027</v>
      </c>
      <c r="AB49" s="11">
        <f>SUMIF('ERS 2015-16'!B:B,B49,'ERS 2015-16'!AC:AC)</f>
        <v>0</v>
      </c>
      <c r="AG49" s="11">
        <f t="shared" si="10"/>
        <v>12068.64</v>
      </c>
      <c r="AJ49" s="11">
        <f t="shared" si="3"/>
        <v>963133.30812404025</v>
      </c>
      <c r="AK49" s="11">
        <f t="shared" si="5"/>
        <v>975201.94812404027</v>
      </c>
    </row>
    <row r="50" spans="1:37" s="11" customFormat="1" ht="12.75" x14ac:dyDescent="0.2">
      <c r="A50" s="9" t="s">
        <v>50</v>
      </c>
      <c r="B50" s="26">
        <v>2463</v>
      </c>
      <c r="C50" s="11">
        <v>923989.61366399995</v>
      </c>
      <c r="D50" s="11">
        <v>123215.19238551395</v>
      </c>
      <c r="E50" s="11">
        <v>0</v>
      </c>
      <c r="F50" s="11">
        <v>0</v>
      </c>
      <c r="G50" s="11">
        <v>18074.285001156066</v>
      </c>
      <c r="H50" s="11">
        <v>0</v>
      </c>
      <c r="I50" s="11">
        <v>100000</v>
      </c>
      <c r="J50" s="11">
        <v>0</v>
      </c>
      <c r="K50" s="11">
        <v>12068.64</v>
      </c>
      <c r="L50" s="11">
        <v>0</v>
      </c>
      <c r="M50" s="29">
        <f t="shared" si="9"/>
        <v>1177347.7310506699</v>
      </c>
      <c r="N50" s="11">
        <v>0</v>
      </c>
      <c r="O50" s="11">
        <v>0</v>
      </c>
      <c r="P50" s="29">
        <f t="shared" si="6"/>
        <v>1177347.7310506699</v>
      </c>
      <c r="Q50" s="11">
        <v>-23430.84</v>
      </c>
      <c r="R50" s="29">
        <f t="shared" si="7"/>
        <v>1153916.8910506698</v>
      </c>
      <c r="S50" s="11">
        <v>0</v>
      </c>
      <c r="U50" s="11">
        <v>5631.09</v>
      </c>
      <c r="X50" s="11">
        <v>0</v>
      </c>
      <c r="Y50" s="11">
        <v>0</v>
      </c>
      <c r="Z50" s="29">
        <f t="shared" si="8"/>
        <v>1159547.9810506699</v>
      </c>
      <c r="AB50" s="11">
        <f>SUMIF('ERS 2015-16'!B:B,B50,'ERS 2015-16'!AC:AC)</f>
        <v>0</v>
      </c>
      <c r="AG50" s="11">
        <f t="shared" si="10"/>
        <v>12068.64</v>
      </c>
      <c r="AJ50" s="11">
        <f t="shared" si="3"/>
        <v>1147479.34105067</v>
      </c>
      <c r="AK50" s="11">
        <f t="shared" si="5"/>
        <v>1159547.9810506699</v>
      </c>
    </row>
    <row r="51" spans="1:37" s="11" customFormat="1" ht="12.75" x14ac:dyDescent="0.2">
      <c r="A51" s="9" t="s">
        <v>51</v>
      </c>
      <c r="B51" s="26">
        <v>2505</v>
      </c>
      <c r="C51" s="11">
        <v>1489534.9806479998</v>
      </c>
      <c r="D51" s="11">
        <v>379136.27061611728</v>
      </c>
      <c r="E51" s="11">
        <v>1432.367110754717</v>
      </c>
      <c r="F51" s="11">
        <v>0</v>
      </c>
      <c r="G51" s="11">
        <v>93622.958940249053</v>
      </c>
      <c r="H51" s="11">
        <v>11876.831999999715</v>
      </c>
      <c r="I51" s="11">
        <v>100000</v>
      </c>
      <c r="J51" s="11">
        <v>0</v>
      </c>
      <c r="K51" s="11">
        <v>22251.555</v>
      </c>
      <c r="L51" s="11">
        <v>0</v>
      </c>
      <c r="M51" s="29">
        <f t="shared" si="9"/>
        <v>2097854.9643151206</v>
      </c>
      <c r="N51" s="11">
        <v>0</v>
      </c>
      <c r="O51" s="11">
        <v>0</v>
      </c>
      <c r="P51" s="29">
        <f t="shared" si="6"/>
        <v>2097854.9643151206</v>
      </c>
      <c r="Q51" s="11">
        <v>-37772.129999999997</v>
      </c>
      <c r="R51" s="29">
        <f t="shared" si="7"/>
        <v>2060082.8343151207</v>
      </c>
      <c r="S51" s="11">
        <v>41490.413385826774</v>
      </c>
      <c r="U51" s="11">
        <v>6757.31</v>
      </c>
      <c r="X51" s="11">
        <v>168027.5930020595</v>
      </c>
      <c r="Y51" s="11">
        <v>0</v>
      </c>
      <c r="Z51" s="29">
        <f t="shared" si="8"/>
        <v>2276358.1507030069</v>
      </c>
      <c r="AB51" s="11">
        <f>SUMIF('ERS 2015-16'!B:B,B51,'ERS 2015-16'!AC:AC)</f>
        <v>0</v>
      </c>
      <c r="AG51" s="11">
        <f t="shared" si="10"/>
        <v>22251.555</v>
      </c>
      <c r="AJ51" s="11">
        <f t="shared" si="3"/>
        <v>2254106.5957030067</v>
      </c>
      <c r="AK51" s="11">
        <f t="shared" si="5"/>
        <v>2276358.1507030069</v>
      </c>
    </row>
    <row r="52" spans="1:37" s="11" customFormat="1" ht="12.75" x14ac:dyDescent="0.2">
      <c r="A52" s="9" t="s">
        <v>1304</v>
      </c>
      <c r="B52" s="26">
        <v>2000</v>
      </c>
      <c r="C52" s="11">
        <v>785922.20012799988</v>
      </c>
      <c r="D52" s="11">
        <v>180145.84089571581</v>
      </c>
      <c r="E52" s="11">
        <v>0</v>
      </c>
      <c r="F52" s="11">
        <v>0</v>
      </c>
      <c r="G52" s="11">
        <v>27138.986228571393</v>
      </c>
      <c r="H52" s="11">
        <v>12713.645827160324</v>
      </c>
      <c r="I52" s="11">
        <v>100000</v>
      </c>
      <c r="J52" s="11">
        <v>0</v>
      </c>
      <c r="K52" s="11">
        <v>14834.369999999999</v>
      </c>
      <c r="L52" s="11">
        <v>0</v>
      </c>
      <c r="M52" s="29">
        <f t="shared" si="9"/>
        <v>1120755.0430794475</v>
      </c>
      <c r="N52" s="11">
        <v>0</v>
      </c>
      <c r="O52" s="11">
        <v>0</v>
      </c>
      <c r="P52" s="29">
        <f t="shared" si="6"/>
        <v>1120755.0430794475</v>
      </c>
      <c r="Q52" s="11">
        <v>-19929.68</v>
      </c>
      <c r="R52" s="29">
        <f t="shared" si="7"/>
        <v>1100825.3630794475</v>
      </c>
      <c r="S52" s="11">
        <v>32307.716535433072</v>
      </c>
      <c r="T52" s="11">
        <v>382930.95500000002</v>
      </c>
      <c r="U52" s="11">
        <v>15016.25</v>
      </c>
      <c r="X52" s="11">
        <v>78455.213153846154</v>
      </c>
      <c r="Y52" s="11">
        <v>0</v>
      </c>
      <c r="Z52" s="29">
        <f t="shared" si="8"/>
        <v>1609535.4977687267</v>
      </c>
      <c r="AB52" s="11">
        <f>SUMIF('ERS 2015-16'!B:B,B52,'ERS 2015-16'!AC:AC)</f>
        <v>3762.7</v>
      </c>
      <c r="AG52" s="11">
        <f t="shared" si="10"/>
        <v>14834.369999999999</v>
      </c>
      <c r="AJ52" s="11">
        <f t="shared" si="3"/>
        <v>1590938.4277687266</v>
      </c>
      <c r="AK52" s="11">
        <f t="shared" si="5"/>
        <v>1605772.7977687267</v>
      </c>
    </row>
    <row r="53" spans="1:37" s="11" customFormat="1" ht="12.75" x14ac:dyDescent="0.2">
      <c r="A53" s="9" t="s">
        <v>53</v>
      </c>
      <c r="B53" s="26">
        <v>2458</v>
      </c>
      <c r="C53" s="11">
        <v>714233.35079199995</v>
      </c>
      <c r="D53" s="11">
        <v>56664.661316890008</v>
      </c>
      <c r="E53" s="11">
        <v>0</v>
      </c>
      <c r="F53" s="11">
        <v>0</v>
      </c>
      <c r="G53" s="11">
        <v>60441.577840223552</v>
      </c>
      <c r="H53" s="11">
        <v>0</v>
      </c>
      <c r="I53" s="11">
        <v>100000</v>
      </c>
      <c r="J53" s="11">
        <v>0</v>
      </c>
      <c r="K53" s="11">
        <v>8079.0599999999995</v>
      </c>
      <c r="L53" s="11">
        <v>0</v>
      </c>
      <c r="M53" s="29">
        <f t="shared" si="9"/>
        <v>939418.64994911361</v>
      </c>
      <c r="N53" s="11">
        <v>3283.2442406279733</v>
      </c>
      <c r="O53" s="11">
        <v>0</v>
      </c>
      <c r="P53" s="29">
        <f t="shared" si="6"/>
        <v>942701.89418974158</v>
      </c>
      <c r="Q53" s="11">
        <v>-18111.77</v>
      </c>
      <c r="R53" s="29">
        <f t="shared" si="7"/>
        <v>924590.12418974156</v>
      </c>
      <c r="S53" s="11">
        <v>15000</v>
      </c>
      <c r="U53" s="11">
        <v>22148.97</v>
      </c>
      <c r="X53" s="11">
        <v>0</v>
      </c>
      <c r="Y53" s="11">
        <v>0</v>
      </c>
      <c r="Z53" s="29">
        <f t="shared" si="8"/>
        <v>961739.09418974153</v>
      </c>
      <c r="AB53" s="11">
        <f>SUMIF('ERS 2015-16'!B:B,B53,'ERS 2015-16'!AC:AC)</f>
        <v>0</v>
      </c>
      <c r="AG53" s="11">
        <f t="shared" si="10"/>
        <v>8079.0599999999995</v>
      </c>
      <c r="AJ53" s="11">
        <f t="shared" si="3"/>
        <v>953660.03418974148</v>
      </c>
      <c r="AK53" s="11">
        <f t="shared" si="5"/>
        <v>961739.09418974153</v>
      </c>
    </row>
    <row r="54" spans="1:37" s="11" customFormat="1" ht="12.75" x14ac:dyDescent="0.2">
      <c r="A54" s="9" t="s">
        <v>54</v>
      </c>
      <c r="B54" s="26">
        <v>2001</v>
      </c>
      <c r="C54" s="11">
        <v>947885.89677599992</v>
      </c>
      <c r="D54" s="11">
        <v>355970.99080031947</v>
      </c>
      <c r="E54" s="11">
        <v>4200.8553208695648</v>
      </c>
      <c r="F54" s="11">
        <v>0</v>
      </c>
      <c r="G54" s="11">
        <v>13139.654477419341</v>
      </c>
      <c r="H54" s="11">
        <v>1559.5839999999766</v>
      </c>
      <c r="I54" s="11">
        <v>100000</v>
      </c>
      <c r="J54" s="11">
        <v>0</v>
      </c>
      <c r="K54" s="11">
        <v>14708.654999999999</v>
      </c>
      <c r="L54" s="11">
        <v>0</v>
      </c>
      <c r="M54" s="29">
        <f t="shared" si="9"/>
        <v>1437465.6363746081</v>
      </c>
      <c r="N54" s="11">
        <v>23787.305746641243</v>
      </c>
      <c r="O54" s="11">
        <v>0</v>
      </c>
      <c r="P54" s="29">
        <f t="shared" si="6"/>
        <v>1461252.9421212494</v>
      </c>
      <c r="Q54" s="11">
        <v>-24036.809999999998</v>
      </c>
      <c r="R54" s="29">
        <f t="shared" si="7"/>
        <v>1437216.1321212493</v>
      </c>
      <c r="S54" s="11">
        <v>12788.464566929135</v>
      </c>
      <c r="U54" s="11">
        <v>13514.63</v>
      </c>
      <c r="X54" s="11">
        <v>154607.38337834008</v>
      </c>
      <c r="Y54" s="11">
        <v>0</v>
      </c>
      <c r="Z54" s="29">
        <f t="shared" si="8"/>
        <v>1618126.6100665184</v>
      </c>
      <c r="AB54" s="11">
        <f>SUMIF('ERS 2015-16'!B:B,B54,'ERS 2015-16'!AC:AC)</f>
        <v>0</v>
      </c>
      <c r="AG54" s="11">
        <f t="shared" si="10"/>
        <v>14708.654999999999</v>
      </c>
      <c r="AJ54" s="11">
        <f t="shared" si="3"/>
        <v>1603417.9550665184</v>
      </c>
      <c r="AK54" s="11">
        <f t="shared" si="5"/>
        <v>1618126.6100665184</v>
      </c>
    </row>
    <row r="55" spans="1:37" s="11" customFormat="1" ht="12.75" x14ac:dyDescent="0.2">
      <c r="A55" s="9" t="s">
        <v>55</v>
      </c>
      <c r="B55" s="26">
        <v>2429</v>
      </c>
      <c r="C55" s="11">
        <v>390305.95749599999</v>
      </c>
      <c r="D55" s="11">
        <v>103374.65025677814</v>
      </c>
      <c r="E55" s="11">
        <v>0</v>
      </c>
      <c r="F55" s="11">
        <v>0</v>
      </c>
      <c r="G55" s="11">
        <v>93372.026177319538</v>
      </c>
      <c r="H55" s="11">
        <v>0</v>
      </c>
      <c r="I55" s="11">
        <v>100000</v>
      </c>
      <c r="J55" s="11">
        <v>0</v>
      </c>
      <c r="K55" s="11">
        <v>6854.9599999999991</v>
      </c>
      <c r="L55" s="11">
        <v>0</v>
      </c>
      <c r="M55" s="29">
        <f t="shared" si="9"/>
        <v>693907.59393009765</v>
      </c>
      <c r="N55" s="11">
        <v>0</v>
      </c>
      <c r="O55" s="11">
        <v>0</v>
      </c>
      <c r="P55" s="29">
        <f t="shared" si="6"/>
        <v>693907.59393009765</v>
      </c>
      <c r="Q55" s="11">
        <v>-9897.51</v>
      </c>
      <c r="R55" s="29">
        <f t="shared" si="7"/>
        <v>684010.08393009764</v>
      </c>
      <c r="S55" s="11">
        <v>23942.322834645671</v>
      </c>
      <c r="U55" s="11">
        <v>25527.63</v>
      </c>
      <c r="X55" s="11">
        <v>94382.327454240163</v>
      </c>
      <c r="Y55" s="11">
        <v>0</v>
      </c>
      <c r="Z55" s="29">
        <f t="shared" si="8"/>
        <v>827862.36421898345</v>
      </c>
      <c r="AB55" s="11">
        <f>SUMIF('ERS 2015-16'!B:B,B55,'ERS 2015-16'!AC:AC)</f>
        <v>0</v>
      </c>
      <c r="AG55" s="11">
        <f t="shared" si="10"/>
        <v>6854.9599999999991</v>
      </c>
      <c r="AJ55" s="11">
        <f t="shared" si="3"/>
        <v>821007.40421898349</v>
      </c>
      <c r="AK55" s="11">
        <f t="shared" si="5"/>
        <v>827862.36421898345</v>
      </c>
    </row>
    <row r="56" spans="1:37" s="11" customFormat="1" ht="12.75" x14ac:dyDescent="0.2">
      <c r="A56" s="9" t="s">
        <v>56</v>
      </c>
      <c r="B56" s="26">
        <v>2444</v>
      </c>
      <c r="C56" s="11">
        <v>560235.08184799994</v>
      </c>
      <c r="D56" s="11">
        <v>113720.28011787409</v>
      </c>
      <c r="E56" s="11">
        <v>0</v>
      </c>
      <c r="F56" s="11">
        <v>0</v>
      </c>
      <c r="G56" s="11">
        <v>37401.679444285684</v>
      </c>
      <c r="H56" s="11">
        <v>0</v>
      </c>
      <c r="I56" s="11">
        <v>100000</v>
      </c>
      <c r="J56" s="11">
        <v>0</v>
      </c>
      <c r="K56" s="11">
        <v>9051.48</v>
      </c>
      <c r="L56" s="11">
        <v>0</v>
      </c>
      <c r="M56" s="29">
        <f t="shared" si="9"/>
        <v>820408.52141015965</v>
      </c>
      <c r="N56" s="11">
        <v>0</v>
      </c>
      <c r="O56" s="11">
        <v>0</v>
      </c>
      <c r="P56" s="29">
        <f t="shared" si="6"/>
        <v>820408.52141015965</v>
      </c>
      <c r="Q56" s="11">
        <v>-14206.63</v>
      </c>
      <c r="R56" s="29">
        <f t="shared" si="7"/>
        <v>806201.89141015965</v>
      </c>
      <c r="S56" s="11">
        <v>41490.413385826774</v>
      </c>
      <c r="U56" s="11">
        <v>27029.25</v>
      </c>
      <c r="X56" s="11">
        <v>123147.98533141796</v>
      </c>
      <c r="Y56" s="11">
        <v>0</v>
      </c>
      <c r="Z56" s="29">
        <f t="shared" si="8"/>
        <v>997869.54012740438</v>
      </c>
      <c r="AB56" s="11">
        <f>SUMIF('ERS 2015-16'!B:B,B56,'ERS 2015-16'!AC:AC)</f>
        <v>0</v>
      </c>
      <c r="AG56" s="11">
        <f t="shared" si="10"/>
        <v>9051.48</v>
      </c>
      <c r="AJ56" s="11">
        <f>Z56-AG56-AB56-W56</f>
        <v>988818.0601274044</v>
      </c>
      <c r="AK56" s="11">
        <f t="shared" si="5"/>
        <v>997869.54012740438</v>
      </c>
    </row>
    <row r="57" spans="1:37" s="11" customFormat="1" ht="12.75" x14ac:dyDescent="0.2">
      <c r="A57" s="9" t="s">
        <v>57</v>
      </c>
      <c r="B57" s="26">
        <v>5209</v>
      </c>
      <c r="C57" s="11">
        <v>692992.21024799999</v>
      </c>
      <c r="D57" s="11">
        <v>162615.23484185088</v>
      </c>
      <c r="E57" s="11">
        <v>0</v>
      </c>
      <c r="F57" s="11">
        <v>0</v>
      </c>
      <c r="G57" s="11">
        <v>11297.683982101158</v>
      </c>
      <c r="H57" s="11">
        <v>0</v>
      </c>
      <c r="I57" s="11">
        <v>100000</v>
      </c>
      <c r="J57" s="11">
        <v>0</v>
      </c>
      <c r="K57" s="11">
        <v>2539.4429999999993</v>
      </c>
      <c r="L57" s="11">
        <v>0</v>
      </c>
      <c r="M57" s="29">
        <f t="shared" si="9"/>
        <v>969444.57207195193</v>
      </c>
      <c r="N57" s="11">
        <v>0</v>
      </c>
      <c r="O57" s="11">
        <v>0</v>
      </c>
      <c r="P57" s="29">
        <f t="shared" si="6"/>
        <v>969444.57207195193</v>
      </c>
      <c r="Q57" s="11">
        <v>-17573.13</v>
      </c>
      <c r="R57" s="29">
        <f t="shared" si="7"/>
        <v>951871.44207195193</v>
      </c>
      <c r="S57" s="11">
        <v>0</v>
      </c>
      <c r="U57" s="11">
        <v>0</v>
      </c>
      <c r="X57" s="11">
        <v>0</v>
      </c>
      <c r="Y57" s="11">
        <v>0</v>
      </c>
      <c r="Z57" s="29">
        <f t="shared" si="8"/>
        <v>951871.44207195193</v>
      </c>
      <c r="AB57" s="11">
        <f>SUMIF('ERS 2015-16'!B:B,B57,'ERS 2015-16'!AC:AC)</f>
        <v>0</v>
      </c>
      <c r="AG57" s="11">
        <f t="shared" si="10"/>
        <v>2539.4429999999993</v>
      </c>
      <c r="AJ57" s="11">
        <f t="shared" ref="AJ57:AJ72" si="11">Z57-AG57-AB57-W57</f>
        <v>949331.99907195196</v>
      </c>
      <c r="AK57" s="11">
        <f t="shared" si="5"/>
        <v>951871.44207195193</v>
      </c>
    </row>
    <row r="58" spans="1:37" s="11" customFormat="1" ht="12.75" x14ac:dyDescent="0.2">
      <c r="A58" s="9" t="s">
        <v>58</v>
      </c>
      <c r="B58" s="26">
        <v>2469</v>
      </c>
      <c r="C58" s="11">
        <v>1107194.450856</v>
      </c>
      <c r="D58" s="11">
        <v>82165.208593829404</v>
      </c>
      <c r="E58" s="11">
        <v>0</v>
      </c>
      <c r="F58" s="11">
        <v>0</v>
      </c>
      <c r="G58" s="11">
        <v>30986.192808403357</v>
      </c>
      <c r="H58" s="11">
        <v>0</v>
      </c>
      <c r="I58" s="11">
        <v>100000</v>
      </c>
      <c r="J58" s="11">
        <v>0</v>
      </c>
      <c r="K58" s="11">
        <v>11565.779999999999</v>
      </c>
      <c r="L58" s="11">
        <v>0</v>
      </c>
      <c r="M58" s="29">
        <f t="shared" si="9"/>
        <v>1331911.6322582327</v>
      </c>
      <c r="N58" s="11">
        <v>0</v>
      </c>
      <c r="O58" s="11">
        <v>0</v>
      </c>
      <c r="P58" s="29">
        <f t="shared" si="6"/>
        <v>1331911.6322582327</v>
      </c>
      <c r="Q58" s="11">
        <v>-28076.61</v>
      </c>
      <c r="R58" s="29">
        <f t="shared" si="7"/>
        <v>1303835.0222582326</v>
      </c>
      <c r="S58" s="11">
        <v>10000</v>
      </c>
      <c r="U58" s="11">
        <v>26528.71</v>
      </c>
      <c r="X58" s="11">
        <v>0</v>
      </c>
      <c r="Y58" s="11">
        <v>0</v>
      </c>
      <c r="Z58" s="29">
        <f t="shared" si="8"/>
        <v>1340363.7322582325</v>
      </c>
      <c r="AB58" s="11">
        <f>SUMIF('ERS 2015-16'!B:B,B58,'ERS 2015-16'!AC:AC)</f>
        <v>0</v>
      </c>
      <c r="AG58" s="11">
        <f t="shared" si="10"/>
        <v>11565.779999999999</v>
      </c>
      <c r="AJ58" s="11">
        <f t="shared" si="11"/>
        <v>1328797.9522582325</v>
      </c>
      <c r="AK58" s="11">
        <f t="shared" si="5"/>
        <v>1340363.7322582325</v>
      </c>
    </row>
    <row r="59" spans="1:37" s="11" customFormat="1" ht="12.75" x14ac:dyDescent="0.2">
      <c r="A59" s="57" t="s">
        <v>437</v>
      </c>
      <c r="B59" s="26">
        <v>2430</v>
      </c>
      <c r="C59" s="11">
        <v>334547.96356799995</v>
      </c>
      <c r="D59" s="11">
        <v>162262.15652546898</v>
      </c>
      <c r="E59" s="11">
        <v>1444.9602050847457</v>
      </c>
      <c r="F59" s="11">
        <v>0</v>
      </c>
      <c r="G59" s="11">
        <v>28952.326900000051</v>
      </c>
      <c r="H59" s="11">
        <v>17275.391999999956</v>
      </c>
      <c r="I59" s="11">
        <v>100000</v>
      </c>
      <c r="J59" s="11">
        <v>0</v>
      </c>
      <c r="K59" s="11">
        <v>19611.539999999997</v>
      </c>
      <c r="L59" s="11">
        <v>23171.91</v>
      </c>
      <c r="M59" s="29">
        <f t="shared" si="9"/>
        <v>687266.24919855385</v>
      </c>
      <c r="N59" s="11">
        <v>0</v>
      </c>
      <c r="O59" s="11">
        <v>0</v>
      </c>
      <c r="P59" s="29">
        <f t="shared" si="6"/>
        <v>687266.24919855385</v>
      </c>
      <c r="Q59" s="11">
        <v>-8483.58</v>
      </c>
      <c r="R59" s="29">
        <f t="shared" si="7"/>
        <v>678782.66919855389</v>
      </c>
      <c r="S59" s="11">
        <v>21730.787401574802</v>
      </c>
      <c r="U59" s="11">
        <v>9009.75</v>
      </c>
      <c r="X59" s="11">
        <v>17704.038024988557</v>
      </c>
      <c r="Y59" s="11">
        <v>0</v>
      </c>
      <c r="Z59" s="29">
        <f t="shared" si="8"/>
        <v>727227.24462511728</v>
      </c>
      <c r="AB59" s="11">
        <f>SUMIF('ERS 2015-16'!B:B,B59,'ERS 2015-16'!AC:AC)</f>
        <v>0</v>
      </c>
      <c r="AG59" s="11">
        <f t="shared" si="10"/>
        <v>19611.539999999997</v>
      </c>
      <c r="AJ59" s="11">
        <f t="shared" si="11"/>
        <v>707615.70462511724</v>
      </c>
      <c r="AK59" s="11">
        <f t="shared" si="5"/>
        <v>727227.24462511728</v>
      </c>
    </row>
    <row r="60" spans="1:37" s="11" customFormat="1" ht="12.75" x14ac:dyDescent="0.2">
      <c r="A60" s="9" t="s">
        <v>59</v>
      </c>
      <c r="B60" s="26">
        <v>2466</v>
      </c>
      <c r="C60" s="11">
        <v>586786.50752799993</v>
      </c>
      <c r="D60" s="11">
        <v>103427.30293831274</v>
      </c>
      <c r="E60" s="11">
        <v>4376.5008395121949</v>
      </c>
      <c r="F60" s="11">
        <v>0</v>
      </c>
      <c r="G60" s="11">
        <v>7079.2523454545444</v>
      </c>
      <c r="H60" s="11">
        <v>37209.130712446356</v>
      </c>
      <c r="I60" s="11">
        <v>100000</v>
      </c>
      <c r="J60" s="11">
        <v>0</v>
      </c>
      <c r="K60" s="11">
        <v>11062.92</v>
      </c>
      <c r="L60" s="11">
        <v>0</v>
      </c>
      <c r="M60" s="29">
        <f t="shared" si="9"/>
        <v>849941.61436372588</v>
      </c>
      <c r="N60" s="11">
        <v>0</v>
      </c>
      <c r="O60" s="11">
        <v>0</v>
      </c>
      <c r="P60" s="29">
        <f t="shared" si="6"/>
        <v>849941.61436372588</v>
      </c>
      <c r="Q60" s="11">
        <v>-14879.93</v>
      </c>
      <c r="R60" s="29">
        <f t="shared" si="7"/>
        <v>835061.68436372583</v>
      </c>
      <c r="S60" s="11">
        <v>30913.484251968504</v>
      </c>
      <c r="T60" s="11">
        <v>315175.77</v>
      </c>
      <c r="U60" s="11">
        <v>16017.33</v>
      </c>
      <c r="X60" s="11">
        <v>0</v>
      </c>
      <c r="Y60" s="11">
        <v>0</v>
      </c>
      <c r="Z60" s="29">
        <f t="shared" si="8"/>
        <v>1197168.2686156945</v>
      </c>
      <c r="AB60" s="11">
        <f>SUMIF('ERS 2015-16'!B:B,B60,'ERS 2015-16'!AC:AC)</f>
        <v>0</v>
      </c>
      <c r="AG60" s="11">
        <f t="shared" si="10"/>
        <v>11062.92</v>
      </c>
      <c r="AJ60" s="11">
        <f t="shared" si="11"/>
        <v>1186105.3486156946</v>
      </c>
      <c r="AK60" s="11">
        <f t="shared" si="5"/>
        <v>1197168.2686156945</v>
      </c>
    </row>
    <row r="61" spans="1:37" s="11" customFormat="1" ht="12.75" x14ac:dyDescent="0.2">
      <c r="A61" s="9" t="s">
        <v>60</v>
      </c>
      <c r="B61" s="26">
        <v>3543</v>
      </c>
      <c r="C61" s="11">
        <v>804508.19810399995</v>
      </c>
      <c r="D61" s="11">
        <v>106587.81861332542</v>
      </c>
      <c r="E61" s="11">
        <v>0</v>
      </c>
      <c r="F61" s="11">
        <v>0</v>
      </c>
      <c r="G61" s="11">
        <v>28482.321593181856</v>
      </c>
      <c r="H61" s="11">
        <v>0</v>
      </c>
      <c r="I61" s="11">
        <v>100000</v>
      </c>
      <c r="J61" s="11">
        <v>0</v>
      </c>
      <c r="K61" s="11">
        <v>2313.155999999999</v>
      </c>
      <c r="L61" s="11">
        <v>0</v>
      </c>
      <c r="M61" s="29">
        <f t="shared" si="9"/>
        <v>1041891.4943105072</v>
      </c>
      <c r="N61" s="11">
        <v>0</v>
      </c>
      <c r="O61" s="11">
        <v>0</v>
      </c>
      <c r="P61" s="29">
        <f t="shared" si="6"/>
        <v>1041891.4943105072</v>
      </c>
      <c r="Q61" s="11">
        <v>-20400.989999999998</v>
      </c>
      <c r="R61" s="29">
        <f t="shared" si="7"/>
        <v>1021490.5043105072</v>
      </c>
      <c r="S61" s="11">
        <v>39278.877952755909</v>
      </c>
      <c r="U61" s="11">
        <v>56174.559999999998</v>
      </c>
      <c r="X61" s="11">
        <v>64556.508752814683</v>
      </c>
      <c r="Y61" s="11">
        <v>0</v>
      </c>
      <c r="Z61" s="29">
        <f t="shared" si="8"/>
        <v>1181500.451016078</v>
      </c>
      <c r="AB61" s="11">
        <f>SUMIF('ERS 2015-16'!B:B,B61,'ERS 2015-16'!AC:AC)</f>
        <v>0</v>
      </c>
      <c r="AG61" s="11">
        <f t="shared" si="10"/>
        <v>2313.155999999999</v>
      </c>
      <c r="AJ61" s="11">
        <f t="shared" si="11"/>
        <v>1179187.295016078</v>
      </c>
      <c r="AK61" s="11">
        <f t="shared" si="5"/>
        <v>1181500.451016078</v>
      </c>
    </row>
    <row r="62" spans="1:37" s="11" customFormat="1" ht="12.75" x14ac:dyDescent="0.2">
      <c r="A62" s="9" t="s">
        <v>62</v>
      </c>
      <c r="B62" s="26">
        <v>3531</v>
      </c>
      <c r="C62" s="11">
        <v>916024.18595999992</v>
      </c>
      <c r="D62" s="11">
        <v>169360.57853274309</v>
      </c>
      <c r="E62" s="11">
        <v>0</v>
      </c>
      <c r="F62" s="11">
        <v>0</v>
      </c>
      <c r="G62" s="11">
        <v>34853.324562500129</v>
      </c>
      <c r="H62" s="11">
        <v>0</v>
      </c>
      <c r="I62" s="11">
        <v>100000</v>
      </c>
      <c r="J62" s="11">
        <v>0</v>
      </c>
      <c r="K62" s="11">
        <v>2916.5879999999997</v>
      </c>
      <c r="L62" s="11">
        <v>0</v>
      </c>
      <c r="M62" s="29">
        <f t="shared" si="9"/>
        <v>1223154.6770552432</v>
      </c>
      <c r="N62" s="11">
        <v>0</v>
      </c>
      <c r="O62" s="11">
        <v>0</v>
      </c>
      <c r="P62" s="29">
        <f t="shared" si="6"/>
        <v>1223154.6770552432</v>
      </c>
      <c r="Q62" s="11">
        <v>0</v>
      </c>
      <c r="R62" s="29">
        <f t="shared" si="7"/>
        <v>1223154.6770552432</v>
      </c>
      <c r="S62" s="11">
        <v>21153.858267716536</v>
      </c>
      <c r="U62" s="11">
        <v>0</v>
      </c>
      <c r="X62" s="11">
        <v>0</v>
      </c>
      <c r="Y62" s="11">
        <v>0</v>
      </c>
      <c r="Z62" s="29">
        <f t="shared" si="8"/>
        <v>1244308.5353229598</v>
      </c>
      <c r="AB62" s="11">
        <f>SUMIF('ERS 2015-16'!B:B,B62,'ERS 2015-16'!AC:AC)</f>
        <v>0</v>
      </c>
      <c r="AG62" s="11">
        <f t="shared" si="10"/>
        <v>2916.5879999999997</v>
      </c>
      <c r="AJ62" s="11">
        <f t="shared" si="11"/>
        <v>1241391.9473229598</v>
      </c>
      <c r="AK62" s="11">
        <f t="shared" si="5"/>
        <v>1244308.5353229598</v>
      </c>
    </row>
    <row r="63" spans="1:37" s="11" customFormat="1" ht="12.75" x14ac:dyDescent="0.2">
      <c r="A63" s="9" t="s">
        <v>103</v>
      </c>
      <c r="B63" s="26">
        <v>3526</v>
      </c>
      <c r="C63" s="11">
        <v>238962.83111999999</v>
      </c>
      <c r="D63" s="11">
        <v>70204.438682093489</v>
      </c>
      <c r="E63" s="11">
        <v>0</v>
      </c>
      <c r="F63" s="11">
        <v>0</v>
      </c>
      <c r="G63" s="11">
        <v>56748.662526315798</v>
      </c>
      <c r="H63" s="11">
        <v>4798.7199999999502</v>
      </c>
      <c r="I63" s="11">
        <v>100000</v>
      </c>
      <c r="J63" s="11">
        <v>0</v>
      </c>
      <c r="K63" s="11">
        <v>894.69919999999956</v>
      </c>
      <c r="L63" s="11">
        <v>0</v>
      </c>
      <c r="M63" s="29">
        <f t="shared" si="9"/>
        <v>471609.35152840923</v>
      </c>
      <c r="N63" s="11">
        <v>0</v>
      </c>
      <c r="O63" s="11">
        <v>0</v>
      </c>
      <c r="P63" s="29">
        <f t="shared" si="6"/>
        <v>471609.35152840923</v>
      </c>
      <c r="Q63" s="11">
        <v>-6059.7</v>
      </c>
      <c r="R63" s="29">
        <f t="shared" si="7"/>
        <v>465549.65152840922</v>
      </c>
      <c r="S63" s="11">
        <v>5000</v>
      </c>
      <c r="U63" s="11">
        <v>9009.75</v>
      </c>
      <c r="X63" s="11">
        <v>66912.714224561409</v>
      </c>
      <c r="Y63" s="11">
        <v>0</v>
      </c>
      <c r="Z63" s="29">
        <f t="shared" si="8"/>
        <v>546472.11575297057</v>
      </c>
      <c r="AB63" s="11">
        <f>SUMIF('ERS 2015-16'!B:B,B63,'ERS 2015-16'!AC:AC)</f>
        <v>0</v>
      </c>
      <c r="AG63" s="11">
        <f t="shared" si="10"/>
        <v>894.69919999999956</v>
      </c>
      <c r="AJ63" s="11">
        <f t="shared" si="11"/>
        <v>545577.41655297054</v>
      </c>
      <c r="AK63" s="11">
        <f t="shared" si="5"/>
        <v>546472.11575297057</v>
      </c>
    </row>
    <row r="64" spans="1:37" s="11" customFormat="1" ht="12.75" x14ac:dyDescent="0.2">
      <c r="A64" s="9" t="s">
        <v>104</v>
      </c>
      <c r="B64" s="26">
        <v>3535</v>
      </c>
      <c r="C64" s="11">
        <v>751405.34674399998</v>
      </c>
      <c r="D64" s="11">
        <v>242805.69025291398</v>
      </c>
      <c r="E64" s="11">
        <v>0</v>
      </c>
      <c r="F64" s="11">
        <v>0</v>
      </c>
      <c r="G64" s="11">
        <v>64407.623776595829</v>
      </c>
      <c r="H64" s="11">
        <v>0</v>
      </c>
      <c r="I64" s="11">
        <v>100000</v>
      </c>
      <c r="J64" s="11">
        <v>0</v>
      </c>
      <c r="K64" s="11">
        <v>2187.4409999999989</v>
      </c>
      <c r="L64" s="11">
        <v>0</v>
      </c>
      <c r="M64" s="29">
        <f t="shared" si="9"/>
        <v>1160806.10177351</v>
      </c>
      <c r="N64" s="11">
        <v>53485.388255127007</v>
      </c>
      <c r="O64" s="11">
        <v>0</v>
      </c>
      <c r="P64" s="29">
        <f t="shared" si="6"/>
        <v>1214291.490028637</v>
      </c>
      <c r="Q64" s="11">
        <v>-19054.39</v>
      </c>
      <c r="R64" s="29">
        <f t="shared" si="7"/>
        <v>1195237.1000286371</v>
      </c>
      <c r="S64" s="11">
        <v>0</v>
      </c>
      <c r="U64" s="11">
        <v>3754.06</v>
      </c>
      <c r="X64" s="11">
        <v>0</v>
      </c>
      <c r="Y64" s="11">
        <v>0</v>
      </c>
      <c r="Z64" s="29">
        <f t="shared" si="8"/>
        <v>1198991.1600286372</v>
      </c>
      <c r="AB64" s="11">
        <f>SUMIF('ERS 2015-16'!B:B,B64,'ERS 2015-16'!AC:AC)</f>
        <v>0</v>
      </c>
      <c r="AG64" s="11">
        <f t="shared" si="10"/>
        <v>2187.4409999999989</v>
      </c>
      <c r="AJ64" s="11">
        <f t="shared" si="11"/>
        <v>1196803.719028637</v>
      </c>
      <c r="AK64" s="11">
        <f t="shared" si="5"/>
        <v>1198991.1600286372</v>
      </c>
    </row>
    <row r="65" spans="1:37" s="11" customFormat="1" ht="12.75" x14ac:dyDescent="0.2">
      <c r="A65" s="12" t="s">
        <v>64</v>
      </c>
      <c r="B65" s="26">
        <v>2008</v>
      </c>
      <c r="C65" s="11">
        <v>600062.22036799998</v>
      </c>
      <c r="D65" s="11">
        <v>132448.14666499273</v>
      </c>
      <c r="E65" s="11">
        <v>0</v>
      </c>
      <c r="F65" s="11">
        <v>0</v>
      </c>
      <c r="G65" s="11">
        <v>14800.7019489796</v>
      </c>
      <c r="H65" s="11">
        <v>0</v>
      </c>
      <c r="I65" s="11">
        <v>100000</v>
      </c>
      <c r="J65" s="11">
        <v>0</v>
      </c>
      <c r="K65" s="11">
        <v>2011.4399999999996</v>
      </c>
      <c r="L65" s="11">
        <v>0</v>
      </c>
      <c r="M65" s="29">
        <f t="shared" si="9"/>
        <v>849322.50898197223</v>
      </c>
      <c r="N65" s="11">
        <v>0</v>
      </c>
      <c r="O65" s="11">
        <v>0</v>
      </c>
      <c r="P65" s="29">
        <f t="shared" si="6"/>
        <v>849322.50898197223</v>
      </c>
      <c r="Q65" s="11">
        <v>0</v>
      </c>
      <c r="R65" s="29">
        <f t="shared" si="7"/>
        <v>849322.50898197223</v>
      </c>
      <c r="S65" s="11">
        <v>5000</v>
      </c>
      <c r="U65" s="11">
        <v>6006.5</v>
      </c>
      <c r="X65" s="11">
        <v>0</v>
      </c>
      <c r="Y65" s="11">
        <v>0</v>
      </c>
      <c r="Z65" s="29">
        <f t="shared" si="8"/>
        <v>860329.00898197223</v>
      </c>
      <c r="AB65" s="11">
        <f>SUMIF('ERS 2015-16'!B:B,B65,'ERS 2015-16'!AC:AC)</f>
        <v>0</v>
      </c>
      <c r="AG65" s="11">
        <f t="shared" si="10"/>
        <v>2011.4399999999996</v>
      </c>
      <c r="AJ65" s="11">
        <f t="shared" si="11"/>
        <v>858317.56898197229</v>
      </c>
      <c r="AK65" s="11">
        <f t="shared" si="5"/>
        <v>860329.00898197223</v>
      </c>
    </row>
    <row r="66" spans="1:37" s="11" customFormat="1" ht="12.75" x14ac:dyDescent="0.2">
      <c r="A66" s="9" t="s">
        <v>105</v>
      </c>
      <c r="B66" s="26">
        <v>3542</v>
      </c>
      <c r="C66" s="11">
        <v>934610.18393599987</v>
      </c>
      <c r="D66" s="11">
        <v>170046.16985602817</v>
      </c>
      <c r="E66" s="11">
        <v>4048.1496747875358</v>
      </c>
      <c r="F66" s="11">
        <v>0</v>
      </c>
      <c r="G66" s="11">
        <v>82333.001343999887</v>
      </c>
      <c r="H66" s="11">
        <v>0</v>
      </c>
      <c r="I66" s="11">
        <v>100000</v>
      </c>
      <c r="J66" s="11">
        <v>0</v>
      </c>
      <c r="K66" s="11">
        <v>4224.0239999999976</v>
      </c>
      <c r="L66" s="11">
        <v>0</v>
      </c>
      <c r="M66" s="29">
        <f t="shared" ref="M66:M73" si="12">SUM(C66:L66)</f>
        <v>1295261.5288108157</v>
      </c>
      <c r="N66" s="11">
        <v>0</v>
      </c>
      <c r="O66" s="11">
        <v>0</v>
      </c>
      <c r="P66" s="29">
        <f t="shared" si="6"/>
        <v>1295261.5288108157</v>
      </c>
      <c r="Q66" s="11">
        <v>-23700.16</v>
      </c>
      <c r="R66" s="29">
        <f t="shared" si="7"/>
        <v>1271561.3688108157</v>
      </c>
      <c r="S66" s="11">
        <v>22548.090551181103</v>
      </c>
      <c r="U66" s="11">
        <v>30032.5</v>
      </c>
      <c r="X66" s="11">
        <v>0</v>
      </c>
      <c r="Y66" s="11">
        <v>0</v>
      </c>
      <c r="Z66" s="29">
        <f t="shared" si="8"/>
        <v>1324141.9593619967</v>
      </c>
      <c r="AB66" s="11">
        <f>SUMIF('ERS 2015-16'!B:B,B66,'ERS 2015-16'!AC:AC)</f>
        <v>0</v>
      </c>
      <c r="AG66" s="11">
        <f t="shared" ref="AG66:AG73" si="13">K66</f>
        <v>4224.0239999999976</v>
      </c>
      <c r="AJ66" s="11">
        <f t="shared" si="11"/>
        <v>1319917.9353619968</v>
      </c>
      <c r="AK66" s="11">
        <f t="shared" si="5"/>
        <v>1324141.9593619967</v>
      </c>
    </row>
    <row r="67" spans="1:37" s="11" customFormat="1" ht="12.75" x14ac:dyDescent="0.2">
      <c r="A67" s="9" t="s">
        <v>106</v>
      </c>
      <c r="B67" s="26">
        <v>3528</v>
      </c>
      <c r="C67" s="11">
        <v>918679.32852799993</v>
      </c>
      <c r="D67" s="11">
        <v>156105.41643633443</v>
      </c>
      <c r="E67" s="11">
        <v>1373.0585870967741</v>
      </c>
      <c r="F67" s="11">
        <v>0</v>
      </c>
      <c r="G67" s="11">
        <v>73006.987758903982</v>
      </c>
      <c r="H67" s="11">
        <v>6478.2720000000081</v>
      </c>
      <c r="I67" s="11">
        <v>100000</v>
      </c>
      <c r="J67" s="11">
        <v>0</v>
      </c>
      <c r="K67" s="11">
        <v>7593.1859999999979</v>
      </c>
      <c r="L67" s="11">
        <v>0</v>
      </c>
      <c r="M67" s="29">
        <f t="shared" si="12"/>
        <v>1263236.2493103354</v>
      </c>
      <c r="N67" s="11">
        <v>0</v>
      </c>
      <c r="O67" s="11">
        <v>0</v>
      </c>
      <c r="P67" s="29">
        <f t="shared" si="6"/>
        <v>1263236.2493103354</v>
      </c>
      <c r="Q67" s="11">
        <v>-23296.18</v>
      </c>
      <c r="R67" s="29">
        <f t="shared" si="7"/>
        <v>1239940.0693103354</v>
      </c>
      <c r="S67" s="11">
        <v>22548.090551181103</v>
      </c>
      <c r="U67" s="11">
        <v>6006.5</v>
      </c>
      <c r="X67" s="11">
        <v>57964.920987577643</v>
      </c>
      <c r="Y67" s="11">
        <v>0</v>
      </c>
      <c r="Z67" s="29">
        <f t="shared" si="8"/>
        <v>1326459.5808490941</v>
      </c>
      <c r="AB67" s="11">
        <f>SUMIF('ERS 2015-16'!B:B,B67,'ERS 2015-16'!AC:AC)</f>
        <v>0</v>
      </c>
      <c r="AG67" s="11">
        <f t="shared" si="13"/>
        <v>7593.1859999999979</v>
      </c>
      <c r="AJ67" s="11">
        <f t="shared" si="11"/>
        <v>1318866.3948490941</v>
      </c>
      <c r="AK67" s="11">
        <f t="shared" ref="AK67:AK72" si="14">AJ67+AG67</f>
        <v>1326459.5808490941</v>
      </c>
    </row>
    <row r="68" spans="1:37" s="11" customFormat="1" ht="12.75" x14ac:dyDescent="0.2">
      <c r="A68" s="9" t="s">
        <v>107</v>
      </c>
      <c r="B68" s="26">
        <v>3534</v>
      </c>
      <c r="C68" s="11">
        <v>677061.35483999993</v>
      </c>
      <c r="D68" s="11">
        <v>47629.660350973252</v>
      </c>
      <c r="E68" s="11">
        <v>0</v>
      </c>
      <c r="F68" s="11">
        <v>0</v>
      </c>
      <c r="G68" s="11">
        <v>18900.262275590558</v>
      </c>
      <c r="H68" s="11">
        <v>0</v>
      </c>
      <c r="I68" s="11">
        <v>100000</v>
      </c>
      <c r="J68" s="11">
        <v>0</v>
      </c>
      <c r="K68" s="11">
        <v>2489.1569999999992</v>
      </c>
      <c r="L68" s="11">
        <v>0</v>
      </c>
      <c r="M68" s="29">
        <f t="shared" si="12"/>
        <v>846080.43446656375</v>
      </c>
      <c r="N68" s="11">
        <v>0</v>
      </c>
      <c r="O68" s="11">
        <v>0</v>
      </c>
      <c r="P68" s="29">
        <f t="shared" ref="P68:P72" si="15">SUM(M68:O68)</f>
        <v>846080.43446656375</v>
      </c>
      <c r="Q68" s="11">
        <v>-17169.149999999998</v>
      </c>
      <c r="R68" s="29">
        <f t="shared" ref="R68:R73" si="16">SUM(P68+Q68)</f>
        <v>828911.28446656372</v>
      </c>
      <c r="S68" s="11">
        <v>0</v>
      </c>
      <c r="U68" s="11">
        <v>9009.75</v>
      </c>
      <c r="X68" s="11">
        <v>0</v>
      </c>
      <c r="Y68" s="11">
        <v>0</v>
      </c>
      <c r="Z68" s="29">
        <f t="shared" ref="Z68:Z73" si="17">SUM(R68:Y68)</f>
        <v>837921.03446656372</v>
      </c>
      <c r="AB68" s="11">
        <f>SUMIF('ERS 2015-16'!B:B,B68,'ERS 2015-16'!AC:AC)</f>
        <v>0</v>
      </c>
      <c r="AG68" s="11">
        <f t="shared" si="13"/>
        <v>2489.1569999999992</v>
      </c>
      <c r="AJ68" s="11">
        <f t="shared" si="11"/>
        <v>835431.87746656372</v>
      </c>
      <c r="AK68" s="11">
        <f t="shared" si="14"/>
        <v>837921.03446656372</v>
      </c>
    </row>
    <row r="69" spans="1:37" s="11" customFormat="1" ht="12.75" x14ac:dyDescent="0.2">
      <c r="A69" s="9" t="s">
        <v>108</v>
      </c>
      <c r="B69" s="26">
        <v>3532</v>
      </c>
      <c r="C69" s="11">
        <v>841680.19405599998</v>
      </c>
      <c r="D69" s="11">
        <v>35369.63872436541</v>
      </c>
      <c r="E69" s="11">
        <v>0</v>
      </c>
      <c r="F69" s="11">
        <v>0</v>
      </c>
      <c r="G69" s="11">
        <v>0</v>
      </c>
      <c r="H69" s="11">
        <v>0</v>
      </c>
      <c r="I69" s="11">
        <v>100000</v>
      </c>
      <c r="J69" s="11">
        <v>0</v>
      </c>
      <c r="K69" s="11">
        <v>3570.3059999999987</v>
      </c>
      <c r="L69" s="11">
        <v>0</v>
      </c>
      <c r="M69" s="29">
        <f t="shared" si="12"/>
        <v>980620.13878036535</v>
      </c>
      <c r="N69" s="11">
        <v>0</v>
      </c>
      <c r="O69" s="11">
        <v>0</v>
      </c>
      <c r="P69" s="29">
        <f t="shared" si="15"/>
        <v>980620.13878036535</v>
      </c>
      <c r="Q69" s="11">
        <v>-21343.61</v>
      </c>
      <c r="R69" s="29">
        <f t="shared" si="16"/>
        <v>959276.52878036536</v>
      </c>
      <c r="S69" s="11">
        <v>30913.484251968504</v>
      </c>
      <c r="U69" s="11">
        <v>0</v>
      </c>
      <c r="X69" s="11">
        <v>0</v>
      </c>
      <c r="Y69" s="11">
        <v>0</v>
      </c>
      <c r="Z69" s="29">
        <f t="shared" si="17"/>
        <v>990190.01303233393</v>
      </c>
      <c r="AB69" s="11">
        <f>SUMIF('ERS 2015-16'!B:B,B69,'ERS 2015-16'!AC:AC)</f>
        <v>0</v>
      </c>
      <c r="AG69" s="11">
        <f t="shared" si="13"/>
        <v>3570.3059999999987</v>
      </c>
      <c r="AJ69" s="11">
        <f t="shared" si="11"/>
        <v>986619.70703233394</v>
      </c>
      <c r="AK69" s="11">
        <f t="shared" si="14"/>
        <v>990190.01303233393</v>
      </c>
    </row>
    <row r="70" spans="1:37" s="11" customFormat="1" ht="12.75" x14ac:dyDescent="0.2">
      <c r="A70" s="9" t="s">
        <v>65</v>
      </c>
      <c r="B70" s="26">
        <v>3546</v>
      </c>
      <c r="C70" s="11">
        <v>1553258.4022799998</v>
      </c>
      <c r="D70" s="11">
        <v>427071.29428119276</v>
      </c>
      <c r="E70" s="11">
        <v>2782.5369753954305</v>
      </c>
      <c r="F70" s="11">
        <v>0</v>
      </c>
      <c r="G70" s="11">
        <v>124392.57692727249</v>
      </c>
      <c r="H70" s="11">
        <v>599.8400000000953</v>
      </c>
      <c r="I70" s="11">
        <v>100000</v>
      </c>
      <c r="J70" s="11">
        <v>0</v>
      </c>
      <c r="K70" s="11">
        <v>62857.5</v>
      </c>
      <c r="L70" s="11">
        <v>0</v>
      </c>
      <c r="M70" s="29">
        <f t="shared" si="12"/>
        <v>2270962.1504638609</v>
      </c>
      <c r="N70" s="11">
        <v>119546.80853674281</v>
      </c>
      <c r="O70" s="11">
        <v>0</v>
      </c>
      <c r="P70" s="29">
        <f t="shared" si="15"/>
        <v>2390508.9590006038</v>
      </c>
      <c r="Q70" s="11">
        <v>-39388.049999999996</v>
      </c>
      <c r="R70" s="29">
        <f t="shared" si="16"/>
        <v>2351120.9090006039</v>
      </c>
      <c r="S70" s="11">
        <v>15000</v>
      </c>
      <c r="U70" s="11">
        <v>18019.5</v>
      </c>
      <c r="X70" s="11">
        <v>145674.43432373941</v>
      </c>
      <c r="Y70" s="11">
        <v>0</v>
      </c>
      <c r="Z70" s="29">
        <f t="shared" si="17"/>
        <v>2529814.8433243432</v>
      </c>
      <c r="AB70" s="11">
        <f>SUMIF('ERS 2015-16'!B:B,B70,'ERS 2015-16'!AC:AC)</f>
        <v>0</v>
      </c>
      <c r="AG70" s="11">
        <f t="shared" si="13"/>
        <v>62857.5</v>
      </c>
      <c r="AJ70" s="11">
        <f t="shared" si="11"/>
        <v>2466957.3433243432</v>
      </c>
      <c r="AK70" s="11">
        <f t="shared" si="14"/>
        <v>2529814.8433243432</v>
      </c>
    </row>
    <row r="71" spans="1:37" s="11" customFormat="1" ht="12.75" x14ac:dyDescent="0.2">
      <c r="A71" s="9" t="s">
        <v>109</v>
      </c>
      <c r="B71" s="26">
        <v>3530</v>
      </c>
      <c r="C71" s="11">
        <v>889472.76027999993</v>
      </c>
      <c r="D71" s="11">
        <v>18704.597107891201</v>
      </c>
      <c r="E71" s="11">
        <v>0</v>
      </c>
      <c r="F71" s="11">
        <v>0</v>
      </c>
      <c r="G71" s="11">
        <v>4231.3036605166008</v>
      </c>
      <c r="H71" s="11">
        <v>0</v>
      </c>
      <c r="I71" s="11">
        <v>100000</v>
      </c>
      <c r="J71" s="11">
        <v>0</v>
      </c>
      <c r="K71" s="11">
        <v>4903.3779999999988</v>
      </c>
      <c r="L71" s="11">
        <v>0</v>
      </c>
      <c r="M71" s="29">
        <f t="shared" si="12"/>
        <v>1017312.0390484078</v>
      </c>
      <c r="N71" s="11">
        <v>0</v>
      </c>
      <c r="O71" s="11">
        <v>0</v>
      </c>
      <c r="P71" s="29">
        <f t="shared" si="15"/>
        <v>1017312.0390484078</v>
      </c>
      <c r="Q71" s="11">
        <v>-22555.55</v>
      </c>
      <c r="R71" s="29">
        <f t="shared" si="16"/>
        <v>994756.48904840776</v>
      </c>
      <c r="S71" s="11">
        <v>10000</v>
      </c>
      <c r="U71" s="11">
        <v>13514.63</v>
      </c>
      <c r="X71" s="11">
        <v>111295.62265857586</v>
      </c>
      <c r="Y71" s="11">
        <v>0</v>
      </c>
      <c r="Z71" s="29">
        <f t="shared" si="17"/>
        <v>1129566.7417069837</v>
      </c>
      <c r="AB71" s="11">
        <f>SUMIF('ERS 2015-16'!B:B,B71,'ERS 2015-16'!AC:AC)</f>
        <v>0</v>
      </c>
      <c r="AG71" s="11">
        <f t="shared" si="13"/>
        <v>4903.3779999999988</v>
      </c>
      <c r="AJ71" s="11">
        <f t="shared" si="11"/>
        <v>1124663.3637069836</v>
      </c>
      <c r="AK71" s="11">
        <f t="shared" si="14"/>
        <v>1129566.7417069837</v>
      </c>
    </row>
    <row r="72" spans="1:37" s="11" customFormat="1" ht="12.75" x14ac:dyDescent="0.2">
      <c r="A72" s="9" t="s">
        <v>67</v>
      </c>
      <c r="B72" s="26">
        <v>2459</v>
      </c>
      <c r="C72" s="11">
        <v>1014264.4609759999</v>
      </c>
      <c r="D72" s="11">
        <v>38593.510436559533</v>
      </c>
      <c r="E72" s="11">
        <v>0</v>
      </c>
      <c r="F72" s="11">
        <v>0</v>
      </c>
      <c r="G72" s="11">
        <v>33191.939331692454</v>
      </c>
      <c r="H72" s="11">
        <v>0</v>
      </c>
      <c r="I72" s="11">
        <v>100000</v>
      </c>
      <c r="J72" s="11">
        <v>0</v>
      </c>
      <c r="K72" s="11">
        <v>13200.074999999999</v>
      </c>
      <c r="L72" s="11">
        <v>0</v>
      </c>
      <c r="M72" s="29">
        <f t="shared" si="12"/>
        <v>1199249.9857442519</v>
      </c>
      <c r="N72" s="11">
        <v>0</v>
      </c>
      <c r="O72" s="11">
        <v>0</v>
      </c>
      <c r="P72" s="29">
        <f t="shared" si="15"/>
        <v>1199249.9857442519</v>
      </c>
      <c r="Q72" s="11">
        <v>-25720.059999999998</v>
      </c>
      <c r="R72" s="29">
        <f t="shared" si="16"/>
        <v>1173529.9257442518</v>
      </c>
      <c r="S72" s="11">
        <v>18365.393700787401</v>
      </c>
      <c r="U72" s="11">
        <v>17297.759999999998</v>
      </c>
      <c r="X72" s="11">
        <v>0</v>
      </c>
      <c r="Y72" s="11">
        <v>0</v>
      </c>
      <c r="Z72" s="29">
        <f t="shared" si="17"/>
        <v>1209193.0794450392</v>
      </c>
      <c r="AB72" s="11">
        <f>SUMIF('ERS 2015-16'!B:B,B72,'ERS 2015-16'!AC:AC)</f>
        <v>0</v>
      </c>
      <c r="AG72" s="11">
        <f t="shared" si="13"/>
        <v>13200.074999999999</v>
      </c>
      <c r="AJ72" s="11">
        <f t="shared" si="11"/>
        <v>1195993.0044450392</v>
      </c>
      <c r="AK72" s="11">
        <f t="shared" si="14"/>
        <v>1209193.0794450392</v>
      </c>
    </row>
    <row r="73" spans="1:37" s="11" customFormat="1" ht="12.75" x14ac:dyDescent="0.2">
      <c r="A73" s="9" t="s">
        <v>846</v>
      </c>
      <c r="B73" s="10">
        <v>4000</v>
      </c>
      <c r="C73" s="11">
        <v>567536.72390999994</v>
      </c>
      <c r="D73" s="11">
        <v>131181.12967952073</v>
      </c>
      <c r="E73" s="11">
        <v>0</v>
      </c>
      <c r="F73" s="11">
        <v>0</v>
      </c>
      <c r="G73" s="11">
        <v>124119.60340178579</v>
      </c>
      <c r="H73" s="11">
        <v>27456.312727272707</v>
      </c>
      <c r="I73" s="11">
        <v>100000</v>
      </c>
      <c r="J73" s="11">
        <v>0</v>
      </c>
      <c r="K73" s="11">
        <v>14078.108</v>
      </c>
      <c r="L73" s="11">
        <v>0</v>
      </c>
      <c r="M73" s="29">
        <f t="shared" si="12"/>
        <v>964371.87771857926</v>
      </c>
      <c r="N73" s="11">
        <v>0</v>
      </c>
      <c r="O73" s="11">
        <v>0</v>
      </c>
      <c r="P73" s="29">
        <f t="shared" ref="P73" si="18">SUM(M73:O73)</f>
        <v>964371.87771857926</v>
      </c>
      <c r="Q73" s="11">
        <v>0</v>
      </c>
      <c r="R73" s="29">
        <f t="shared" si="16"/>
        <v>964371.87771857926</v>
      </c>
      <c r="S73" s="11">
        <v>5000</v>
      </c>
      <c r="U73" s="11">
        <v>0</v>
      </c>
      <c r="X73" s="11">
        <v>0</v>
      </c>
      <c r="Y73" s="982"/>
      <c r="Z73" s="29">
        <f t="shared" si="17"/>
        <v>969371.87771857926</v>
      </c>
      <c r="AB73" s="11">
        <f>SUMIF('ERS 2015-16'!B:B,B73,'ERS 2015-16'!AC:AC)</f>
        <v>0</v>
      </c>
      <c r="AG73" s="11">
        <f t="shared" si="13"/>
        <v>14078.108</v>
      </c>
      <c r="AJ73" s="11">
        <f t="shared" ref="AJ73" si="19">Z73-AG73-AB73-W73</f>
        <v>955293.76971857925</v>
      </c>
      <c r="AK73" s="11">
        <f t="shared" ref="AK73" si="20">AJ73+AG73</f>
        <v>969371.87771857926</v>
      </c>
    </row>
    <row r="74" spans="1:37" s="11" customFormat="1" ht="12.75" x14ac:dyDescent="0.2">
      <c r="A74" s="9"/>
      <c r="B74" s="26"/>
      <c r="R74" s="29"/>
      <c r="Z74" s="29"/>
    </row>
    <row r="75" spans="1:37" s="11" customFormat="1" ht="12.75" x14ac:dyDescent="0.2">
      <c r="A75" s="1" t="s">
        <v>110</v>
      </c>
      <c r="B75" s="24" t="s">
        <v>110</v>
      </c>
      <c r="C75" s="29">
        <f>SUM(C2:C74)</f>
        <v>59085993.875107348</v>
      </c>
      <c r="D75" s="29">
        <f t="shared" ref="D75:Z75" si="21">SUM(D2:D74)</f>
        <v>11680747.947238836</v>
      </c>
      <c r="E75" s="29">
        <f t="shared" si="21"/>
        <v>92418.583563810898</v>
      </c>
      <c r="F75" s="29">
        <f t="shared" si="21"/>
        <v>0</v>
      </c>
      <c r="G75" s="29">
        <f t="shared" si="21"/>
        <v>3032086.3569122106</v>
      </c>
      <c r="H75" s="29">
        <f t="shared" si="21"/>
        <v>417577.21689772222</v>
      </c>
      <c r="I75" s="29">
        <f t="shared" si="21"/>
        <v>7200000</v>
      </c>
      <c r="J75" s="29">
        <f t="shared" si="21"/>
        <v>0</v>
      </c>
      <c r="K75" s="29">
        <f t="shared" si="21"/>
        <v>1053547.8651999999</v>
      </c>
      <c r="L75" s="29">
        <f t="shared" si="21"/>
        <v>296937.67</v>
      </c>
      <c r="M75" s="29">
        <f t="shared" si="21"/>
        <v>82859309.514919937</v>
      </c>
      <c r="N75" s="29">
        <f t="shared" si="21"/>
        <v>858815.37535881891</v>
      </c>
      <c r="O75" s="29">
        <f t="shared" si="21"/>
        <v>0</v>
      </c>
      <c r="P75" s="29">
        <f t="shared" si="21"/>
        <v>83718124.890278757</v>
      </c>
      <c r="Q75" s="29">
        <f t="shared" si="21"/>
        <v>-1348614.2891666663</v>
      </c>
      <c r="R75" s="29">
        <f t="shared" si="21"/>
        <v>82369510.601112038</v>
      </c>
      <c r="S75" s="29">
        <f t="shared" si="21"/>
        <v>1324904.6062992127</v>
      </c>
      <c r="T75" s="29">
        <f t="shared" si="21"/>
        <v>2455728.7549999999</v>
      </c>
      <c r="U75" s="29">
        <f t="shared" si="21"/>
        <v>1305055.135</v>
      </c>
      <c r="V75" s="29">
        <f t="shared" si="21"/>
        <v>0</v>
      </c>
      <c r="W75" s="29">
        <f t="shared" si="21"/>
        <v>0</v>
      </c>
      <c r="X75" s="106">
        <f t="shared" si="21"/>
        <v>4086021.9083195897</v>
      </c>
      <c r="Y75" s="29">
        <f t="shared" si="21"/>
        <v>0</v>
      </c>
      <c r="Z75" s="29">
        <f t="shared" si="21"/>
        <v>91541221.005730897</v>
      </c>
      <c r="AB75" s="29">
        <f>SUM(AB2:AB74)</f>
        <v>56813.814999999995</v>
      </c>
      <c r="AD75" s="29"/>
      <c r="AF75" s="29"/>
      <c r="AG75" s="29">
        <f>SUM(AG2:AG74)</f>
        <v>1053547.8651999999</v>
      </c>
      <c r="AJ75" s="29">
        <f>SUM(AJ2:AJ74)</f>
        <v>90430859.325530872</v>
      </c>
      <c r="AK75" s="29">
        <f>SUM(AK2:AK74)</f>
        <v>91484407.19073087</v>
      </c>
    </row>
    <row r="76" spans="1:37" s="11" customFormat="1" ht="12.75" x14ac:dyDescent="0.2">
      <c r="A76" s="9"/>
      <c r="B76" s="26"/>
      <c r="R76" s="29"/>
      <c r="X76" s="11">
        <v>0</v>
      </c>
      <c r="Z76" s="29"/>
    </row>
    <row r="77" spans="1:37" s="11" customFormat="1" ht="12.75" x14ac:dyDescent="0.2">
      <c r="A77" s="9" t="s">
        <v>75</v>
      </c>
      <c r="B77" s="26">
        <v>5402</v>
      </c>
      <c r="C77" s="11">
        <v>5129196.3565440001</v>
      </c>
      <c r="D77" s="11">
        <v>185008.49512372966</v>
      </c>
      <c r="E77" s="11">
        <v>9429.5900862537765</v>
      </c>
      <c r="F77" s="11">
        <v>153888.85172034576</v>
      </c>
      <c r="G77" s="11">
        <v>47814.91507553203</v>
      </c>
      <c r="H77" s="11">
        <v>0</v>
      </c>
      <c r="I77" s="11">
        <v>150000</v>
      </c>
      <c r="J77" s="11">
        <v>0</v>
      </c>
      <c r="K77" s="11">
        <v>40228.799999999988</v>
      </c>
      <c r="L77" s="11">
        <v>0</v>
      </c>
      <c r="M77" s="29">
        <f t="shared" ref="M77:M91" si="22">SUM(C77:L77)</f>
        <v>5715567.0085498616</v>
      </c>
      <c r="N77" s="11">
        <v>0</v>
      </c>
      <c r="O77" s="11">
        <v>0</v>
      </c>
      <c r="P77" s="29">
        <f t="shared" ref="P77:P88" si="23">SUM(M77:O77)</f>
        <v>5715567.0085498616</v>
      </c>
      <c r="Q77" s="11">
        <v>0</v>
      </c>
      <c r="R77" s="29">
        <f t="shared" ref="R77:R89" si="24">SUM(P77+Q77)</f>
        <v>5715567.0085498616</v>
      </c>
      <c r="S77" s="11">
        <v>0</v>
      </c>
      <c r="U77" s="11">
        <v>66276.44</v>
      </c>
      <c r="X77" s="11">
        <v>0</v>
      </c>
      <c r="Z77" s="29">
        <f t="shared" ref="Z77:Z91" si="25">SUM(R77:Y77)</f>
        <v>5781843.448549862</v>
      </c>
      <c r="AB77" s="11">
        <f>SUMIF('ERS 2015-16'!B:B,B77,'ERS 2015-16'!AC:AC)</f>
        <v>0</v>
      </c>
      <c r="AG77" s="11">
        <f>K77</f>
        <v>40228.799999999988</v>
      </c>
      <c r="AJ77" s="11">
        <f t="shared" ref="AJ77:AJ89" si="26">Z77-AG77-AB77-W77</f>
        <v>5741614.6485498622</v>
      </c>
      <c r="AK77" s="11">
        <f t="shared" ref="AK77:AK89" si="27">AJ77+AG77</f>
        <v>5781843.448549862</v>
      </c>
    </row>
    <row r="78" spans="1:37" s="11" customFormat="1" ht="12.75" x14ac:dyDescent="0.2">
      <c r="A78" s="9" t="s">
        <v>68</v>
      </c>
      <c r="B78" s="26">
        <v>4608</v>
      </c>
      <c r="C78" s="11">
        <v>2162011.0096</v>
      </c>
      <c r="D78" s="11">
        <v>407620.51015922776</v>
      </c>
      <c r="E78" s="11">
        <v>4104.0178606557374</v>
      </c>
      <c r="F78" s="11">
        <v>150065.0134078213</v>
      </c>
      <c r="G78" s="11">
        <v>30153.068399999964</v>
      </c>
      <c r="H78" s="11">
        <v>0</v>
      </c>
      <c r="I78" s="11">
        <v>150000</v>
      </c>
      <c r="J78" s="11">
        <v>0</v>
      </c>
      <c r="K78" s="11">
        <v>16915.099999999991</v>
      </c>
      <c r="L78" s="11">
        <v>21560.99</v>
      </c>
      <c r="M78" s="29">
        <f t="shared" si="22"/>
        <v>2942429.7094277046</v>
      </c>
      <c r="N78" s="11">
        <v>104551.21458545281</v>
      </c>
      <c r="O78" s="11">
        <v>0</v>
      </c>
      <c r="P78" s="29">
        <f t="shared" si="23"/>
        <v>3046980.9240131574</v>
      </c>
      <c r="Q78" s="11">
        <v>-33771.75</v>
      </c>
      <c r="R78" s="29">
        <f t="shared" si="24"/>
        <v>3013209.1740131574</v>
      </c>
      <c r="S78" s="11">
        <v>0</v>
      </c>
      <c r="U78" s="11">
        <v>83634.55</v>
      </c>
      <c r="X78" s="11">
        <v>0</v>
      </c>
      <c r="Z78" s="29">
        <f t="shared" si="25"/>
        <v>3096843.7240131572</v>
      </c>
      <c r="AB78" s="11">
        <f>SUMIF('ERS 2015-16'!B:B,B78,'ERS 2015-16'!AC:AC)</f>
        <v>0</v>
      </c>
      <c r="AG78" s="11">
        <f t="shared" ref="AG78:AG91" si="28">K78</f>
        <v>16915.099999999991</v>
      </c>
      <c r="AJ78" s="11">
        <f t="shared" si="26"/>
        <v>3079928.6240131571</v>
      </c>
      <c r="AK78" s="11">
        <f t="shared" si="27"/>
        <v>3096843.7240131572</v>
      </c>
    </row>
    <row r="79" spans="1:37" s="11" customFormat="1" ht="12.75" x14ac:dyDescent="0.2">
      <c r="A79" s="9" t="s">
        <v>111</v>
      </c>
      <c r="B79" s="26">
        <v>4178</v>
      </c>
      <c r="C79" s="11">
        <v>5036660.9072000002</v>
      </c>
      <c r="D79" s="11">
        <v>643497.0779229803</v>
      </c>
      <c r="E79" s="11">
        <v>11984.30954178082</v>
      </c>
      <c r="F79" s="11">
        <v>267931.93740384566</v>
      </c>
      <c r="G79" s="11">
        <v>106110.19521321919</v>
      </c>
      <c r="H79" s="11">
        <v>0</v>
      </c>
      <c r="I79" s="11">
        <v>150000</v>
      </c>
      <c r="J79" s="11">
        <v>0</v>
      </c>
      <c r="K79" s="11">
        <v>21220.691999999995</v>
      </c>
      <c r="L79" s="11">
        <v>0</v>
      </c>
      <c r="M79" s="29">
        <f t="shared" si="22"/>
        <v>6237405.1192818256</v>
      </c>
      <c r="N79" s="11">
        <v>0</v>
      </c>
      <c r="O79" s="11">
        <v>0</v>
      </c>
      <c r="P79" s="29">
        <f t="shared" si="23"/>
        <v>6237405.1192818256</v>
      </c>
      <c r="Q79" s="11">
        <v>-78679.05</v>
      </c>
      <c r="R79" s="29">
        <f t="shared" si="24"/>
        <v>6158726.0692818258</v>
      </c>
      <c r="S79" s="11">
        <v>0</v>
      </c>
      <c r="U79" s="11">
        <v>64091.5</v>
      </c>
      <c r="X79" s="11">
        <v>0</v>
      </c>
      <c r="Z79" s="29">
        <f t="shared" si="25"/>
        <v>6222817.5692818258</v>
      </c>
      <c r="AB79" s="11">
        <f>SUMIF('ERS 2015-16'!B:B,B79,'ERS 2015-16'!AC:AC)</f>
        <v>0</v>
      </c>
      <c r="AG79" s="11">
        <f t="shared" si="28"/>
        <v>21220.691999999995</v>
      </c>
      <c r="AJ79" s="11">
        <f t="shared" si="26"/>
        <v>6201596.877281826</v>
      </c>
      <c r="AK79" s="11">
        <f t="shared" si="27"/>
        <v>6222817.5692818258</v>
      </c>
    </row>
    <row r="80" spans="1:37" s="11" customFormat="1" ht="12.75" x14ac:dyDescent="0.2">
      <c r="A80" s="9" t="s">
        <v>69</v>
      </c>
      <c r="B80" s="26">
        <v>4181</v>
      </c>
      <c r="C80" s="11">
        <v>4152654.6613759999</v>
      </c>
      <c r="D80" s="11">
        <v>345141.84563782974</v>
      </c>
      <c r="E80" s="11">
        <v>2673.7955204081632</v>
      </c>
      <c r="F80" s="11">
        <v>242791.80113314488</v>
      </c>
      <c r="G80" s="11">
        <v>22280.077136447737</v>
      </c>
      <c r="H80" s="11">
        <v>0</v>
      </c>
      <c r="I80" s="11">
        <v>150000</v>
      </c>
      <c r="J80" s="11">
        <v>0</v>
      </c>
      <c r="K80" s="11">
        <v>18304.103999999992</v>
      </c>
      <c r="L80" s="11">
        <v>0</v>
      </c>
      <c r="M80" s="29">
        <f t="shared" si="22"/>
        <v>4933846.2848038301</v>
      </c>
      <c r="N80" s="11">
        <v>0</v>
      </c>
      <c r="O80" s="11">
        <v>0</v>
      </c>
      <c r="P80" s="29">
        <f t="shared" si="23"/>
        <v>4933846.2848038301</v>
      </c>
      <c r="Q80" s="11">
        <v>0</v>
      </c>
      <c r="R80" s="29">
        <f t="shared" si="24"/>
        <v>4933846.2848038301</v>
      </c>
      <c r="S80" s="11">
        <v>0</v>
      </c>
      <c r="T80" s="11">
        <f>50000+340591</f>
        <v>390591</v>
      </c>
      <c r="U80" s="11">
        <v>14566.25</v>
      </c>
      <c r="X80" s="11">
        <v>0</v>
      </c>
      <c r="Z80" s="29">
        <f t="shared" si="25"/>
        <v>5339003.5348038301</v>
      </c>
      <c r="AB80" s="11">
        <f>SUMIF('ERS 2015-16'!B:B,B80,'ERS 2015-16'!AC:AC)</f>
        <v>4813.6949999999997</v>
      </c>
      <c r="AG80" s="11">
        <f t="shared" si="28"/>
        <v>18304.103999999992</v>
      </c>
      <c r="AJ80" s="11">
        <f t="shared" si="26"/>
        <v>5315885.7358038295</v>
      </c>
      <c r="AK80" s="11">
        <f t="shared" si="27"/>
        <v>5334189.8398038298</v>
      </c>
    </row>
    <row r="81" spans="1:41" s="11" customFormat="1" ht="12.75" x14ac:dyDescent="0.2">
      <c r="A81" s="9" t="s">
        <v>70</v>
      </c>
      <c r="B81" s="26">
        <v>4182</v>
      </c>
      <c r="C81" s="11">
        <v>5552986.8459520005</v>
      </c>
      <c r="D81" s="11">
        <v>167516.3232306104</v>
      </c>
      <c r="E81" s="11">
        <v>15270.350519827587</v>
      </c>
      <c r="F81" s="11">
        <v>183632.87010846045</v>
      </c>
      <c r="G81" s="11">
        <v>95820.221577512115</v>
      </c>
      <c r="H81" s="11">
        <v>0</v>
      </c>
      <c r="I81" s="11">
        <v>150000</v>
      </c>
      <c r="J81" s="11">
        <v>0</v>
      </c>
      <c r="K81" s="11">
        <v>101577.72</v>
      </c>
      <c r="L81" s="11">
        <v>0</v>
      </c>
      <c r="M81" s="29">
        <f t="shared" si="22"/>
        <v>6266804.3313884102</v>
      </c>
      <c r="N81" s="11">
        <v>0</v>
      </c>
      <c r="O81" s="11">
        <v>0</v>
      </c>
      <c r="P81" s="29">
        <f t="shared" si="23"/>
        <v>6266804.3313884102</v>
      </c>
      <c r="Q81" s="11">
        <v>-86893.8</v>
      </c>
      <c r="R81" s="29">
        <f t="shared" si="24"/>
        <v>6179910.5313884104</v>
      </c>
      <c r="S81" s="11">
        <v>0</v>
      </c>
      <c r="U81" s="11">
        <v>43213.21</v>
      </c>
      <c r="X81" s="11">
        <v>0</v>
      </c>
      <c r="Z81" s="29">
        <f t="shared" si="25"/>
        <v>6223123.7413884103</v>
      </c>
      <c r="AB81" s="11">
        <f>SUMIF('ERS 2015-16'!B:B,B81,'ERS 2015-16'!AC:AC)</f>
        <v>0</v>
      </c>
      <c r="AG81" s="11">
        <f t="shared" si="28"/>
        <v>101577.72</v>
      </c>
      <c r="AJ81" s="11">
        <f t="shared" si="26"/>
        <v>6121546.0213884106</v>
      </c>
      <c r="AK81" s="11">
        <f t="shared" si="27"/>
        <v>6223123.7413884103</v>
      </c>
    </row>
    <row r="82" spans="1:41" s="11" customFormat="1" ht="12.75" x14ac:dyDescent="0.2">
      <c r="A82" s="9" t="s">
        <v>71</v>
      </c>
      <c r="B82" s="38">
        <v>4001</v>
      </c>
      <c r="C82" s="11">
        <v>2582810.8117760001</v>
      </c>
      <c r="D82" s="11">
        <v>550166.97540022153</v>
      </c>
      <c r="E82" s="11">
        <v>7313.9891747282609</v>
      </c>
      <c r="F82" s="11">
        <v>298508.94407960214</v>
      </c>
      <c r="G82" s="11">
        <v>105535.73940000006</v>
      </c>
      <c r="H82" s="11">
        <v>0</v>
      </c>
      <c r="I82" s="11">
        <v>150000</v>
      </c>
      <c r="J82" s="11">
        <v>0</v>
      </c>
      <c r="K82" s="11">
        <v>44000.25</v>
      </c>
      <c r="L82" s="11">
        <v>330507.43</v>
      </c>
      <c r="M82" s="29">
        <f t="shared" si="22"/>
        <v>4068844.139830552</v>
      </c>
      <c r="N82" s="11">
        <v>0</v>
      </c>
      <c r="O82" s="11">
        <v>0</v>
      </c>
      <c r="P82" s="29">
        <f t="shared" si="23"/>
        <v>4068844.139830552</v>
      </c>
      <c r="Q82" s="11">
        <v>0</v>
      </c>
      <c r="R82" s="29">
        <f t="shared" si="24"/>
        <v>4068844.139830552</v>
      </c>
      <c r="S82" s="11">
        <v>0</v>
      </c>
      <c r="U82" s="11">
        <v>13109.63</v>
      </c>
      <c r="X82" s="11">
        <v>0</v>
      </c>
      <c r="Z82" s="29">
        <f t="shared" si="25"/>
        <v>4081953.7698305519</v>
      </c>
      <c r="AB82" s="11">
        <f>SUMIF('ERS 2015-16'!B:B,B82,'ERS 2015-16'!AC:AC)</f>
        <v>0</v>
      </c>
      <c r="AG82" s="11">
        <f t="shared" si="28"/>
        <v>44000.25</v>
      </c>
      <c r="AJ82" s="11">
        <f t="shared" si="26"/>
        <v>4037953.5198305519</v>
      </c>
      <c r="AK82" s="11">
        <f t="shared" si="27"/>
        <v>4081953.7698305519</v>
      </c>
    </row>
    <row r="83" spans="1:41" s="11" customFormat="1" ht="12.75" x14ac:dyDescent="0.2">
      <c r="A83" s="9" t="s">
        <v>112</v>
      </c>
      <c r="B83" s="26">
        <v>5406</v>
      </c>
      <c r="C83" s="11">
        <v>3200567.6609920003</v>
      </c>
      <c r="D83" s="11">
        <v>342865.27408482716</v>
      </c>
      <c r="E83" s="11">
        <v>2648.5073581450652</v>
      </c>
      <c r="F83" s="11">
        <v>192104.45005102057</v>
      </c>
      <c r="G83" s="11">
        <v>63513.450279483994</v>
      </c>
      <c r="H83" s="11">
        <v>0</v>
      </c>
      <c r="I83" s="11">
        <v>150000</v>
      </c>
      <c r="J83" s="11">
        <v>0</v>
      </c>
      <c r="K83" s="11">
        <v>25645.859999999986</v>
      </c>
      <c r="L83" s="11">
        <v>0</v>
      </c>
      <c r="M83" s="29">
        <f t="shared" si="22"/>
        <v>3977345.2027654764</v>
      </c>
      <c r="N83" s="11">
        <v>0</v>
      </c>
      <c r="O83" s="11">
        <v>0</v>
      </c>
      <c r="P83" s="29">
        <f t="shared" si="23"/>
        <v>3977345.2027654764</v>
      </c>
      <c r="Q83" s="11">
        <v>-50079.55</v>
      </c>
      <c r="R83" s="29">
        <f t="shared" si="24"/>
        <v>3927265.6527654766</v>
      </c>
      <c r="S83" s="11">
        <v>0</v>
      </c>
      <c r="U83" s="11">
        <v>23306</v>
      </c>
      <c r="X83" s="11">
        <v>0</v>
      </c>
      <c r="Z83" s="29">
        <f t="shared" si="25"/>
        <v>3950571.6527654766</v>
      </c>
      <c r="AB83" s="11">
        <f>SUMIF('ERS 2015-16'!B:B,B83,'ERS 2015-16'!AC:AC)</f>
        <v>0</v>
      </c>
      <c r="AG83" s="11">
        <f t="shared" si="28"/>
        <v>25645.859999999986</v>
      </c>
      <c r="AJ83" s="11">
        <f t="shared" si="26"/>
        <v>3924925.7927654767</v>
      </c>
      <c r="AK83" s="11">
        <f t="shared" si="27"/>
        <v>3950571.6527654766</v>
      </c>
    </row>
    <row r="84" spans="1:41" s="11" customFormat="1" ht="12.75" x14ac:dyDescent="0.2">
      <c r="A84" s="9" t="s">
        <v>113</v>
      </c>
      <c r="B84" s="26">
        <v>5407</v>
      </c>
      <c r="C84" s="11">
        <v>4264023.7802240001</v>
      </c>
      <c r="D84" s="11">
        <v>615975.40256697498</v>
      </c>
      <c r="E84" s="11">
        <v>4297.5354564841491</v>
      </c>
      <c r="F84" s="11">
        <v>281815.77412206528</v>
      </c>
      <c r="G84" s="11">
        <v>52863.811281272741</v>
      </c>
      <c r="H84" s="11">
        <v>0</v>
      </c>
      <c r="I84" s="11">
        <v>150000</v>
      </c>
      <c r="J84" s="11">
        <v>0</v>
      </c>
      <c r="K84" s="11">
        <v>27908.729999999996</v>
      </c>
      <c r="L84" s="11">
        <v>395815</v>
      </c>
      <c r="M84" s="29">
        <f t="shared" si="22"/>
        <v>5792700.0336507978</v>
      </c>
      <c r="N84" s="11">
        <v>0</v>
      </c>
      <c r="O84" s="11">
        <v>0</v>
      </c>
      <c r="P84" s="29">
        <f t="shared" si="23"/>
        <v>5792700.0336507978</v>
      </c>
      <c r="Q84" s="11">
        <v>-67056.7</v>
      </c>
      <c r="R84" s="29">
        <f t="shared" si="24"/>
        <v>5725643.3336507976</v>
      </c>
      <c r="S84" s="11">
        <v>0</v>
      </c>
      <c r="U84" s="11">
        <v>94680.63</v>
      </c>
      <c r="X84" s="11">
        <v>0</v>
      </c>
      <c r="Z84" s="29">
        <f t="shared" si="25"/>
        <v>5820323.9636507975</v>
      </c>
      <c r="AB84" s="11">
        <f>SUMIF('ERS 2015-16'!B:B,B84,'ERS 2015-16'!AC:AC)</f>
        <v>0</v>
      </c>
      <c r="AG84" s="11">
        <f t="shared" si="28"/>
        <v>27908.729999999996</v>
      </c>
      <c r="AJ84" s="11">
        <f t="shared" si="26"/>
        <v>5792415.233650797</v>
      </c>
      <c r="AK84" s="11">
        <f t="shared" si="27"/>
        <v>5820323.9636507975</v>
      </c>
    </row>
    <row r="85" spans="1:41" s="11" customFormat="1" ht="12.75" x14ac:dyDescent="0.2">
      <c r="A85" s="9" t="s">
        <v>72</v>
      </c>
      <c r="B85" s="26">
        <v>4607</v>
      </c>
      <c r="C85" s="11">
        <v>4411342.9160320004</v>
      </c>
      <c r="D85" s="11">
        <v>552223.72826722218</v>
      </c>
      <c r="E85" s="11">
        <v>2634.3548472508592</v>
      </c>
      <c r="F85" s="11">
        <v>259994.97360072911</v>
      </c>
      <c r="G85" s="11">
        <v>110920.2159000001</v>
      </c>
      <c r="H85" s="11">
        <v>0</v>
      </c>
      <c r="I85" s="11">
        <v>150000</v>
      </c>
      <c r="J85" s="11">
        <v>0</v>
      </c>
      <c r="K85" s="11">
        <v>25143</v>
      </c>
      <c r="L85" s="11">
        <v>0</v>
      </c>
      <c r="M85" s="29">
        <f t="shared" si="22"/>
        <v>5512259.1886472022</v>
      </c>
      <c r="N85" s="11">
        <v>0</v>
      </c>
      <c r="O85" s="11">
        <v>0</v>
      </c>
      <c r="P85" s="29">
        <f t="shared" si="23"/>
        <v>5512259.1886472022</v>
      </c>
      <c r="Q85" s="11">
        <v>0</v>
      </c>
      <c r="R85" s="29">
        <f t="shared" si="24"/>
        <v>5512259.1886472022</v>
      </c>
      <c r="S85" s="11">
        <v>0</v>
      </c>
      <c r="T85" s="11">
        <f>60000+543989</f>
        <v>603989</v>
      </c>
      <c r="U85" s="11">
        <v>39328.879999999997</v>
      </c>
      <c r="X85" s="11">
        <v>0</v>
      </c>
      <c r="Z85" s="29">
        <f t="shared" si="25"/>
        <v>6155577.0686472021</v>
      </c>
      <c r="AB85" s="11">
        <f>SUMIF('ERS 2015-16'!B:B,B85,'ERS 2015-16'!AC:AC)</f>
        <v>98046.38</v>
      </c>
      <c r="AG85" s="11">
        <f t="shared" si="28"/>
        <v>25143</v>
      </c>
      <c r="AJ85" s="11">
        <f t="shared" si="26"/>
        <v>6032387.6886472022</v>
      </c>
      <c r="AK85" s="11">
        <f t="shared" si="27"/>
        <v>6057530.6886472022</v>
      </c>
    </row>
    <row r="86" spans="1:41" s="11" customFormat="1" ht="12.75" x14ac:dyDescent="0.2">
      <c r="A86" s="9" t="s">
        <v>438</v>
      </c>
      <c r="B86" s="38">
        <v>4002</v>
      </c>
      <c r="C86" s="11">
        <v>2985497.6428159997</v>
      </c>
      <c r="D86" s="11">
        <v>470473.81453472504</v>
      </c>
      <c r="E86" s="11">
        <v>4028.2205508387092</v>
      </c>
      <c r="F86" s="11">
        <v>285450.07164520764</v>
      </c>
      <c r="G86" s="11">
        <v>198507.70030000046</v>
      </c>
      <c r="H86" s="11">
        <v>0</v>
      </c>
      <c r="I86" s="11">
        <v>150000</v>
      </c>
      <c r="J86" s="11">
        <v>0</v>
      </c>
      <c r="K86" s="11">
        <v>5307.4899999999834</v>
      </c>
      <c r="L86" s="11">
        <v>0</v>
      </c>
      <c r="M86" s="29">
        <f t="shared" si="22"/>
        <v>4099264.9398467718</v>
      </c>
      <c r="N86" s="11">
        <v>0</v>
      </c>
      <c r="O86" s="11">
        <v>0</v>
      </c>
      <c r="P86" s="29">
        <f t="shared" si="23"/>
        <v>4099264.9398467718</v>
      </c>
      <c r="Q86" s="11">
        <v>0</v>
      </c>
      <c r="R86" s="29">
        <f t="shared" si="24"/>
        <v>4099264.9398467718</v>
      </c>
      <c r="S86" s="11">
        <v>0</v>
      </c>
      <c r="U86" s="11">
        <v>31560.21</v>
      </c>
      <c r="X86" s="11">
        <v>0</v>
      </c>
      <c r="Z86" s="29">
        <f t="shared" si="25"/>
        <v>4130825.1498467717</v>
      </c>
      <c r="AB86" s="11">
        <f>SUMIF('ERS 2015-16'!B:B,B86,'ERS 2015-16'!AC:AC)</f>
        <v>0</v>
      </c>
      <c r="AG86" s="11">
        <f t="shared" si="28"/>
        <v>5307.4899999999834</v>
      </c>
      <c r="AJ86" s="11">
        <f t="shared" si="26"/>
        <v>4125517.659846772</v>
      </c>
      <c r="AK86" s="11">
        <f t="shared" si="27"/>
        <v>4130825.1498467717</v>
      </c>
    </row>
    <row r="87" spans="1:41" s="11" customFormat="1" ht="12.75" x14ac:dyDescent="0.2">
      <c r="A87" s="9" t="s">
        <v>74</v>
      </c>
      <c r="B87" s="26">
        <v>5412</v>
      </c>
      <c r="C87" s="11">
        <v>4879158.1146879997</v>
      </c>
      <c r="D87" s="11">
        <v>300526.25757773092</v>
      </c>
      <c r="E87" s="11">
        <v>8158.3352971153845</v>
      </c>
      <c r="F87" s="11">
        <v>206048.01218800616</v>
      </c>
      <c r="G87" s="11">
        <v>20118.088732960896</v>
      </c>
      <c r="H87" s="11">
        <v>0</v>
      </c>
      <c r="I87" s="11">
        <v>150000</v>
      </c>
      <c r="J87" s="11">
        <v>0</v>
      </c>
      <c r="K87" s="11">
        <v>21421.835999999996</v>
      </c>
      <c r="L87" s="11">
        <v>0</v>
      </c>
      <c r="M87" s="29">
        <f t="shared" si="22"/>
        <v>5585430.6444838131</v>
      </c>
      <c r="N87" s="11">
        <v>0</v>
      </c>
      <c r="O87" s="11">
        <v>0</v>
      </c>
      <c r="P87" s="29">
        <f t="shared" si="23"/>
        <v>5585430.6444838131</v>
      </c>
      <c r="Q87" s="11">
        <v>0</v>
      </c>
      <c r="R87" s="29">
        <f t="shared" si="24"/>
        <v>5585430.6444838131</v>
      </c>
      <c r="S87" s="11">
        <v>0</v>
      </c>
      <c r="U87" s="11">
        <v>11288.84</v>
      </c>
      <c r="X87" s="11">
        <v>0</v>
      </c>
      <c r="Z87" s="29">
        <f t="shared" si="25"/>
        <v>5596719.4844838129</v>
      </c>
      <c r="AB87" s="11">
        <f>SUMIF('ERS 2015-16'!B:B,B87,'ERS 2015-16'!AC:AC)</f>
        <v>0</v>
      </c>
      <c r="AG87" s="11">
        <f t="shared" si="28"/>
        <v>21421.835999999996</v>
      </c>
      <c r="AJ87" s="11">
        <f t="shared" si="26"/>
        <v>5575297.6484838128</v>
      </c>
      <c r="AK87" s="11">
        <f t="shared" si="27"/>
        <v>5596719.4844838129</v>
      </c>
    </row>
    <row r="88" spans="1:41" ht="12.75" x14ac:dyDescent="0.2">
      <c r="A88" s="9" t="s">
        <v>73</v>
      </c>
      <c r="B88" s="26">
        <v>5414</v>
      </c>
      <c r="C88" s="11">
        <v>4113277.0074239997</v>
      </c>
      <c r="D88" s="11">
        <v>234964.25042184009</v>
      </c>
      <c r="E88" s="11">
        <v>2721.8693319391632</v>
      </c>
      <c r="F88" s="11">
        <v>153111.79353339758</v>
      </c>
      <c r="G88" s="11">
        <v>42316.876423408285</v>
      </c>
      <c r="H88" s="11">
        <v>0</v>
      </c>
      <c r="I88" s="11">
        <v>150000</v>
      </c>
      <c r="J88" s="11">
        <v>0</v>
      </c>
      <c r="K88" s="11">
        <v>24841.284</v>
      </c>
      <c r="L88" s="11">
        <v>0</v>
      </c>
      <c r="M88" s="29">
        <f t="shared" si="22"/>
        <v>4721233.0811345847</v>
      </c>
      <c r="N88" s="11">
        <v>0</v>
      </c>
      <c r="O88" s="11">
        <v>0</v>
      </c>
      <c r="P88" s="29">
        <f t="shared" si="23"/>
        <v>4721233.0811345847</v>
      </c>
      <c r="Q88" s="11">
        <v>0</v>
      </c>
      <c r="R88" s="29">
        <f t="shared" si="24"/>
        <v>4721233.0811345847</v>
      </c>
      <c r="S88" s="11">
        <v>0</v>
      </c>
      <c r="T88" s="11">
        <v>207340.51</v>
      </c>
      <c r="U88" s="11">
        <v>52438.5</v>
      </c>
      <c r="X88" s="11">
        <v>0</v>
      </c>
      <c r="Z88" s="29">
        <f t="shared" si="25"/>
        <v>4981012.0911345845</v>
      </c>
      <c r="AB88" s="11">
        <f>SUMIF('ERS 2015-16'!B:B,B88,'ERS 2015-16'!AC:AC)</f>
        <v>5269.75</v>
      </c>
      <c r="AG88" s="11">
        <f t="shared" si="28"/>
        <v>24841.284</v>
      </c>
      <c r="AJ88" s="11">
        <f t="shared" si="26"/>
        <v>4950901.0571345845</v>
      </c>
      <c r="AK88" s="11">
        <f t="shared" si="27"/>
        <v>4975742.3411345845</v>
      </c>
      <c r="AN88" s="11"/>
      <c r="AO88" s="11"/>
    </row>
    <row r="89" spans="1:41" s="11" customFormat="1" ht="12.75" x14ac:dyDescent="0.2">
      <c r="A89" s="9" t="s">
        <v>1306</v>
      </c>
      <c r="B89" s="10">
        <v>4003</v>
      </c>
      <c r="C89" s="11">
        <v>832796.39040000003</v>
      </c>
      <c r="D89" s="11">
        <v>29557.33028445028</v>
      </c>
      <c r="E89" s="11">
        <v>0</v>
      </c>
      <c r="F89" s="11">
        <v>47498.276422764182</v>
      </c>
      <c r="G89" s="11">
        <v>4295.3088888888897</v>
      </c>
      <c r="H89" s="11">
        <v>0</v>
      </c>
      <c r="I89" s="11">
        <v>150000</v>
      </c>
      <c r="J89" s="11">
        <v>0</v>
      </c>
      <c r="K89" s="11">
        <v>25897.289999999994</v>
      </c>
      <c r="L89" s="11">
        <v>0</v>
      </c>
      <c r="M89" s="29">
        <f t="shared" si="22"/>
        <v>1090044.5959961035</v>
      </c>
      <c r="N89" s="11">
        <v>0</v>
      </c>
      <c r="O89" s="11">
        <v>0</v>
      </c>
      <c r="P89" s="29">
        <f t="shared" ref="P89" si="29">SUM(M89:O89)</f>
        <v>1090044.5959961035</v>
      </c>
      <c r="Q89" s="11">
        <v>0</v>
      </c>
      <c r="R89" s="29">
        <f t="shared" si="24"/>
        <v>1090044.5959961035</v>
      </c>
      <c r="S89" s="11">
        <v>0</v>
      </c>
      <c r="U89" s="11">
        <v>0</v>
      </c>
      <c r="W89" s="982"/>
      <c r="X89" s="11">
        <v>0</v>
      </c>
      <c r="Y89" s="982"/>
      <c r="Z89" s="29">
        <f t="shared" si="25"/>
        <v>1090044.5959961035</v>
      </c>
      <c r="AB89" s="11">
        <f>SUMIF('ERS 2015-16'!B:B,B89,'ERS 2015-16'!AC:AC)</f>
        <v>0</v>
      </c>
      <c r="AG89" s="11">
        <f t="shared" si="28"/>
        <v>25897.289999999994</v>
      </c>
      <c r="AJ89" s="11">
        <f t="shared" si="26"/>
        <v>1064147.3059961034</v>
      </c>
      <c r="AK89" s="11">
        <f t="shared" si="27"/>
        <v>1090044.5959961035</v>
      </c>
    </row>
    <row r="90" spans="1:41" s="11" customFormat="1" ht="12.75" x14ac:dyDescent="0.2">
      <c r="A90" s="9" t="s">
        <v>846</v>
      </c>
      <c r="B90" s="10"/>
      <c r="C90" s="1025">
        <v>0</v>
      </c>
      <c r="D90" s="1025">
        <v>0</v>
      </c>
      <c r="E90" s="1025">
        <v>0</v>
      </c>
      <c r="F90" s="1025">
        <v>0</v>
      </c>
      <c r="G90" s="1025">
        <v>0</v>
      </c>
      <c r="H90" s="1025">
        <v>0</v>
      </c>
      <c r="I90" s="1025">
        <v>0</v>
      </c>
      <c r="J90" s="1025">
        <v>0</v>
      </c>
      <c r="K90" s="1025">
        <v>0</v>
      </c>
      <c r="L90" s="1025">
        <v>0</v>
      </c>
      <c r="M90" s="1026">
        <f t="shared" si="22"/>
        <v>0</v>
      </c>
      <c r="N90" s="1025">
        <v>0</v>
      </c>
      <c r="O90" s="1025">
        <v>0</v>
      </c>
      <c r="P90" s="1026">
        <f t="shared" ref="P90:Q90" si="30">SUM(M90:O90)</f>
        <v>0</v>
      </c>
      <c r="Q90" s="1026">
        <f t="shared" si="30"/>
        <v>0</v>
      </c>
      <c r="R90" s="1026">
        <f t="shared" ref="R90" si="31">SUM(P90+Q90)</f>
        <v>0</v>
      </c>
      <c r="S90" s="1025">
        <v>0</v>
      </c>
      <c r="U90" s="1025"/>
      <c r="V90" s="1025"/>
      <c r="W90" s="1025"/>
      <c r="X90" s="1025">
        <v>0</v>
      </c>
      <c r="Y90" s="1025"/>
      <c r="Z90" s="1026">
        <f t="shared" si="25"/>
        <v>0</v>
      </c>
      <c r="AB90" s="11">
        <f>SUMIF('ERS 2015-16'!B:B,B90,'ERS 2015-16'!AC:AC)</f>
        <v>0</v>
      </c>
      <c r="AD90" s="29"/>
      <c r="AE90" s="29">
        <f>SUM(AE77:AE89)</f>
        <v>0</v>
      </c>
      <c r="AF90" s="29"/>
      <c r="AG90" s="11">
        <f t="shared" si="28"/>
        <v>0</v>
      </c>
      <c r="AH90" s="29"/>
      <c r="AJ90" s="11">
        <f t="shared" ref="AJ90:AJ91" si="32">Z90-AG90-AB90-W90</f>
        <v>0</v>
      </c>
      <c r="AK90" s="11">
        <f t="shared" ref="AK90:AK91" si="33">AJ90+AG90</f>
        <v>0</v>
      </c>
    </row>
    <row r="91" spans="1:41" s="11" customFormat="1" ht="12.75" x14ac:dyDescent="0.2">
      <c r="A91" s="9" t="s">
        <v>569</v>
      </c>
      <c r="B91" s="10">
        <v>6905</v>
      </c>
      <c r="C91" s="11">
        <v>3233718.4921599999</v>
      </c>
      <c r="D91" s="11">
        <v>342241.96397001017</v>
      </c>
      <c r="E91" s="11">
        <v>9293.3676442080377</v>
      </c>
      <c r="F91" s="11">
        <v>113954.00549313349</v>
      </c>
      <c r="G91" s="11">
        <v>45229.602599999977</v>
      </c>
      <c r="H91" s="11">
        <v>0</v>
      </c>
      <c r="I91" s="11">
        <v>150000</v>
      </c>
      <c r="J91" s="11">
        <v>0</v>
      </c>
      <c r="K91" s="11">
        <v>39977.369999999995</v>
      </c>
      <c r="L91" s="11">
        <v>0</v>
      </c>
      <c r="M91" s="29">
        <f t="shared" si="22"/>
        <v>3934414.8018673514</v>
      </c>
      <c r="N91" s="11">
        <v>0</v>
      </c>
      <c r="O91" s="11">
        <v>0</v>
      </c>
      <c r="P91" s="29">
        <f t="shared" ref="P91" si="34">SUM(M91:O91)</f>
        <v>3934414.8018673514</v>
      </c>
      <c r="Q91" s="11">
        <v>0</v>
      </c>
      <c r="R91" s="29">
        <f t="shared" ref="R91" si="35">SUM(P91+Q91)</f>
        <v>3934414.8018673514</v>
      </c>
      <c r="S91" s="11">
        <v>0</v>
      </c>
      <c r="U91" s="11">
        <v>121142.65</v>
      </c>
      <c r="W91" s="982"/>
      <c r="X91" s="11">
        <v>0</v>
      </c>
      <c r="Y91" s="982"/>
      <c r="Z91" s="29">
        <f t="shared" si="25"/>
        <v>4055557.4518673513</v>
      </c>
      <c r="AB91" s="11">
        <f>SUMIF('ERS 2015-16'!B:B,B91,'ERS 2015-16'!AC:AC)</f>
        <v>0</v>
      </c>
      <c r="AD91" s="29"/>
      <c r="AE91" s="29"/>
      <c r="AF91" s="29"/>
      <c r="AG91" s="11">
        <f t="shared" si="28"/>
        <v>39977.369999999995</v>
      </c>
      <c r="AH91" s="29"/>
      <c r="AJ91" s="11">
        <f t="shared" si="32"/>
        <v>4015580.0818673512</v>
      </c>
      <c r="AK91" s="11">
        <f t="shared" si="33"/>
        <v>4055557.4518673513</v>
      </c>
    </row>
    <row r="92" spans="1:41" s="11" customFormat="1" ht="12.75" customHeight="1" x14ac:dyDescent="0.2">
      <c r="A92" s="9"/>
      <c r="B92" s="26"/>
      <c r="R92" s="29"/>
      <c r="Z92" s="29"/>
      <c r="AB92" s="29"/>
      <c r="AD92" s="29"/>
      <c r="AE92" s="29"/>
      <c r="AF92" s="29"/>
      <c r="AG92" s="29"/>
      <c r="AH92" s="29"/>
    </row>
    <row r="93" spans="1:41" s="29" customFormat="1" ht="12.75" x14ac:dyDescent="0.2">
      <c r="A93" s="1" t="s">
        <v>115</v>
      </c>
      <c r="B93" s="24" t="s">
        <v>115</v>
      </c>
      <c r="C93" s="29">
        <f t="shared" ref="C93:Z93" si="36">SUM(C77:C92)</f>
        <v>52536702.597183995</v>
      </c>
      <c r="D93" s="29">
        <f t="shared" si="36"/>
        <v>5187779.2491823807</v>
      </c>
      <c r="E93" s="29">
        <f t="shared" si="36"/>
        <v>84558.243189635701</v>
      </c>
      <c r="F93" s="29">
        <f t="shared" si="36"/>
        <v>2836796.7749095438</v>
      </c>
      <c r="G93" s="29">
        <f t="shared" si="36"/>
        <v>945479.27120872645</v>
      </c>
      <c r="H93" s="29">
        <f t="shared" si="36"/>
        <v>0</v>
      </c>
      <c r="I93" s="29">
        <f t="shared" si="36"/>
        <v>2100000</v>
      </c>
      <c r="J93" s="29">
        <f t="shared" si="36"/>
        <v>0</v>
      </c>
      <c r="K93" s="29">
        <f t="shared" si="36"/>
        <v>438389.5259999999</v>
      </c>
      <c r="L93" s="29">
        <f t="shared" si="36"/>
        <v>747883.41999999993</v>
      </c>
      <c r="M93" s="29">
        <f t="shared" si="36"/>
        <v>64877589.081674293</v>
      </c>
      <c r="N93" s="29">
        <f t="shared" si="36"/>
        <v>104551.21458545281</v>
      </c>
      <c r="O93" s="29">
        <f t="shared" si="36"/>
        <v>0</v>
      </c>
      <c r="P93" s="29">
        <f t="shared" si="36"/>
        <v>64982140.296259739</v>
      </c>
      <c r="Q93" s="29">
        <f t="shared" si="36"/>
        <v>-316480.85000000003</v>
      </c>
      <c r="R93" s="29">
        <f t="shared" si="36"/>
        <v>64665659.446259737</v>
      </c>
      <c r="S93" s="29">
        <f t="shared" si="36"/>
        <v>0</v>
      </c>
      <c r="T93" s="29">
        <f t="shared" si="36"/>
        <v>1201920.51</v>
      </c>
      <c r="U93" s="29">
        <f t="shared" si="36"/>
        <v>658637.29000000015</v>
      </c>
      <c r="V93" s="29">
        <f t="shared" si="36"/>
        <v>0</v>
      </c>
      <c r="W93" s="29">
        <f t="shared" si="36"/>
        <v>0</v>
      </c>
      <c r="X93" s="29">
        <f t="shared" si="36"/>
        <v>0</v>
      </c>
      <c r="Y93" s="29">
        <f t="shared" si="36"/>
        <v>0</v>
      </c>
      <c r="Z93" s="29">
        <f t="shared" si="36"/>
        <v>66526217.246259741</v>
      </c>
      <c r="AA93" s="11"/>
      <c r="AB93" s="29">
        <f>SUM(AB77:AB92)</f>
        <v>108129.82500000001</v>
      </c>
      <c r="AC93" s="11"/>
      <c r="AD93" s="106"/>
      <c r="AE93" s="29">
        <f>SUM(AE77:AE92)</f>
        <v>0</v>
      </c>
      <c r="AG93" s="29">
        <f>SUM(AG77:AG92)</f>
        <v>438389.5259999999</v>
      </c>
      <c r="AI93" s="11"/>
      <c r="AJ93" s="29">
        <f t="shared" ref="AJ93:AK93" si="37">SUM(AJ77:AJ92)</f>
        <v>65979697.895259745</v>
      </c>
      <c r="AK93" s="29">
        <f t="shared" si="37"/>
        <v>66418087.421259746</v>
      </c>
      <c r="AN93" s="11"/>
      <c r="AO93" s="11"/>
    </row>
    <row r="94" spans="1:41" ht="12.75" x14ac:dyDescent="0.2">
      <c r="A94" s="1"/>
      <c r="B94" s="24"/>
      <c r="C94" s="29"/>
      <c r="D94" s="29"/>
      <c r="E94" s="29"/>
      <c r="F94" s="29"/>
      <c r="G94" s="29"/>
      <c r="H94" s="29"/>
      <c r="I94" s="29"/>
      <c r="J94" s="29"/>
      <c r="K94" s="29"/>
      <c r="L94" s="29"/>
      <c r="M94" s="29"/>
      <c r="N94" s="29"/>
      <c r="O94" s="29"/>
      <c r="P94" s="29"/>
      <c r="Q94" s="29"/>
      <c r="S94" s="29"/>
      <c r="T94" s="29"/>
      <c r="U94" s="29"/>
      <c r="V94" s="29"/>
      <c r="W94" s="29"/>
      <c r="X94" s="29"/>
      <c r="Y94" s="29"/>
      <c r="AA94" s="29"/>
      <c r="AK94" s="11">
        <f t="shared" ref="AK94" si="38">AJ94-AG94</f>
        <v>0</v>
      </c>
      <c r="AN94" s="11"/>
      <c r="AO94" s="11"/>
    </row>
    <row r="95" spans="1:41" ht="12.75" x14ac:dyDescent="0.2">
      <c r="A95" s="9" t="s">
        <v>114</v>
      </c>
      <c r="B95" s="26">
        <v>4177</v>
      </c>
      <c r="C95" s="11">
        <v>2739005.5803370001</v>
      </c>
      <c r="D95" s="11">
        <v>535205.58841569931</v>
      </c>
      <c r="E95" s="11">
        <v>13271.421642412663</v>
      </c>
      <c r="F95" s="11">
        <v>284460.0654545452</v>
      </c>
      <c r="G95" s="11">
        <v>406277.95871940942</v>
      </c>
      <c r="H95" s="11">
        <v>184569.45799558307</v>
      </c>
      <c r="I95" s="11">
        <v>150000</v>
      </c>
      <c r="J95" s="11">
        <v>0</v>
      </c>
      <c r="K95" s="11">
        <v>18806.963999999993</v>
      </c>
      <c r="L95" s="11">
        <v>0</v>
      </c>
      <c r="M95" s="29">
        <f>SUM(C95:L95)</f>
        <v>4331597.0365646491</v>
      </c>
      <c r="N95" s="11">
        <v>26721.411946430802</v>
      </c>
      <c r="O95" s="11">
        <v>0</v>
      </c>
      <c r="P95" s="29">
        <f t="shared" ref="P95" si="39">SUM(M95:O95)</f>
        <v>4358318.4485110799</v>
      </c>
      <c r="Q95" s="11">
        <v>-46471.561249999999</v>
      </c>
      <c r="R95" s="29">
        <f t="shared" ref="R95" si="40">SUM(P95+Q95)</f>
        <v>4311846.8872610796</v>
      </c>
      <c r="S95" s="11">
        <v>13365.393700787401</v>
      </c>
      <c r="T95" s="11">
        <v>683707.01</v>
      </c>
      <c r="U95" s="11">
        <v>2427.71</v>
      </c>
      <c r="X95" s="11">
        <v>26786.719400000002</v>
      </c>
      <c r="Z95" s="29">
        <f t="shared" ref="Z95" si="41">SUM(R95:Y95)</f>
        <v>5038133.720361867</v>
      </c>
      <c r="AB95" s="11">
        <v>8142</v>
      </c>
      <c r="AC95" s="29"/>
      <c r="AD95" s="29"/>
      <c r="AE95" s="29"/>
      <c r="AG95" s="11">
        <f t="shared" ref="AG95" si="42">K95</f>
        <v>18806.963999999993</v>
      </c>
      <c r="AH95" s="29"/>
      <c r="AJ95" s="11">
        <f t="shared" ref="AJ95" si="43">Z95-AG95-AB95-W95</f>
        <v>5011184.7563618673</v>
      </c>
      <c r="AK95" s="11">
        <f t="shared" ref="AK95" si="44">AJ95+AG95</f>
        <v>5029991.720361867</v>
      </c>
      <c r="AN95" s="11"/>
      <c r="AO95" s="11"/>
    </row>
    <row r="96" spans="1:41" ht="12.75" x14ac:dyDescent="0.2">
      <c r="A96" s="1"/>
      <c r="B96" s="24"/>
      <c r="C96" s="29"/>
      <c r="D96" s="29"/>
      <c r="E96" s="29"/>
      <c r="F96" s="29"/>
      <c r="G96" s="29"/>
      <c r="H96" s="29"/>
      <c r="I96" s="29"/>
      <c r="J96" s="29"/>
      <c r="K96" s="29"/>
      <c r="L96" s="29"/>
      <c r="M96" s="29"/>
      <c r="N96" s="29"/>
      <c r="O96" s="29"/>
      <c r="P96" s="29"/>
      <c r="Q96" s="29"/>
      <c r="S96" s="29"/>
      <c r="T96" s="29"/>
      <c r="U96" s="29"/>
      <c r="V96" s="29"/>
      <c r="W96" s="29"/>
      <c r="X96" s="29"/>
      <c r="Y96" s="29"/>
      <c r="AJ96" s="11">
        <f>Z94-AG96-AB96-W94</f>
        <v>0</v>
      </c>
      <c r="AN96" s="11"/>
      <c r="AO96" s="11"/>
    </row>
    <row r="97" spans="1:41" ht="12.75" x14ac:dyDescent="0.2">
      <c r="A97" s="1" t="s">
        <v>848</v>
      </c>
      <c r="B97" s="1" t="s">
        <v>849</v>
      </c>
      <c r="C97" s="29">
        <f>C95</f>
        <v>2739005.5803370001</v>
      </c>
      <c r="D97" s="29">
        <f t="shared" ref="D97:AB97" si="45">D95</f>
        <v>535205.58841569931</v>
      </c>
      <c r="E97" s="29">
        <f t="shared" si="45"/>
        <v>13271.421642412663</v>
      </c>
      <c r="F97" s="29">
        <f t="shared" si="45"/>
        <v>284460.0654545452</v>
      </c>
      <c r="G97" s="29">
        <f t="shared" si="45"/>
        <v>406277.95871940942</v>
      </c>
      <c r="H97" s="29">
        <f t="shared" si="45"/>
        <v>184569.45799558307</v>
      </c>
      <c r="I97" s="29">
        <f t="shared" si="45"/>
        <v>150000</v>
      </c>
      <c r="J97" s="29">
        <f t="shared" si="45"/>
        <v>0</v>
      </c>
      <c r="K97" s="29">
        <f t="shared" si="45"/>
        <v>18806.963999999993</v>
      </c>
      <c r="L97" s="29">
        <f t="shared" si="45"/>
        <v>0</v>
      </c>
      <c r="M97" s="29">
        <f t="shared" si="45"/>
        <v>4331597.0365646491</v>
      </c>
      <c r="N97" s="29">
        <f t="shared" si="45"/>
        <v>26721.411946430802</v>
      </c>
      <c r="O97" s="29">
        <f t="shared" si="45"/>
        <v>0</v>
      </c>
      <c r="P97" s="29">
        <f t="shared" si="45"/>
        <v>4358318.4485110799</v>
      </c>
      <c r="Q97" s="29">
        <f t="shared" si="45"/>
        <v>-46471.561249999999</v>
      </c>
      <c r="R97" s="29">
        <f t="shared" si="45"/>
        <v>4311846.8872610796</v>
      </c>
      <c r="S97" s="29">
        <f t="shared" si="45"/>
        <v>13365.393700787401</v>
      </c>
      <c r="T97" s="29">
        <f t="shared" si="45"/>
        <v>683707.01</v>
      </c>
      <c r="U97" s="29">
        <f t="shared" si="45"/>
        <v>2427.71</v>
      </c>
      <c r="V97" s="29">
        <f t="shared" si="45"/>
        <v>0</v>
      </c>
      <c r="W97" s="29">
        <f t="shared" si="45"/>
        <v>0</v>
      </c>
      <c r="X97" s="29">
        <f t="shared" si="45"/>
        <v>26786.719400000002</v>
      </c>
      <c r="Y97" s="29">
        <f t="shared" si="45"/>
        <v>0</v>
      </c>
      <c r="Z97" s="29">
        <f t="shared" si="45"/>
        <v>5038133.720361867</v>
      </c>
      <c r="AB97" s="29">
        <f t="shared" si="45"/>
        <v>8142</v>
      </c>
      <c r="AG97" s="29">
        <f t="shared" ref="AG97:AK97" si="46">AG95</f>
        <v>18806.963999999993</v>
      </c>
      <c r="AH97" s="29">
        <f t="shared" si="46"/>
        <v>0</v>
      </c>
      <c r="AI97" s="29">
        <f t="shared" si="46"/>
        <v>0</v>
      </c>
      <c r="AJ97" s="29">
        <f t="shared" si="46"/>
        <v>5011184.7563618673</v>
      </c>
      <c r="AK97" s="29">
        <f t="shared" si="46"/>
        <v>5029991.720361867</v>
      </c>
      <c r="AN97" s="11"/>
      <c r="AO97" s="11"/>
    </row>
    <row r="98" spans="1:41" ht="12.75" x14ac:dyDescent="0.2">
      <c r="A98" s="1"/>
      <c r="B98" s="1"/>
      <c r="C98" s="29"/>
      <c r="D98" s="29"/>
      <c r="E98" s="29"/>
      <c r="F98" s="29"/>
      <c r="G98" s="29"/>
      <c r="H98" s="29"/>
      <c r="I98" s="29"/>
      <c r="J98" s="29"/>
      <c r="K98" s="29"/>
      <c r="L98" s="29"/>
      <c r="M98" s="29"/>
      <c r="N98" s="29"/>
      <c r="O98" s="29"/>
      <c r="P98" s="29"/>
      <c r="Q98" s="29"/>
      <c r="S98" s="29"/>
      <c r="T98" s="29"/>
      <c r="U98" s="29"/>
      <c r="V98" s="29"/>
      <c r="W98" s="29"/>
      <c r="X98" s="29"/>
      <c r="Y98" s="29"/>
      <c r="AB98" s="29"/>
      <c r="AG98" s="29"/>
      <c r="AH98" s="29"/>
      <c r="AI98" s="29"/>
      <c r="AJ98" s="29"/>
      <c r="AK98" s="29"/>
      <c r="AN98" s="11"/>
      <c r="AO98" s="11"/>
    </row>
    <row r="99" spans="1:41" ht="12.75" x14ac:dyDescent="0.2">
      <c r="A99" s="1" t="s">
        <v>1455</v>
      </c>
      <c r="B99" s="1"/>
      <c r="C99" s="29"/>
      <c r="D99" s="29"/>
      <c r="E99" s="29"/>
      <c r="F99" s="29"/>
      <c r="G99" s="29"/>
      <c r="H99" s="29"/>
      <c r="I99" s="29"/>
      <c r="J99" s="29"/>
      <c r="K99" s="29"/>
      <c r="L99" s="29"/>
      <c r="M99" s="29"/>
      <c r="N99" s="29"/>
      <c r="O99" s="29"/>
      <c r="P99" s="29"/>
      <c r="Q99" s="29"/>
      <c r="S99" s="29"/>
      <c r="T99" s="29"/>
      <c r="U99" s="29"/>
      <c r="V99" s="29"/>
      <c r="W99" s="29"/>
      <c r="X99" s="29"/>
      <c r="Y99" s="29"/>
      <c r="AB99" s="29"/>
      <c r="AG99" s="29"/>
      <c r="AH99" s="29"/>
      <c r="AI99" s="29"/>
      <c r="AJ99" s="29"/>
      <c r="AK99" s="29"/>
      <c r="AN99" s="11"/>
      <c r="AO99" s="11"/>
    </row>
    <row r="100" spans="1:41" ht="12.75" x14ac:dyDescent="0.2">
      <c r="A100" s="1"/>
      <c r="B100" s="26"/>
      <c r="AB100" s="11">
        <f>SUMIF('ERS 2015-16'!B:B,B96,'ERS 2015-16'!AC:AC)</f>
        <v>0</v>
      </c>
      <c r="AK100" s="11"/>
      <c r="AN100" s="11"/>
      <c r="AO100" s="11"/>
    </row>
    <row r="101" spans="1:41" ht="15" x14ac:dyDescent="0.25">
      <c r="A101" s="1027"/>
      <c r="B101" s="1028"/>
      <c r="C101" s="106">
        <f>SUM(C93+C75+C97)</f>
        <v>114361702.05262835</v>
      </c>
      <c r="D101" s="106">
        <f t="shared" ref="D101:AB101" si="47">SUM(D93+D75+D97)</f>
        <v>17403732.784836918</v>
      </c>
      <c r="E101" s="106">
        <f>SUM(E93+E75+E97)</f>
        <v>190248.24839585926</v>
      </c>
      <c r="F101" s="106">
        <f>SUM(F93+F75+F97)</f>
        <v>3121256.8403640892</v>
      </c>
      <c r="G101" s="106">
        <f t="shared" si="47"/>
        <v>4383843.5868403465</v>
      </c>
      <c r="H101" s="106">
        <f t="shared" si="47"/>
        <v>602146.67489330529</v>
      </c>
      <c r="I101" s="106">
        <f t="shared" si="47"/>
        <v>9450000</v>
      </c>
      <c r="J101" s="106">
        <f t="shared" si="47"/>
        <v>0</v>
      </c>
      <c r="K101" s="106">
        <f t="shared" si="47"/>
        <v>1510744.3551999996</v>
      </c>
      <c r="L101" s="106">
        <f t="shared" si="47"/>
        <v>1044821.0899999999</v>
      </c>
      <c r="M101" s="106">
        <f t="shared" si="47"/>
        <v>152068495.63315886</v>
      </c>
      <c r="N101" s="106">
        <f t="shared" si="47"/>
        <v>990088.00189070252</v>
      </c>
      <c r="O101" s="106">
        <f t="shared" si="47"/>
        <v>0</v>
      </c>
      <c r="P101" s="106">
        <f>SUM(P93+P75+P97)</f>
        <v>153058583.63504958</v>
      </c>
      <c r="Q101" s="106">
        <f t="shared" si="47"/>
        <v>-1711566.7004166665</v>
      </c>
      <c r="R101" s="106">
        <f t="shared" si="47"/>
        <v>151347016.93463287</v>
      </c>
      <c r="S101" s="106">
        <f t="shared" si="47"/>
        <v>1338270</v>
      </c>
      <c r="T101" s="106">
        <f t="shared" si="47"/>
        <v>4341356.2749999994</v>
      </c>
      <c r="U101" s="106">
        <f t="shared" si="47"/>
        <v>1966120.1350000002</v>
      </c>
      <c r="V101" s="106">
        <f t="shared" si="47"/>
        <v>0</v>
      </c>
      <c r="W101" s="106">
        <f>SUM(W93+W75+W97)</f>
        <v>0</v>
      </c>
      <c r="X101" s="106">
        <f t="shared" si="47"/>
        <v>4112808.6277195895</v>
      </c>
      <c r="Y101" s="106">
        <f t="shared" si="47"/>
        <v>0</v>
      </c>
      <c r="Z101" s="106">
        <f t="shared" si="47"/>
        <v>163105571.9723525</v>
      </c>
      <c r="AB101" s="106">
        <f t="shared" si="47"/>
        <v>173085.64</v>
      </c>
      <c r="AG101" s="106">
        <f t="shared" ref="AG101" si="48">SUM(AG93+AG75+AG97)</f>
        <v>1510744.3551999996</v>
      </c>
      <c r="AJ101" s="106">
        <f>SUM(AJ93+AJ75+AJ97+AJ99)</f>
        <v>161421741.9771525</v>
      </c>
      <c r="AK101" s="106">
        <f>SUM(AK93+AK75+AK97+AK99)</f>
        <v>162932486.33235249</v>
      </c>
      <c r="AN101" s="11"/>
      <c r="AO101" s="11"/>
    </row>
    <row r="102" spans="1:41" ht="12.75" x14ac:dyDescent="0.2">
      <c r="A102" s="30" t="s">
        <v>1215</v>
      </c>
      <c r="C102" s="11">
        <f>C101-C91-C90-C73</f>
        <v>110560446.83655834</v>
      </c>
      <c r="D102" s="11">
        <f t="shared" ref="D102:Z102" si="49">D101-D91-D90-D73</f>
        <v>16930309.691187389</v>
      </c>
      <c r="E102" s="11">
        <f t="shared" si="49"/>
        <v>180954.88075165122</v>
      </c>
      <c r="F102" s="11">
        <f t="shared" si="49"/>
        <v>3007302.8348709559</v>
      </c>
      <c r="G102" s="11">
        <f t="shared" si="49"/>
        <v>4214494.3808385609</v>
      </c>
      <c r="H102" s="11">
        <f t="shared" si="49"/>
        <v>574690.36216603254</v>
      </c>
      <c r="I102" s="11">
        <f t="shared" si="49"/>
        <v>9200000</v>
      </c>
      <c r="J102" s="11">
        <f t="shared" si="49"/>
        <v>0</v>
      </c>
      <c r="K102" s="11">
        <f t="shared" si="49"/>
        <v>1456688.8771999995</v>
      </c>
      <c r="L102" s="11">
        <f t="shared" si="49"/>
        <v>1044821.0899999999</v>
      </c>
      <c r="M102" s="11">
        <f t="shared" si="49"/>
        <v>147169708.95357293</v>
      </c>
      <c r="N102" s="11">
        <f t="shared" si="49"/>
        <v>990088.00189070252</v>
      </c>
      <c r="O102" s="11">
        <f t="shared" si="49"/>
        <v>0</v>
      </c>
      <c r="P102" s="11">
        <f t="shared" si="49"/>
        <v>148159796.95546365</v>
      </c>
      <c r="Q102" s="11">
        <f t="shared" si="49"/>
        <v>-1711566.7004166665</v>
      </c>
      <c r="R102" s="11">
        <f t="shared" si="49"/>
        <v>146448230.25504693</v>
      </c>
      <c r="S102" s="11">
        <f t="shared" si="49"/>
        <v>1333270</v>
      </c>
      <c r="T102" s="11">
        <f t="shared" si="49"/>
        <v>4341356.2749999994</v>
      </c>
      <c r="U102" s="11">
        <f t="shared" si="49"/>
        <v>1844977.4850000003</v>
      </c>
      <c r="V102" s="11">
        <f t="shared" si="49"/>
        <v>0</v>
      </c>
      <c r="W102" s="11">
        <f t="shared" si="49"/>
        <v>0</v>
      </c>
      <c r="X102" s="11">
        <f t="shared" si="49"/>
        <v>4112808.6277195895</v>
      </c>
      <c r="Y102" s="11">
        <f t="shared" si="49"/>
        <v>0</v>
      </c>
      <c r="Z102" s="11">
        <f t="shared" si="49"/>
        <v>158080642.64276659</v>
      </c>
      <c r="AB102" s="11">
        <f>SUMIF('ERS 2015-16'!B:B,B100,'ERS 2015-16'!AC:AC)</f>
        <v>0</v>
      </c>
      <c r="AK102" s="11"/>
      <c r="AN102" s="11"/>
      <c r="AO102" s="11"/>
    </row>
    <row r="103" spans="1:41" ht="12.75" x14ac:dyDescent="0.2">
      <c r="A103" s="30" t="s">
        <v>1216</v>
      </c>
      <c r="C103" s="11">
        <f>C101-C90-C73</f>
        <v>113794165.32871835</v>
      </c>
      <c r="D103" s="11">
        <f t="shared" ref="D103:Z103" si="50">D101-D90-D73</f>
        <v>17272551.655157398</v>
      </c>
      <c r="E103" s="11">
        <f t="shared" si="50"/>
        <v>190248.24839585926</v>
      </c>
      <c r="F103" s="11">
        <f t="shared" si="50"/>
        <v>3121256.8403640892</v>
      </c>
      <c r="G103" s="11">
        <f t="shared" si="50"/>
        <v>4259723.9834385607</v>
      </c>
      <c r="H103" s="11">
        <f t="shared" si="50"/>
        <v>574690.36216603254</v>
      </c>
      <c r="I103" s="11">
        <f t="shared" si="50"/>
        <v>9350000</v>
      </c>
      <c r="J103" s="11">
        <f t="shared" si="50"/>
        <v>0</v>
      </c>
      <c r="K103" s="11">
        <f t="shared" si="50"/>
        <v>1496666.2471999996</v>
      </c>
      <c r="L103" s="11">
        <f t="shared" si="50"/>
        <v>1044821.0899999999</v>
      </c>
      <c r="M103" s="11">
        <f t="shared" si="50"/>
        <v>151104123.75544029</v>
      </c>
      <c r="N103" s="11">
        <f t="shared" si="50"/>
        <v>990088.00189070252</v>
      </c>
      <c r="O103" s="11">
        <f t="shared" si="50"/>
        <v>0</v>
      </c>
      <c r="P103" s="11">
        <f t="shared" si="50"/>
        <v>152094211.75733101</v>
      </c>
      <c r="Q103" s="11">
        <f t="shared" si="50"/>
        <v>-1711566.7004166665</v>
      </c>
      <c r="R103" s="11">
        <f t="shared" si="50"/>
        <v>150382645.0569143</v>
      </c>
      <c r="S103" s="11">
        <f t="shared" si="50"/>
        <v>1333270</v>
      </c>
      <c r="T103" s="11">
        <f t="shared" si="50"/>
        <v>4341356.2749999994</v>
      </c>
      <c r="U103" s="11">
        <f t="shared" si="50"/>
        <v>1966120.1350000002</v>
      </c>
      <c r="V103" s="11">
        <f t="shared" si="50"/>
        <v>0</v>
      </c>
      <c r="W103" s="11">
        <f t="shared" si="50"/>
        <v>0</v>
      </c>
      <c r="X103" s="11">
        <f t="shared" si="50"/>
        <v>4112808.6277195895</v>
      </c>
      <c r="Y103" s="11">
        <f t="shared" si="50"/>
        <v>0</v>
      </c>
      <c r="Z103" s="11">
        <f t="shared" si="50"/>
        <v>162136200.09463394</v>
      </c>
      <c r="AB103" s="11">
        <f>SUMIF('ERS 2015-16'!B:B,B101,'ERS 2015-16'!AC:AC)</f>
        <v>0</v>
      </c>
      <c r="AK103" s="11"/>
      <c r="AN103" s="11"/>
      <c r="AO103" s="11"/>
    </row>
    <row r="104" spans="1:41" ht="12.75" x14ac:dyDescent="0.2">
      <c r="AB104" s="11">
        <f>SUMIF('ERS 2015-16'!B:B,B102,'ERS 2015-16'!AC:AC)</f>
        <v>0</v>
      </c>
      <c r="AK104" s="11"/>
      <c r="AN104" s="11"/>
      <c r="AO104" s="11"/>
    </row>
    <row r="105" spans="1:41" ht="12.75" x14ac:dyDescent="0.2">
      <c r="A105" s="30" t="s">
        <v>1217</v>
      </c>
      <c r="B105" s="22" t="s">
        <v>0</v>
      </c>
      <c r="C105" s="11">
        <v>51387765.383024983</v>
      </c>
      <c r="D105" s="11">
        <v>12284856.175037136</v>
      </c>
      <c r="E105" s="11">
        <v>119272.27144706488</v>
      </c>
      <c r="F105" s="11">
        <v>0</v>
      </c>
      <c r="G105" s="11">
        <v>2510314.1532008522</v>
      </c>
      <c r="H105" s="11">
        <v>373508.14497325814</v>
      </c>
      <c r="I105" s="11">
        <v>7070000</v>
      </c>
      <c r="J105" s="11">
        <v>0</v>
      </c>
      <c r="K105" s="11">
        <v>1282074.31</v>
      </c>
      <c r="L105" s="11">
        <v>287616</v>
      </c>
      <c r="M105" s="11">
        <v>75315406.437683284</v>
      </c>
      <c r="N105" s="11">
        <v>2873233.5408003968</v>
      </c>
      <c r="O105" s="11">
        <v>-102339.19064193992</v>
      </c>
      <c r="P105" s="11">
        <v>77979460.439716801</v>
      </c>
      <c r="Q105" s="11">
        <v>1764253.8076640107</v>
      </c>
      <c r="AB105" s="11">
        <f>SUMIF('ERS 2015-16'!B:B,B103,'ERS 2015-16'!AC:AC)</f>
        <v>0</v>
      </c>
      <c r="AK105" s="11"/>
      <c r="AN105" s="11"/>
      <c r="AO105" s="11"/>
    </row>
    <row r="106" spans="1:41" ht="12.75" x14ac:dyDescent="0.2">
      <c r="A106" s="30" t="s">
        <v>1217</v>
      </c>
      <c r="B106" s="22" t="s">
        <v>1</v>
      </c>
      <c r="C106" s="11">
        <v>47295818.83600001</v>
      </c>
      <c r="D106" s="11">
        <v>5457282.2166356398</v>
      </c>
      <c r="E106" s="11">
        <v>86649.552631025595</v>
      </c>
      <c r="F106" s="11">
        <v>3201102.2855521487</v>
      </c>
      <c r="G106" s="11">
        <v>1153689.5260409759</v>
      </c>
      <c r="H106" s="11">
        <v>104285.58609161468</v>
      </c>
      <c r="I106" s="11">
        <v>1950000</v>
      </c>
      <c r="J106" s="11">
        <v>19329.921551105632</v>
      </c>
      <c r="K106" s="11">
        <v>477812.18999999994</v>
      </c>
      <c r="L106" s="11">
        <v>723445</v>
      </c>
      <c r="M106" s="11">
        <v>60469415.114502527</v>
      </c>
      <c r="N106" s="11">
        <v>1091344.2082203599</v>
      </c>
      <c r="O106" s="11">
        <v>-107709.9478688448</v>
      </c>
      <c r="P106" s="11">
        <v>61559889.722979039</v>
      </c>
      <c r="Q106" s="11">
        <f>Q105+Q101</f>
        <v>52687.107247344218</v>
      </c>
      <c r="AB106" s="11">
        <f>SUMIF('ERS 2015-16'!B:B,B104,'ERS 2015-16'!AC:AC)</f>
        <v>0</v>
      </c>
      <c r="AK106" s="11"/>
      <c r="AN106" s="11"/>
      <c r="AO106" s="11"/>
    </row>
    <row r="107" spans="1:41" ht="12.75" x14ac:dyDescent="0.2">
      <c r="C107" s="992">
        <f>C105+C106</f>
        <v>98683584.219024986</v>
      </c>
      <c r="D107" s="992">
        <f t="shared" ref="D107:P107" si="51">D105+D106</f>
        <v>17742138.391672775</v>
      </c>
      <c r="E107" s="992">
        <f t="shared" si="51"/>
        <v>205921.82407809049</v>
      </c>
      <c r="F107" s="992">
        <f t="shared" si="51"/>
        <v>3201102.2855521487</v>
      </c>
      <c r="G107" s="992">
        <f t="shared" si="51"/>
        <v>3664003.6792418282</v>
      </c>
      <c r="H107" s="992">
        <f t="shared" si="51"/>
        <v>477793.73106487282</v>
      </c>
      <c r="I107" s="992">
        <f t="shared" si="51"/>
        <v>9020000</v>
      </c>
      <c r="J107" s="992">
        <f t="shared" si="51"/>
        <v>19329.921551105632</v>
      </c>
      <c r="K107" s="992">
        <f t="shared" si="51"/>
        <v>1759886.5</v>
      </c>
      <c r="L107" s="992">
        <f t="shared" si="51"/>
        <v>1011061</v>
      </c>
      <c r="M107" s="992">
        <f t="shared" si="51"/>
        <v>135784821.5521858</v>
      </c>
      <c r="N107" s="992">
        <f t="shared" si="51"/>
        <v>3964577.7490207567</v>
      </c>
      <c r="O107" s="992">
        <f t="shared" si="51"/>
        <v>-210049.13851078472</v>
      </c>
      <c r="P107" s="992">
        <f t="shared" si="51"/>
        <v>139539350.16269583</v>
      </c>
      <c r="AA107" s="29"/>
      <c r="AN107" s="11"/>
      <c r="AO107" s="11"/>
    </row>
    <row r="108" spans="1:41" ht="12.75" x14ac:dyDescent="0.2">
      <c r="B108" s="22" t="s">
        <v>1218</v>
      </c>
      <c r="C108" s="23"/>
      <c r="D108" s="23"/>
      <c r="E108" s="23"/>
      <c r="F108" s="23"/>
      <c r="G108" s="23"/>
      <c r="H108" s="23"/>
      <c r="I108" s="23">
        <v>-70000</v>
      </c>
      <c r="J108" s="23"/>
      <c r="K108" s="23"/>
      <c r="L108" s="23"/>
      <c r="M108" s="23">
        <v>-70000</v>
      </c>
      <c r="P108" s="23">
        <f t="shared" ref="P108:P113" si="52">SUM(M108:O108)</f>
        <v>-70000</v>
      </c>
      <c r="AB108" s="29">
        <f>SUM(AB97:AB107)</f>
        <v>181227.64</v>
      </c>
      <c r="AC108" s="29"/>
      <c r="AE108" s="29"/>
      <c r="AF108" s="29"/>
      <c r="AG108" s="29"/>
      <c r="AH108" s="29"/>
      <c r="AJ108" s="29"/>
      <c r="AK108" s="29"/>
      <c r="AN108" s="11"/>
      <c r="AO108" s="11"/>
    </row>
    <row r="109" spans="1:41" ht="12.75" x14ac:dyDescent="0.2">
      <c r="B109" s="22" t="s">
        <v>1219</v>
      </c>
      <c r="C109" s="23">
        <v>54946</v>
      </c>
      <c r="D109" s="23">
        <v>58483</v>
      </c>
      <c r="E109" s="23">
        <v>-3766</v>
      </c>
      <c r="F109" s="23"/>
      <c r="G109" s="23">
        <v>17538</v>
      </c>
      <c r="H109" s="23">
        <v>487</v>
      </c>
      <c r="I109" s="23"/>
      <c r="J109" s="23"/>
      <c r="K109" s="23"/>
      <c r="L109" s="23"/>
      <c r="M109" s="23">
        <v>135220</v>
      </c>
      <c r="N109" s="11">
        <v>-62164</v>
      </c>
      <c r="P109" s="23">
        <f t="shared" si="52"/>
        <v>73056</v>
      </c>
      <c r="AN109" s="11"/>
      <c r="AO109" s="11"/>
    </row>
    <row r="110" spans="1:41" ht="12.75" x14ac:dyDescent="0.2">
      <c r="B110" s="22" t="s">
        <v>1220</v>
      </c>
      <c r="C110" s="23"/>
      <c r="D110" s="23"/>
      <c r="E110" s="23"/>
      <c r="F110" s="23"/>
      <c r="G110" s="23"/>
      <c r="H110" s="23"/>
      <c r="I110" s="23"/>
      <c r="J110" s="23"/>
      <c r="K110" s="23"/>
      <c r="L110" s="23"/>
      <c r="M110" s="23"/>
      <c r="N110" s="11">
        <v>145062.89054462221</v>
      </c>
      <c r="P110" s="23">
        <f t="shared" si="52"/>
        <v>145062.89054462221</v>
      </c>
      <c r="AN110" s="11"/>
      <c r="AO110" s="11"/>
    </row>
    <row r="111" spans="1:41" ht="12.75" x14ac:dyDescent="0.2">
      <c r="B111" s="22" t="s">
        <v>1221</v>
      </c>
      <c r="C111" s="23"/>
      <c r="D111" s="23"/>
      <c r="E111" s="23"/>
      <c r="F111" s="23"/>
      <c r="G111" s="23"/>
      <c r="H111" s="23"/>
      <c r="I111" s="23"/>
      <c r="J111" s="23"/>
      <c r="K111" s="23"/>
      <c r="L111" s="23"/>
      <c r="M111" s="23"/>
      <c r="N111" s="11">
        <v>-935335.42789278924</v>
      </c>
      <c r="O111" s="11">
        <v>210049</v>
      </c>
      <c r="P111" s="23">
        <f t="shared" si="52"/>
        <v>-725286.42789278924</v>
      </c>
      <c r="AN111" s="11"/>
      <c r="AO111" s="11"/>
    </row>
    <row r="112" spans="1:41" ht="12.75" x14ac:dyDescent="0.2">
      <c r="A112" s="30">
        <v>146160618</v>
      </c>
      <c r="B112" s="22" t="s">
        <v>1222</v>
      </c>
      <c r="C112" s="11">
        <f t="shared" ref="C112:M112" si="53">C91</f>
        <v>3233718.4921599999</v>
      </c>
      <c r="D112" s="11">
        <f t="shared" si="53"/>
        <v>342241.96397001017</v>
      </c>
      <c r="E112" s="11">
        <f t="shared" si="53"/>
        <v>9293.3676442080377</v>
      </c>
      <c r="F112" s="11">
        <f t="shared" si="53"/>
        <v>113954.00549313349</v>
      </c>
      <c r="G112" s="11">
        <f t="shared" si="53"/>
        <v>45229.602599999977</v>
      </c>
      <c r="H112" s="11">
        <f t="shared" si="53"/>
        <v>0</v>
      </c>
      <c r="I112" s="11">
        <f t="shared" si="53"/>
        <v>150000</v>
      </c>
      <c r="J112" s="11">
        <f t="shared" si="53"/>
        <v>0</v>
      </c>
      <c r="K112" s="11">
        <f t="shared" si="53"/>
        <v>39977.369999999995</v>
      </c>
      <c r="L112" s="11">
        <f t="shared" si="53"/>
        <v>0</v>
      </c>
      <c r="M112" s="11">
        <f t="shared" si="53"/>
        <v>3934414.8018673514</v>
      </c>
      <c r="P112" s="23">
        <f t="shared" si="52"/>
        <v>3934414.8018673514</v>
      </c>
      <c r="AN112" s="11"/>
      <c r="AO112" s="11"/>
    </row>
    <row r="113" spans="1:41" ht="12.75" x14ac:dyDescent="0.2">
      <c r="A113" s="11">
        <f>A112-P101</f>
        <v>-6897965.6350495815</v>
      </c>
      <c r="B113" s="22" t="s">
        <v>1223</v>
      </c>
      <c r="C113" s="11">
        <f t="shared" ref="C113:M113" si="54">C73+C90</f>
        <v>567536.72390999994</v>
      </c>
      <c r="D113" s="11">
        <f t="shared" si="54"/>
        <v>131181.12967952073</v>
      </c>
      <c r="E113" s="11">
        <f t="shared" si="54"/>
        <v>0</v>
      </c>
      <c r="F113" s="11">
        <f t="shared" si="54"/>
        <v>0</v>
      </c>
      <c r="G113" s="11">
        <f t="shared" si="54"/>
        <v>124119.60340178579</v>
      </c>
      <c r="H113" s="11">
        <f t="shared" si="54"/>
        <v>27456.312727272707</v>
      </c>
      <c r="I113" s="11">
        <f t="shared" si="54"/>
        <v>100000</v>
      </c>
      <c r="J113" s="11">
        <f t="shared" si="54"/>
        <v>0</v>
      </c>
      <c r="K113" s="11">
        <f t="shared" si="54"/>
        <v>14078.108</v>
      </c>
      <c r="L113" s="11">
        <f t="shared" si="54"/>
        <v>0</v>
      </c>
      <c r="M113" s="11">
        <f t="shared" si="54"/>
        <v>964371.87771857926</v>
      </c>
      <c r="P113" s="23">
        <f t="shared" si="52"/>
        <v>964371.87771857926</v>
      </c>
      <c r="AN113" s="11"/>
      <c r="AO113" s="11"/>
    </row>
    <row r="114" spans="1:41" ht="12.75" x14ac:dyDescent="0.2">
      <c r="A114" s="11">
        <f>2842951-N101</f>
        <v>1852862.9981092974</v>
      </c>
      <c r="AN114" s="11"/>
      <c r="AO114" s="11"/>
    </row>
    <row r="115" spans="1:41" ht="12.75" x14ac:dyDescent="0.2">
      <c r="A115" s="30" t="s">
        <v>1224</v>
      </c>
      <c r="AN115" s="11"/>
      <c r="AO115" s="11"/>
    </row>
    <row r="116" spans="1:41" ht="15" x14ac:dyDescent="0.25">
      <c r="A116" s="1" t="s">
        <v>1225</v>
      </c>
      <c r="B116" s="39"/>
      <c r="C116" s="29">
        <v>102432550.470725</v>
      </c>
      <c r="D116" s="29">
        <v>18287293.35276008</v>
      </c>
      <c r="E116" s="29">
        <v>215383.15736899956</v>
      </c>
      <c r="F116" s="29">
        <v>3338770.4424793012</v>
      </c>
      <c r="G116" s="29">
        <v>3743898.1994418278</v>
      </c>
      <c r="H116" s="29">
        <v>492189.89106487279</v>
      </c>
      <c r="I116" s="29">
        <v>9200000</v>
      </c>
      <c r="J116" s="29">
        <v>19329.921551105632</v>
      </c>
      <c r="K116" s="29">
        <v>1759886.5</v>
      </c>
      <c r="L116" s="29">
        <v>1011061</v>
      </c>
      <c r="M116" s="29">
        <v>140500362.93539119</v>
      </c>
      <c r="N116" s="29">
        <v>3174305.2116725896</v>
      </c>
      <c r="O116" s="29">
        <v>0</v>
      </c>
      <c r="P116" s="29">
        <v>143674668.14706379</v>
      </c>
      <c r="Q116" s="29">
        <v>-1761948.141281042</v>
      </c>
      <c r="R116" s="29">
        <v>141912720.00578275</v>
      </c>
      <c r="S116" s="29">
        <v>1338091</v>
      </c>
      <c r="T116" s="29">
        <v>4303784.5600000005</v>
      </c>
      <c r="U116" s="29">
        <v>1301218</v>
      </c>
      <c r="V116" s="29">
        <v>53057</v>
      </c>
      <c r="W116" s="29">
        <v>4754155</v>
      </c>
      <c r="X116" s="29">
        <v>4359597.3396683987</v>
      </c>
      <c r="Y116" s="29">
        <v>300645</v>
      </c>
      <c r="Z116" s="29">
        <v>158323267.90545115</v>
      </c>
      <c r="AJ116" s="11">
        <f>AJ389</f>
        <v>31453.745268374998</v>
      </c>
      <c r="AK116" s="11">
        <f>Z114</f>
        <v>0</v>
      </c>
      <c r="AN116" s="11"/>
      <c r="AO116" s="11"/>
    </row>
    <row r="117" spans="1:41" ht="12.75" x14ac:dyDescent="0.2">
      <c r="R117" s="29">
        <f>R12+R14+R31+R40+R62+R65+R73+R77+R80+R82+R85+R86+R87+R88+R90+R91</f>
        <v>45840760.847665489</v>
      </c>
      <c r="AJ117" s="11">
        <f>Z115</f>
        <v>0</v>
      </c>
      <c r="AK117" s="11">
        <f>Z115</f>
        <v>0</v>
      </c>
      <c r="AN117" s="11"/>
      <c r="AO117" s="11"/>
    </row>
    <row r="118" spans="1:41" ht="12.75" x14ac:dyDescent="0.2">
      <c r="P118" s="29">
        <v>143372347</v>
      </c>
      <c r="S118" s="11" t="s">
        <v>1226</v>
      </c>
      <c r="AN118" s="11"/>
      <c r="AO118" s="11"/>
    </row>
    <row r="119" spans="1:41" ht="12.75" x14ac:dyDescent="0.2">
      <c r="R119" s="29">
        <f>R118-R117</f>
        <v>-45840760.847665489</v>
      </c>
      <c r="AN119" s="11"/>
      <c r="AO119" s="11"/>
    </row>
    <row r="120" spans="1:41" ht="12.75" x14ac:dyDescent="0.2">
      <c r="AA120" s="107">
        <f>AA107+AA92+AA94</f>
        <v>0</v>
      </c>
      <c r="AN120" s="11"/>
      <c r="AO120" s="11"/>
    </row>
    <row r="121" spans="1:41" ht="12.75" x14ac:dyDescent="0.2">
      <c r="B121" s="22" t="s">
        <v>1227</v>
      </c>
      <c r="C121" s="11">
        <v>114361702.05262834</v>
      </c>
      <c r="D121" s="11">
        <v>17403732.784836918</v>
      </c>
      <c r="E121" s="11">
        <v>190248.24839585926</v>
      </c>
      <c r="F121" s="11">
        <v>3121256.8403640892</v>
      </c>
      <c r="G121" s="11">
        <v>4383843.5868403465</v>
      </c>
      <c r="H121" s="11">
        <v>602146.67489330529</v>
      </c>
      <c r="I121" s="11">
        <v>9450000</v>
      </c>
      <c r="J121" s="11">
        <v>0</v>
      </c>
      <c r="K121" s="11">
        <v>1510744.3551999996</v>
      </c>
      <c r="L121" s="11">
        <v>1044821.0899999999</v>
      </c>
      <c r="M121" s="11">
        <f>SUM(C121:L121)</f>
        <v>152068495.63315889</v>
      </c>
      <c r="N121" s="11">
        <f>N101</f>
        <v>990088.00189070252</v>
      </c>
      <c r="P121" s="11">
        <f>P101</f>
        <v>153058583.63504958</v>
      </c>
      <c r="AB121" s="107">
        <f>AB108+AB93+AB95</f>
        <v>297499.46500000003</v>
      </c>
      <c r="AC121" s="107">
        <f>AC108+AC93+AC95</f>
        <v>0</v>
      </c>
      <c r="AD121" s="107">
        <f>AD108+AD93+AD95</f>
        <v>0</v>
      </c>
      <c r="AE121" s="107">
        <f>AE108+AE93+AE95</f>
        <v>0</v>
      </c>
      <c r="AF121" s="107"/>
      <c r="AG121" s="107">
        <f>AG108+AG93+AG95</f>
        <v>457196.48999999987</v>
      </c>
      <c r="AJ121" s="107">
        <f>AJ108+AJ93+AJ95+AJ116+AJ117</f>
        <v>71022336.396889985</v>
      </c>
      <c r="AK121" s="107">
        <f>AK108+AK93+AK95+AK116+AK117</f>
        <v>71448079.141621619</v>
      </c>
      <c r="AN121" s="11"/>
      <c r="AO121" s="11"/>
    </row>
    <row r="122" spans="1:41" ht="12.75" x14ac:dyDescent="0.2">
      <c r="B122" s="22" t="s">
        <v>1228</v>
      </c>
      <c r="C122" s="11">
        <f t="shared" ref="C122:M122" si="55">C121-C101</f>
        <v>0</v>
      </c>
      <c r="D122" s="11">
        <f t="shared" si="55"/>
        <v>0</v>
      </c>
      <c r="E122" s="11">
        <f t="shared" si="55"/>
        <v>0</v>
      </c>
      <c r="F122" s="11">
        <f t="shared" si="55"/>
        <v>0</v>
      </c>
      <c r="G122" s="11">
        <f t="shared" si="55"/>
        <v>0</v>
      </c>
      <c r="H122" s="11">
        <f t="shared" si="55"/>
        <v>0</v>
      </c>
      <c r="I122" s="11">
        <f t="shared" si="55"/>
        <v>0</v>
      </c>
      <c r="J122" s="11">
        <f t="shared" si="55"/>
        <v>0</v>
      </c>
      <c r="K122" s="11">
        <f>K121-K101</f>
        <v>0</v>
      </c>
      <c r="L122" s="11">
        <f t="shared" si="55"/>
        <v>0</v>
      </c>
      <c r="M122" s="11">
        <f t="shared" si="55"/>
        <v>0</v>
      </c>
      <c r="AA122" s="54">
        <v>28</v>
      </c>
      <c r="AN122" s="11"/>
      <c r="AO122" s="11"/>
    </row>
    <row r="123" spans="1:41" ht="12.75" x14ac:dyDescent="0.2">
      <c r="AB123" s="54">
        <v>29</v>
      </c>
      <c r="AC123" s="54">
        <v>30</v>
      </c>
      <c r="AD123" s="54">
        <v>31</v>
      </c>
      <c r="AE123" s="54">
        <v>32</v>
      </c>
      <c r="AF123" s="54">
        <v>33</v>
      </c>
      <c r="AG123" s="54">
        <v>34</v>
      </c>
      <c r="AH123" s="54">
        <v>35</v>
      </c>
      <c r="AI123" s="54">
        <v>36</v>
      </c>
      <c r="AJ123" s="54">
        <v>37</v>
      </c>
      <c r="AK123" s="54">
        <v>38</v>
      </c>
      <c r="AN123" s="11"/>
      <c r="AO123" s="11"/>
    </row>
    <row r="124" spans="1:41" ht="12.75" x14ac:dyDescent="0.2">
      <c r="B124" s="22" t="s">
        <v>1229</v>
      </c>
      <c r="C124" s="11" t="e">
        <f>#REF!</f>
        <v>#REF!</v>
      </c>
      <c r="D124" s="11" t="e">
        <f>#REF!</f>
        <v>#REF!</v>
      </c>
      <c r="E124" s="11" t="e">
        <f>#REF!</f>
        <v>#REF!</v>
      </c>
      <c r="F124" s="11" t="e">
        <f>#REF!</f>
        <v>#REF!</v>
      </c>
      <c r="G124" s="11" t="e">
        <f>#REF!+#REF!</f>
        <v>#REF!</v>
      </c>
      <c r="H124" s="11" t="e">
        <f>#REF!</f>
        <v>#REF!</v>
      </c>
      <c r="I124" s="11" t="e">
        <f>#REF!</f>
        <v>#REF!</v>
      </c>
      <c r="J124" s="11" t="e">
        <f>#REF!</f>
        <v>#REF!</v>
      </c>
      <c r="K124" s="11" t="e">
        <f>#REF!</f>
        <v>#REF!</v>
      </c>
      <c r="L124" s="11" t="e">
        <f>#REF!</f>
        <v>#REF!</v>
      </c>
      <c r="M124" s="11" t="e">
        <f>#REF!</f>
        <v>#REF!</v>
      </c>
      <c r="N124" s="11" t="e">
        <f>#REF!</f>
        <v>#REF!</v>
      </c>
      <c r="P124" s="11" t="e">
        <f>#REF!+#REF!</f>
        <v>#REF!</v>
      </c>
      <c r="Q124" s="11" t="e">
        <f>-#REF!</f>
        <v>#REF!</v>
      </c>
      <c r="AA124" s="417"/>
      <c r="AN124" s="11"/>
      <c r="AO124" s="11"/>
    </row>
    <row r="125" spans="1:41" ht="12.75" x14ac:dyDescent="0.2">
      <c r="A125" s="30" t="s">
        <v>1230</v>
      </c>
      <c r="C125" s="11" t="e">
        <f>C124-C121</f>
        <v>#REF!</v>
      </c>
      <c r="D125" s="11" t="e">
        <f t="shared" ref="D125:P125" si="56">D124-D121</f>
        <v>#REF!</v>
      </c>
      <c r="E125" s="11" t="e">
        <f t="shared" si="56"/>
        <v>#REF!</v>
      </c>
      <c r="F125" s="11" t="e">
        <f t="shared" si="56"/>
        <v>#REF!</v>
      </c>
      <c r="G125" s="11" t="e">
        <f t="shared" si="56"/>
        <v>#REF!</v>
      </c>
      <c r="H125" s="11" t="e">
        <f t="shared" si="56"/>
        <v>#REF!</v>
      </c>
      <c r="I125" s="11" t="e">
        <f t="shared" si="56"/>
        <v>#REF!</v>
      </c>
      <c r="J125" s="11" t="e">
        <f t="shared" si="56"/>
        <v>#REF!</v>
      </c>
      <c r="K125" s="11" t="e">
        <f t="shared" si="56"/>
        <v>#REF!</v>
      </c>
      <c r="L125" s="11" t="e">
        <f t="shared" si="56"/>
        <v>#REF!</v>
      </c>
      <c r="M125" s="11" t="e">
        <f t="shared" si="56"/>
        <v>#REF!</v>
      </c>
      <c r="N125" s="11" t="e">
        <f t="shared" si="56"/>
        <v>#REF!</v>
      </c>
      <c r="P125" s="11" t="e">
        <f t="shared" si="56"/>
        <v>#REF!</v>
      </c>
      <c r="Q125" s="11">
        <f>Q101</f>
        <v>-1711566.7004166665</v>
      </c>
      <c r="AA125" s="418"/>
      <c r="AN125" s="11"/>
      <c r="AO125" s="11"/>
    </row>
    <row r="126" spans="1:41" ht="12.75" x14ac:dyDescent="0.2">
      <c r="A126" s="30" t="s">
        <v>1231</v>
      </c>
      <c r="B126" s="22" t="s">
        <v>1232</v>
      </c>
      <c r="AA126" s="418"/>
      <c r="AN126" s="11"/>
      <c r="AO126" s="11"/>
    </row>
    <row r="127" spans="1:41" ht="12.75" x14ac:dyDescent="0.2">
      <c r="A127" s="30" t="s">
        <v>1233</v>
      </c>
      <c r="B127" s="1"/>
      <c r="AA127" s="418"/>
      <c r="AN127" s="11"/>
      <c r="AO127" s="11"/>
    </row>
    <row r="128" spans="1:41" ht="12.75" x14ac:dyDescent="0.2">
      <c r="A128" s="30" t="s">
        <v>1233</v>
      </c>
      <c r="B128" s="1"/>
      <c r="AA128" s="419"/>
      <c r="AN128" s="11"/>
      <c r="AO128" s="11"/>
    </row>
    <row r="129" spans="1:41" ht="12.75" x14ac:dyDescent="0.2">
      <c r="A129" s="30" t="s">
        <v>1233</v>
      </c>
      <c r="B129" s="1"/>
      <c r="AN129" s="11"/>
      <c r="AO129" s="11"/>
    </row>
    <row r="130" spans="1:41" ht="12.75" x14ac:dyDescent="0.2">
      <c r="A130" s="30" t="s">
        <v>1234</v>
      </c>
      <c r="H130" s="1029"/>
      <c r="AN130" s="11"/>
      <c r="AO130" s="11"/>
    </row>
    <row r="131" spans="1:41" ht="12.75" x14ac:dyDescent="0.2">
      <c r="A131" s="30" t="s">
        <v>1220</v>
      </c>
      <c r="AN131" s="11"/>
      <c r="AO131" s="11"/>
    </row>
    <row r="132" spans="1:41" ht="12.75" x14ac:dyDescent="0.2">
      <c r="A132" s="30" t="s">
        <v>1235</v>
      </c>
      <c r="AN132" s="11"/>
      <c r="AO132" s="11"/>
    </row>
    <row r="133" spans="1:41" ht="12.75" x14ac:dyDescent="0.2">
      <c r="A133" s="30" t="s">
        <v>1222</v>
      </c>
      <c r="AN133" s="11"/>
      <c r="AO133" s="11"/>
    </row>
    <row r="134" spans="1:41" ht="12.75" x14ac:dyDescent="0.2">
      <c r="A134" s="30" t="s">
        <v>1236</v>
      </c>
      <c r="AN134" s="11"/>
      <c r="AO134" s="11"/>
    </row>
    <row r="135" spans="1:41" ht="12.75" x14ac:dyDescent="0.2">
      <c r="AN135" s="11"/>
      <c r="AO135" s="11"/>
    </row>
    <row r="136" spans="1:41" ht="12.75" x14ac:dyDescent="0.2">
      <c r="AN136" s="11"/>
      <c r="AO136" s="11"/>
    </row>
    <row r="137" spans="1:41" ht="12.75" x14ac:dyDescent="0.2">
      <c r="AN137" s="11"/>
      <c r="AO137" s="11"/>
    </row>
    <row r="138" spans="1:41" ht="12.75" x14ac:dyDescent="0.2">
      <c r="AN138" s="11"/>
      <c r="AO138" s="11"/>
    </row>
    <row r="139" spans="1:41" ht="12.75" x14ac:dyDescent="0.2">
      <c r="A139" s="30" t="s">
        <v>1353</v>
      </c>
      <c r="C139" s="11">
        <v>108372744.17715</v>
      </c>
      <c r="D139" s="11">
        <v>19096984.726803795</v>
      </c>
      <c r="E139" s="11">
        <v>192821.16214147917</v>
      </c>
      <c r="F139" s="11">
        <v>3343610.1312070112</v>
      </c>
      <c r="G139" s="11">
        <v>4265826.0355406785</v>
      </c>
      <c r="H139" s="11">
        <v>568469.81394798495</v>
      </c>
      <c r="I139" s="11">
        <v>9200000</v>
      </c>
      <c r="J139" s="11">
        <v>19329.921551105632</v>
      </c>
      <c r="K139" s="11">
        <v>696019.32303999981</v>
      </c>
      <c r="L139" s="11">
        <v>1033455</v>
      </c>
      <c r="M139" s="11">
        <v>146789260.29138207</v>
      </c>
      <c r="N139" s="11">
        <v>1254009.9424908133</v>
      </c>
      <c r="O139" s="11">
        <v>0</v>
      </c>
      <c r="P139" s="11">
        <v>148043270.23387289</v>
      </c>
      <c r="Q139" s="11">
        <v>-1934172.9849999999</v>
      </c>
      <c r="R139" s="11">
        <v>146109097.24887291</v>
      </c>
      <c r="S139" s="11">
        <v>1338270</v>
      </c>
      <c r="T139" s="11">
        <v>4637405.625</v>
      </c>
      <c r="U139" s="11">
        <v>1717939.1458333335</v>
      </c>
      <c r="V139" s="11">
        <v>0</v>
      </c>
      <c r="W139" s="11">
        <v>8819718.1677419357</v>
      </c>
      <c r="X139" s="11">
        <v>4135641.9990178975</v>
      </c>
      <c r="Y139" s="11">
        <v>0</v>
      </c>
      <c r="Z139" s="11">
        <v>166758072.18646604</v>
      </c>
      <c r="AN139" s="11"/>
      <c r="AO139" s="11"/>
    </row>
    <row r="140" spans="1:41" ht="12.75" x14ac:dyDescent="0.2">
      <c r="A140" s="30" t="s">
        <v>1354</v>
      </c>
      <c r="C140" s="11">
        <v>109882010.23572497</v>
      </c>
      <c r="D140" s="11">
        <v>17358586.527524058</v>
      </c>
      <c r="E140" s="11">
        <v>189763.6201782735</v>
      </c>
      <c r="F140" s="11">
        <v>3121256.8403640892</v>
      </c>
      <c r="G140" s="11">
        <v>4395964.4072255343</v>
      </c>
      <c r="H140" s="11">
        <v>599769.85121111048</v>
      </c>
      <c r="I140" s="11">
        <v>9450000</v>
      </c>
      <c r="J140" s="11">
        <v>19329.921551105632</v>
      </c>
      <c r="K140" s="11">
        <v>1542412.1351999999</v>
      </c>
      <c r="L140" s="11">
        <v>1044821.0899999999</v>
      </c>
      <c r="M140" s="11">
        <v>147603914.62897915</v>
      </c>
      <c r="N140" s="11">
        <v>2223639.0912993359</v>
      </c>
      <c r="O140" s="11">
        <v>0</v>
      </c>
      <c r="P140" s="11">
        <v>149827553.72027847</v>
      </c>
      <c r="Q140" s="11">
        <v>-1727741.0949999997</v>
      </c>
      <c r="R140" s="11">
        <v>148099812.6252785</v>
      </c>
      <c r="S140" s="11">
        <v>1338270</v>
      </c>
      <c r="Z140" s="11">
        <v>168748787.56287163</v>
      </c>
      <c r="AN140" s="11"/>
      <c r="AO140" s="11"/>
    </row>
    <row r="141" spans="1:41" ht="12.75" x14ac:dyDescent="0.2">
      <c r="C141" s="11">
        <f>C101-C140</f>
        <v>4479691.8169033825</v>
      </c>
      <c r="D141" s="11">
        <f t="shared" ref="D141:Z141" si="57">D101-D140</f>
        <v>45146.25731286034</v>
      </c>
      <c r="E141" s="11">
        <f t="shared" si="57"/>
        <v>484.6282175857632</v>
      </c>
      <c r="F141" s="11">
        <f t="shared" si="57"/>
        <v>0</v>
      </c>
      <c r="G141" s="11">
        <f t="shared" si="57"/>
        <v>-12120.820385187864</v>
      </c>
      <c r="H141" s="11">
        <f t="shared" si="57"/>
        <v>2376.8236821948085</v>
      </c>
      <c r="I141" s="11">
        <f t="shared" si="57"/>
        <v>0</v>
      </c>
      <c r="J141" s="11">
        <f t="shared" si="57"/>
        <v>-19329.921551105632</v>
      </c>
      <c r="K141" s="11">
        <f t="shared" si="57"/>
        <v>-31667.780000000261</v>
      </c>
      <c r="L141" s="11">
        <f t="shared" si="57"/>
        <v>0</v>
      </c>
      <c r="M141" s="11">
        <f t="shared" si="57"/>
        <v>4464581.0041797161</v>
      </c>
      <c r="N141" s="11">
        <f t="shared" si="57"/>
        <v>-1233551.0894086333</v>
      </c>
      <c r="O141" s="11">
        <f t="shared" si="57"/>
        <v>0</v>
      </c>
      <c r="P141" s="11">
        <f t="shared" si="57"/>
        <v>3231029.9147711098</v>
      </c>
      <c r="Q141" s="11">
        <f>Q101-Q140</f>
        <v>16174.394583333284</v>
      </c>
      <c r="R141" s="11">
        <f t="shared" si="57"/>
        <v>3247204.3093543649</v>
      </c>
      <c r="S141" s="11">
        <f t="shared" si="57"/>
        <v>0</v>
      </c>
      <c r="T141" s="11">
        <f t="shared" si="57"/>
        <v>4341356.2749999994</v>
      </c>
      <c r="U141" s="11">
        <f t="shared" si="57"/>
        <v>1966120.1350000002</v>
      </c>
      <c r="V141" s="11">
        <f t="shared" si="57"/>
        <v>0</v>
      </c>
      <c r="W141" s="11">
        <f t="shared" si="57"/>
        <v>0</v>
      </c>
      <c r="X141" s="11">
        <f t="shared" si="57"/>
        <v>4112808.6277195895</v>
      </c>
      <c r="Y141" s="11">
        <f t="shared" si="57"/>
        <v>0</v>
      </c>
      <c r="Z141" s="11">
        <f t="shared" si="57"/>
        <v>-5643215.5905191302</v>
      </c>
      <c r="AN141" s="11"/>
      <c r="AO141" s="11"/>
    </row>
    <row r="142" spans="1:41" ht="12.75" x14ac:dyDescent="0.2">
      <c r="P142" s="11">
        <f>P101-K101</f>
        <v>151547839.27984959</v>
      </c>
      <c r="R142" s="11"/>
      <c r="Z142" s="11"/>
      <c r="AN142" s="11"/>
      <c r="AO142" s="11"/>
    </row>
    <row r="143" spans="1:41" ht="12.75" x14ac:dyDescent="0.2">
      <c r="N143" s="739">
        <f>N101/M101</f>
        <v>6.5108028968678226E-3</v>
      </c>
      <c r="T143" s="11" t="s">
        <v>142</v>
      </c>
      <c r="U143" s="11" t="s">
        <v>143</v>
      </c>
      <c r="Z143" s="11"/>
      <c r="AN143" s="11"/>
      <c r="AO143" s="11"/>
    </row>
    <row r="144" spans="1:41" ht="12.75" x14ac:dyDescent="0.2">
      <c r="A144" s="30" t="s">
        <v>2</v>
      </c>
      <c r="B144" s="22">
        <v>1014</v>
      </c>
      <c r="K144" s="107">
        <v>9805.7699999999986</v>
      </c>
      <c r="M144" s="29">
        <f t="shared" ref="M144:M150" si="58">SUM(C144:L144)</f>
        <v>9805.7699999999986</v>
      </c>
      <c r="N144" s="739">
        <f>N140/M140</f>
        <v>1.5064905947032164E-2</v>
      </c>
      <c r="P144" s="29">
        <f t="shared" ref="P144:P151" si="59">SUM(M144:O144)</f>
        <v>9805.7850649059455</v>
      </c>
      <c r="R144" s="29">
        <f t="shared" ref="R144:R150" si="60">SUM(P144+Q144)</f>
        <v>9805.7850649059455</v>
      </c>
      <c r="U144" s="11">
        <v>0</v>
      </c>
      <c r="X144" s="11">
        <v>251753.85778633872</v>
      </c>
      <c r="Z144" s="29">
        <f t="shared" ref="Z144:Z150" si="61">SUM(R144:Y144)</f>
        <v>261559.64285124466</v>
      </c>
      <c r="AG144" s="107">
        <v>9805.7699999999986</v>
      </c>
      <c r="AJ144" s="11">
        <f t="shared" ref="AJ144" si="62">Z144-AG144-AB144-W144</f>
        <v>251753.87285124467</v>
      </c>
      <c r="AK144" s="11">
        <f t="shared" ref="AK144" si="63">AJ144+AG144</f>
        <v>261559.64285124466</v>
      </c>
      <c r="AN144" s="11"/>
      <c r="AO144" s="11"/>
    </row>
    <row r="145" spans="1:41" ht="12.75" x14ac:dyDescent="0.2">
      <c r="A145" s="413" t="s">
        <v>4</v>
      </c>
      <c r="B145" s="414">
        <v>1006</v>
      </c>
      <c r="K145" s="107">
        <v>11565.779999999999</v>
      </c>
      <c r="M145" s="29">
        <f t="shared" si="58"/>
        <v>11565.779999999999</v>
      </c>
      <c r="P145" s="29">
        <f t="shared" si="59"/>
        <v>11565.779999999999</v>
      </c>
      <c r="R145" s="29">
        <f t="shared" si="60"/>
        <v>11565.779999999999</v>
      </c>
      <c r="T145" s="107">
        <v>142055</v>
      </c>
      <c r="U145" s="107">
        <v>900.97499999999991</v>
      </c>
      <c r="X145" s="11">
        <v>271635.37680151127</v>
      </c>
      <c r="Z145" s="29">
        <f t="shared" si="61"/>
        <v>426157.13180151128</v>
      </c>
      <c r="AG145" s="107">
        <v>11565.779999999999</v>
      </c>
      <c r="AJ145" s="11">
        <f t="shared" ref="AJ145:AJ151" si="64">Z145-AG145-AB145-W145</f>
        <v>414591.35180151125</v>
      </c>
      <c r="AK145" s="11">
        <f t="shared" ref="AK145:AK151" si="65">AJ145+AG145</f>
        <v>426157.13180151128</v>
      </c>
      <c r="AN145" s="11"/>
      <c r="AO145" s="11"/>
    </row>
    <row r="146" spans="1:41" ht="12.75" x14ac:dyDescent="0.2">
      <c r="A146" s="1030" t="s">
        <v>645</v>
      </c>
      <c r="B146" s="414">
        <v>1008</v>
      </c>
      <c r="K146" s="107">
        <v>4547.08</v>
      </c>
      <c r="M146" s="29">
        <f t="shared" si="58"/>
        <v>4547.08</v>
      </c>
      <c r="P146" s="29">
        <f t="shared" si="59"/>
        <v>4547.08</v>
      </c>
      <c r="R146" s="29">
        <f t="shared" si="60"/>
        <v>4547.08</v>
      </c>
      <c r="T146" s="107"/>
      <c r="U146" s="107">
        <v>20271.9375</v>
      </c>
      <c r="X146" s="11">
        <v>387772.07510856714</v>
      </c>
      <c r="Z146" s="29">
        <f t="shared" si="61"/>
        <v>412591.09260856715</v>
      </c>
      <c r="AG146" s="107">
        <v>4547.08</v>
      </c>
      <c r="AJ146" s="11">
        <f t="shared" si="64"/>
        <v>408044.01260856714</v>
      </c>
      <c r="AK146" s="11">
        <f t="shared" si="65"/>
        <v>412591.09260856715</v>
      </c>
      <c r="AN146" s="11"/>
      <c r="AO146" s="11"/>
    </row>
    <row r="147" spans="1:41" ht="12.75" x14ac:dyDescent="0.2">
      <c r="A147" s="416" t="s">
        <v>646</v>
      </c>
      <c r="B147" s="415">
        <v>1005</v>
      </c>
      <c r="K147" s="107">
        <v>14834.369999999999</v>
      </c>
      <c r="M147" s="29">
        <f t="shared" si="58"/>
        <v>14834.369999999999</v>
      </c>
      <c r="P147" s="29">
        <f t="shared" si="59"/>
        <v>14834.369999999999</v>
      </c>
      <c r="R147" s="29">
        <f t="shared" si="60"/>
        <v>14834.369999999999</v>
      </c>
      <c r="T147" s="107">
        <v>110000</v>
      </c>
      <c r="U147" s="107">
        <v>900.97499999999991</v>
      </c>
      <c r="X147" s="11">
        <v>437385.6920435878</v>
      </c>
      <c r="Z147" s="29">
        <f t="shared" si="61"/>
        <v>563121.03704358777</v>
      </c>
      <c r="AG147" s="107">
        <v>14834.369999999999</v>
      </c>
      <c r="AJ147" s="11">
        <f t="shared" si="64"/>
        <v>548286.66704358777</v>
      </c>
      <c r="AK147" s="11">
        <f t="shared" si="65"/>
        <v>563121.03704358777</v>
      </c>
      <c r="AN147" s="11"/>
      <c r="AO147" s="11"/>
    </row>
    <row r="148" spans="1:41" ht="12.75" x14ac:dyDescent="0.2">
      <c r="A148" s="416" t="s">
        <v>7</v>
      </c>
      <c r="B148" s="415">
        <v>1010</v>
      </c>
      <c r="K148" s="107">
        <v>4406.7599999999993</v>
      </c>
      <c r="M148" s="29">
        <f t="shared" si="58"/>
        <v>4406.7599999999993</v>
      </c>
      <c r="P148" s="29">
        <f t="shared" si="59"/>
        <v>4406.7599999999993</v>
      </c>
      <c r="R148" s="29">
        <f t="shared" si="60"/>
        <v>4406.7599999999993</v>
      </c>
      <c r="T148" s="107"/>
      <c r="U148" s="107">
        <v>9760.5625</v>
      </c>
      <c r="X148" s="11">
        <v>290418.31010234449</v>
      </c>
      <c r="Z148" s="29">
        <f t="shared" si="61"/>
        <v>304585.6326023445</v>
      </c>
      <c r="AG148" s="107">
        <v>4406.7599999999993</v>
      </c>
      <c r="AJ148" s="11">
        <f t="shared" si="64"/>
        <v>300178.87260234449</v>
      </c>
      <c r="AK148" s="11">
        <f t="shared" si="65"/>
        <v>304585.6326023445</v>
      </c>
      <c r="AN148" s="11"/>
      <c r="AO148" s="11"/>
    </row>
    <row r="149" spans="1:41" ht="12.75" x14ac:dyDescent="0.2">
      <c r="A149" s="416" t="s">
        <v>8</v>
      </c>
      <c r="B149" s="414">
        <v>1009</v>
      </c>
      <c r="K149" s="107">
        <v>8079.0599999999995</v>
      </c>
      <c r="M149" s="29">
        <f t="shared" si="58"/>
        <v>8079.0599999999995</v>
      </c>
      <c r="P149" s="29">
        <f t="shared" si="59"/>
        <v>8079.0599999999995</v>
      </c>
      <c r="R149" s="29">
        <f t="shared" si="60"/>
        <v>8079.0599999999995</v>
      </c>
      <c r="T149" s="107"/>
      <c r="U149" s="107">
        <v>9760.5625</v>
      </c>
      <c r="X149" s="11">
        <v>381335.52653131599</v>
      </c>
      <c r="Z149" s="29">
        <f t="shared" si="61"/>
        <v>399175.14903131599</v>
      </c>
      <c r="AG149" s="107">
        <v>8079.0599999999995</v>
      </c>
      <c r="AJ149" s="11">
        <f t="shared" si="64"/>
        <v>391096.08903131599</v>
      </c>
      <c r="AK149" s="11">
        <f t="shared" si="65"/>
        <v>399175.14903131599</v>
      </c>
      <c r="AN149" s="11"/>
      <c r="AO149" s="11"/>
    </row>
    <row r="150" spans="1:41" ht="12.75" x14ac:dyDescent="0.2">
      <c r="A150" s="416" t="s">
        <v>9</v>
      </c>
      <c r="B150" s="414">
        <v>1015</v>
      </c>
      <c r="K150" s="107">
        <v>5875.6799999999994</v>
      </c>
      <c r="M150" s="29">
        <f t="shared" si="58"/>
        <v>5875.6799999999994</v>
      </c>
      <c r="P150" s="29">
        <f t="shared" si="59"/>
        <v>5875.6799999999994</v>
      </c>
      <c r="R150" s="29">
        <f t="shared" si="60"/>
        <v>5875.6799999999994</v>
      </c>
      <c r="T150" s="107"/>
      <c r="U150" s="107">
        <v>28455.793750000001</v>
      </c>
      <c r="X150" s="11">
        <v>344176.05785120092</v>
      </c>
      <c r="Z150" s="29">
        <f t="shared" si="61"/>
        <v>378507.53160120093</v>
      </c>
      <c r="AG150" s="107">
        <v>5875.6799999999994</v>
      </c>
      <c r="AJ150" s="11">
        <f t="shared" si="64"/>
        <v>372631.85160120093</v>
      </c>
      <c r="AK150" s="11">
        <f t="shared" si="65"/>
        <v>378507.53160120093</v>
      </c>
      <c r="AN150" s="11"/>
      <c r="AO150" s="11"/>
    </row>
    <row r="151" spans="1:41" ht="12.75" x14ac:dyDescent="0.2">
      <c r="A151" s="416" t="s">
        <v>145</v>
      </c>
      <c r="K151" s="1031">
        <f>SUM(K144:K150)</f>
        <v>59114.5</v>
      </c>
      <c r="M151" s="1031">
        <f>SUM(M144:M150)</f>
        <v>59114.5</v>
      </c>
      <c r="P151" s="1031">
        <f t="shared" si="59"/>
        <v>59114.5</v>
      </c>
      <c r="R151" s="1031">
        <f>SUM(R144:R150)</f>
        <v>59114.515064905951</v>
      </c>
      <c r="T151" s="1031">
        <f>SUM(T144:T150)</f>
        <v>252055</v>
      </c>
      <c r="U151" s="1031">
        <f>SUM(U144:U150)</f>
        <v>70050.806249999994</v>
      </c>
      <c r="X151" s="1032">
        <f>SUM(X144:X150)</f>
        <v>2364476.8962248662</v>
      </c>
      <c r="Z151" s="1031">
        <f>SUM(Z144:Z150)</f>
        <v>2745697.2175397724</v>
      </c>
      <c r="AG151" s="1031">
        <f>SUM(AG144:AG150)</f>
        <v>59114.5</v>
      </c>
      <c r="AJ151" s="11">
        <f t="shared" si="64"/>
        <v>2686582.7175397724</v>
      </c>
      <c r="AK151" s="11">
        <f t="shared" si="65"/>
        <v>2745697.2175397724</v>
      </c>
      <c r="AN151" s="11"/>
      <c r="AO151" s="11"/>
    </row>
    <row r="152" spans="1:41" ht="12.75" x14ac:dyDescent="0.2">
      <c r="Y152" s="11" t="s">
        <v>76</v>
      </c>
      <c r="Z152" s="11"/>
      <c r="AK152" s="11"/>
      <c r="AN152" s="11"/>
      <c r="AO152" s="11"/>
    </row>
    <row r="153" spans="1:41" ht="12.75" x14ac:dyDescent="0.2">
      <c r="T153" s="11" t="s">
        <v>1239</v>
      </c>
      <c r="U153" s="11" t="s">
        <v>1239</v>
      </c>
      <c r="X153" s="11">
        <f>T151+U151</f>
        <v>322105.80625000002</v>
      </c>
      <c r="Y153" s="11" t="s">
        <v>1240</v>
      </c>
      <c r="Z153" s="11"/>
      <c r="AK153" s="11"/>
      <c r="AN153" s="11"/>
      <c r="AO153" s="11"/>
    </row>
    <row r="154" spans="1:41" ht="12.75" x14ac:dyDescent="0.2">
      <c r="A154" s="1033"/>
      <c r="B154" s="1034" t="s">
        <v>503</v>
      </c>
      <c r="C154" s="982">
        <f t="shared" ref="C154:J154" si="66">C101</f>
        <v>114361702.05262835</v>
      </c>
      <c r="D154" s="982">
        <f t="shared" si="66"/>
        <v>17403732.784836918</v>
      </c>
      <c r="E154" s="982">
        <f t="shared" si="66"/>
        <v>190248.24839585926</v>
      </c>
      <c r="F154" s="982">
        <f t="shared" si="66"/>
        <v>3121256.8403640892</v>
      </c>
      <c r="G154" s="982">
        <f t="shared" si="66"/>
        <v>4383843.5868403465</v>
      </c>
      <c r="H154" s="982">
        <f t="shared" si="66"/>
        <v>602146.67489330529</v>
      </c>
      <c r="I154" s="982">
        <f t="shared" si="66"/>
        <v>9450000</v>
      </c>
      <c r="J154" s="982">
        <f t="shared" si="66"/>
        <v>0</v>
      </c>
      <c r="K154" s="982">
        <f t="shared" ref="K154:AK154" si="67">K101+K151</f>
        <v>1569858.8551999996</v>
      </c>
      <c r="L154" s="982">
        <f t="shared" si="67"/>
        <v>1044821.0899999999</v>
      </c>
      <c r="M154" s="982">
        <f t="shared" si="67"/>
        <v>152127610.13315886</v>
      </c>
      <c r="N154" s="982">
        <f t="shared" si="67"/>
        <v>990088.00189070252</v>
      </c>
      <c r="O154" s="982">
        <f t="shared" si="67"/>
        <v>0</v>
      </c>
      <c r="P154" s="982">
        <f t="shared" si="67"/>
        <v>153117698.13504958</v>
      </c>
      <c r="Q154" s="982">
        <f t="shared" si="67"/>
        <v>-1711566.7004166665</v>
      </c>
      <c r="R154" s="982">
        <f t="shared" si="67"/>
        <v>151406131.44969776</v>
      </c>
      <c r="S154" s="982">
        <f t="shared" si="67"/>
        <v>1338270</v>
      </c>
      <c r="T154" s="982">
        <f t="shared" si="67"/>
        <v>4593411.2749999994</v>
      </c>
      <c r="U154" s="982">
        <f t="shared" si="67"/>
        <v>2036170.9412500001</v>
      </c>
      <c r="V154" s="982">
        <f t="shared" si="67"/>
        <v>0</v>
      </c>
      <c r="W154" s="982">
        <f t="shared" si="67"/>
        <v>0</v>
      </c>
      <c r="X154" s="982">
        <f t="shared" si="67"/>
        <v>6477285.5239444561</v>
      </c>
      <c r="Y154" s="982">
        <f t="shared" si="67"/>
        <v>0</v>
      </c>
      <c r="Z154" s="982">
        <f t="shared" si="67"/>
        <v>165851269.18989229</v>
      </c>
      <c r="AA154" s="982">
        <f t="shared" si="67"/>
        <v>0</v>
      </c>
      <c r="AB154" s="982">
        <f t="shared" si="67"/>
        <v>173085.64</v>
      </c>
      <c r="AC154" s="982">
        <f t="shared" si="67"/>
        <v>0</v>
      </c>
      <c r="AD154" s="982">
        <f t="shared" si="67"/>
        <v>0</v>
      </c>
      <c r="AE154" s="982">
        <f t="shared" si="67"/>
        <v>0</v>
      </c>
      <c r="AF154" s="982">
        <f t="shared" si="67"/>
        <v>0</v>
      </c>
      <c r="AG154" s="982">
        <f t="shared" si="67"/>
        <v>1569858.8551999996</v>
      </c>
      <c r="AH154" s="982">
        <f t="shared" si="67"/>
        <v>0</v>
      </c>
      <c r="AI154" s="982">
        <f t="shared" si="67"/>
        <v>0</v>
      </c>
      <c r="AJ154" s="982">
        <f t="shared" si="67"/>
        <v>164108324.69469225</v>
      </c>
      <c r="AK154" s="982">
        <f t="shared" si="67"/>
        <v>165678183.54989225</v>
      </c>
      <c r="AN154" s="11"/>
      <c r="AO154" s="11"/>
    </row>
    <row r="155" spans="1:41" ht="12.75" x14ac:dyDescent="0.2">
      <c r="AK155" s="11"/>
      <c r="AN155" s="11"/>
      <c r="AO155" s="11"/>
    </row>
    <row r="156" spans="1:41" ht="12.75" x14ac:dyDescent="0.2">
      <c r="B156" s="22">
        <v>1</v>
      </c>
      <c r="C156" s="11">
        <v>2</v>
      </c>
      <c r="D156" s="22">
        <v>3</v>
      </c>
      <c r="E156" s="11">
        <v>4</v>
      </c>
      <c r="F156" s="22">
        <v>5</v>
      </c>
      <c r="G156" s="11">
        <v>6</v>
      </c>
      <c r="H156" s="22">
        <v>7</v>
      </c>
      <c r="I156" s="11">
        <v>8</v>
      </c>
      <c r="J156" s="22">
        <v>9</v>
      </c>
      <c r="K156" s="11">
        <v>10</v>
      </c>
      <c r="L156" s="22">
        <v>11</v>
      </c>
      <c r="M156" s="11">
        <v>12</v>
      </c>
      <c r="N156" s="22">
        <v>13</v>
      </c>
      <c r="O156" s="11">
        <v>14</v>
      </c>
      <c r="P156" s="22">
        <v>15</v>
      </c>
      <c r="Q156" s="11">
        <v>16</v>
      </c>
      <c r="R156" s="22">
        <v>17</v>
      </c>
      <c r="S156" s="11">
        <v>18</v>
      </c>
      <c r="T156" s="22">
        <v>19</v>
      </c>
      <c r="U156" s="11">
        <v>20</v>
      </c>
      <c r="V156" s="22">
        <v>21</v>
      </c>
      <c r="W156" s="11">
        <v>22</v>
      </c>
      <c r="X156" s="22">
        <v>23</v>
      </c>
      <c r="Y156" s="11">
        <v>24</v>
      </c>
      <c r="Z156" s="22">
        <v>25</v>
      </c>
      <c r="AA156" s="11">
        <v>26</v>
      </c>
      <c r="AB156" s="22">
        <v>27</v>
      </c>
      <c r="AC156" s="11">
        <v>28</v>
      </c>
      <c r="AD156" s="22">
        <v>29</v>
      </c>
      <c r="AE156" s="11">
        <v>30</v>
      </c>
      <c r="AF156" s="22">
        <v>31</v>
      </c>
      <c r="AG156" s="11">
        <v>32</v>
      </c>
      <c r="AH156" s="22">
        <v>33</v>
      </c>
      <c r="AI156" s="11">
        <v>34</v>
      </c>
      <c r="AJ156" s="22">
        <v>35</v>
      </c>
      <c r="AK156" s="11">
        <v>36</v>
      </c>
      <c r="AN156" s="11"/>
      <c r="AO156" s="11"/>
    </row>
    <row r="157" spans="1:41" ht="12.75" x14ac:dyDescent="0.2">
      <c r="AK157" s="11"/>
      <c r="AN157" s="11"/>
      <c r="AO157" s="11"/>
    </row>
    <row r="158" spans="1:41" ht="12.75" x14ac:dyDescent="0.2">
      <c r="C158" s="11">
        <f t="shared" ref="C158:Z158" si="68">+C101-C89</f>
        <v>113528905.66222835</v>
      </c>
      <c r="D158" s="11">
        <f t="shared" si="68"/>
        <v>17374175.454552468</v>
      </c>
      <c r="E158" s="11">
        <f t="shared" si="68"/>
        <v>190248.24839585926</v>
      </c>
      <c r="F158" s="11">
        <f t="shared" si="68"/>
        <v>3073758.5639413251</v>
      </c>
      <c r="G158" s="11">
        <f t="shared" si="68"/>
        <v>4379548.2779514575</v>
      </c>
      <c r="H158" s="11">
        <f t="shared" si="68"/>
        <v>602146.67489330529</v>
      </c>
      <c r="I158" s="11">
        <f t="shared" si="68"/>
        <v>9300000</v>
      </c>
      <c r="J158" s="11">
        <f t="shared" si="68"/>
        <v>0</v>
      </c>
      <c r="K158" s="11">
        <f t="shared" si="68"/>
        <v>1484847.0651999996</v>
      </c>
      <c r="L158" s="11">
        <f t="shared" si="68"/>
        <v>1044821.0899999999</v>
      </c>
      <c r="M158" s="11">
        <f t="shared" si="68"/>
        <v>150978451.03716275</v>
      </c>
      <c r="N158" s="11">
        <f t="shared" si="68"/>
        <v>990088.00189070252</v>
      </c>
      <c r="O158" s="11">
        <f t="shared" si="68"/>
        <v>0</v>
      </c>
      <c r="P158" s="11">
        <f t="shared" si="68"/>
        <v>151968539.03905347</v>
      </c>
      <c r="Q158" s="11">
        <f t="shared" si="68"/>
        <v>-1711566.7004166665</v>
      </c>
      <c r="R158" s="11">
        <f t="shared" si="68"/>
        <v>150256972.33863676</v>
      </c>
      <c r="S158" s="11">
        <f t="shared" si="68"/>
        <v>1338270</v>
      </c>
      <c r="T158" s="11">
        <f t="shared" si="68"/>
        <v>4341356.2749999994</v>
      </c>
      <c r="U158" s="11">
        <f t="shared" si="68"/>
        <v>1966120.1350000002</v>
      </c>
      <c r="V158" s="11">
        <f t="shared" si="68"/>
        <v>0</v>
      </c>
      <c r="W158" s="11">
        <f t="shared" si="68"/>
        <v>0</v>
      </c>
      <c r="X158" s="11">
        <f t="shared" si="68"/>
        <v>4112808.6277195895</v>
      </c>
      <c r="Y158" s="11">
        <f t="shared" si="68"/>
        <v>0</v>
      </c>
      <c r="Z158" s="11">
        <f t="shared" si="68"/>
        <v>162015527.37635639</v>
      </c>
      <c r="AJ158" s="11">
        <v>14351.776</v>
      </c>
      <c r="AK158" s="11">
        <v>14351.776</v>
      </c>
      <c r="AN158" s="11"/>
      <c r="AO158" s="11"/>
    </row>
    <row r="159" spans="1:41" ht="12.75" x14ac:dyDescent="0.2">
      <c r="AK159" s="11"/>
      <c r="AN159" s="11"/>
      <c r="AO159" s="11"/>
    </row>
    <row r="160" spans="1:41" ht="12.75" x14ac:dyDescent="0.2">
      <c r="AK160" s="11"/>
      <c r="AN160" s="11"/>
      <c r="AO160" s="11"/>
    </row>
    <row r="161" spans="1:41" ht="13.5" thickBot="1" x14ac:dyDescent="0.25">
      <c r="Q161" s="414">
        <v>1008</v>
      </c>
      <c r="R161" s="412" t="s">
        <v>645</v>
      </c>
      <c r="AK161" s="11"/>
      <c r="AN161" s="11"/>
      <c r="AO161" s="11"/>
    </row>
    <row r="162" spans="1:41" ht="12.75" x14ac:dyDescent="0.2">
      <c r="Q162" s="415">
        <v>1005</v>
      </c>
      <c r="R162" s="416" t="s">
        <v>646</v>
      </c>
      <c r="Y162" s="1114" t="s">
        <v>1209</v>
      </c>
      <c r="Z162" s="1115">
        <v>4112808.6277195914</v>
      </c>
      <c r="AK162" s="11"/>
      <c r="AN162" s="11"/>
      <c r="AO162" s="11"/>
    </row>
    <row r="163" spans="1:41" ht="12.75" x14ac:dyDescent="0.2">
      <c r="Q163" s="414">
        <v>1006</v>
      </c>
      <c r="R163" s="416" t="s">
        <v>4</v>
      </c>
      <c r="Y163" s="1116" t="s">
        <v>1238</v>
      </c>
      <c r="Z163" s="1117">
        <v>2364476.9012897722</v>
      </c>
      <c r="AK163" s="11"/>
      <c r="AN163" s="11"/>
      <c r="AO163" s="11"/>
    </row>
    <row r="164" spans="1:41" ht="12.75" x14ac:dyDescent="0.2">
      <c r="Q164" s="415">
        <v>1010</v>
      </c>
      <c r="R164" s="416" t="s">
        <v>7</v>
      </c>
      <c r="Y164" s="1118" t="s">
        <v>1356</v>
      </c>
      <c r="Z164" s="1119">
        <f>Z163+Z162</f>
        <v>6477285.5290093636</v>
      </c>
      <c r="AK164" s="11"/>
      <c r="AN164" s="11"/>
      <c r="AO164" s="11"/>
    </row>
    <row r="165" spans="1:41" ht="12.75" x14ac:dyDescent="0.2">
      <c r="Q165" s="414">
        <v>1009</v>
      </c>
      <c r="R165" s="416" t="s">
        <v>8</v>
      </c>
      <c r="Y165" s="1116" t="s">
        <v>1237</v>
      </c>
      <c r="Z165" s="1117">
        <v>5442372.8021795088</v>
      </c>
      <c r="AK165" s="11"/>
      <c r="AN165" s="11"/>
      <c r="AO165" s="11"/>
    </row>
    <row r="166" spans="1:41" ht="12.75" x14ac:dyDescent="0.2">
      <c r="Q166" s="414">
        <v>1009</v>
      </c>
      <c r="R166" s="416" t="s">
        <v>9</v>
      </c>
      <c r="Y166" s="1116" t="s">
        <v>1357</v>
      </c>
      <c r="Z166" s="1117">
        <v>80000</v>
      </c>
      <c r="AK166" s="11"/>
      <c r="AN166" s="11"/>
      <c r="AO166" s="11"/>
    </row>
    <row r="167" spans="1:41" ht="12.75" x14ac:dyDescent="0.2">
      <c r="Y167" s="1120" t="s">
        <v>1358</v>
      </c>
      <c r="Z167" s="1121">
        <f>Z166+Z165+Z164</f>
        <v>11999658.331188872</v>
      </c>
      <c r="AK167" s="11"/>
      <c r="AN167" s="11"/>
      <c r="AO167" s="11"/>
    </row>
    <row r="168" spans="1:41" ht="12.75" x14ac:dyDescent="0.2">
      <c r="Y168" s="1116" t="s">
        <v>1359</v>
      </c>
      <c r="Z168" s="1117">
        <v>59114.5</v>
      </c>
      <c r="AK168" s="11"/>
      <c r="AN168" s="11"/>
      <c r="AO168" s="11"/>
    </row>
    <row r="169" spans="1:41" x14ac:dyDescent="0.25">
      <c r="Y169" s="1122" t="s">
        <v>1360</v>
      </c>
      <c r="Z169" s="1123">
        <v>70050.816250000003</v>
      </c>
      <c r="AK169" s="11"/>
      <c r="AN169" s="11"/>
      <c r="AO169" s="11"/>
    </row>
    <row r="170" spans="1:41" ht="13.8" thickBot="1" x14ac:dyDescent="0.3">
      <c r="Y170" s="1116" t="s">
        <v>1361</v>
      </c>
      <c r="Z170" s="1117">
        <v>252055</v>
      </c>
      <c r="AK170" s="11"/>
      <c r="AN170" s="11"/>
      <c r="AO170" s="11"/>
    </row>
    <row r="171" spans="1:41" ht="13.8" thickBot="1" x14ac:dyDescent="0.3">
      <c r="Y171" s="1124" t="s">
        <v>1362</v>
      </c>
      <c r="Z171" s="1125">
        <f>Z170+Z169+Z168+Z167</f>
        <v>12380878.647438873</v>
      </c>
      <c r="AK171" s="11"/>
      <c r="AN171" s="11"/>
      <c r="AO171" s="11"/>
    </row>
    <row r="172" spans="1:41" x14ac:dyDescent="0.25">
      <c r="AK172" s="11"/>
      <c r="AN172" s="11"/>
      <c r="AO172" s="11"/>
    </row>
    <row r="173" spans="1:41" x14ac:dyDescent="0.25">
      <c r="AK173" s="11"/>
      <c r="AN173" s="11"/>
      <c r="AO173" s="11"/>
    </row>
    <row r="174" spans="1:41" x14ac:dyDescent="0.25">
      <c r="A174" s="30" t="s">
        <v>1363</v>
      </c>
      <c r="B174" s="22" t="s">
        <v>0</v>
      </c>
      <c r="C174" s="11">
        <v>55872879.904499985</v>
      </c>
      <c r="D174" s="11">
        <v>12920519.136036837</v>
      </c>
      <c r="E174" s="11">
        <v>94356.570760851217</v>
      </c>
      <c r="F174" s="11">
        <v>0</v>
      </c>
      <c r="G174" s="11">
        <v>2859226.5163690951</v>
      </c>
      <c r="H174" s="11">
        <v>414419.81200016075</v>
      </c>
      <c r="I174" s="11">
        <v>7100000</v>
      </c>
      <c r="J174" s="11">
        <v>0</v>
      </c>
      <c r="K174" s="11">
        <v>259577.47303999987</v>
      </c>
      <c r="L174" s="11">
        <v>291738</v>
      </c>
      <c r="M174" s="11">
        <v>79812717.412706971</v>
      </c>
      <c r="N174" s="11">
        <v>678834.85685349756</v>
      </c>
      <c r="O174" s="11">
        <v>0</v>
      </c>
      <c r="P174" s="11">
        <v>80491552.269560441</v>
      </c>
      <c r="Q174" s="11">
        <v>-1510727.6799999999</v>
      </c>
      <c r="R174" s="11">
        <v>78980824.589560449</v>
      </c>
      <c r="S174" s="11">
        <v>1320785</v>
      </c>
      <c r="T174" s="11">
        <v>2691605.72</v>
      </c>
      <c r="U174" s="11">
        <v>1080544.3229166667</v>
      </c>
      <c r="V174" s="11">
        <v>0</v>
      </c>
      <c r="W174" s="11">
        <v>0</v>
      </c>
      <c r="X174" s="11">
        <v>4093510.4889795939</v>
      </c>
      <c r="Y174" s="11">
        <v>0</v>
      </c>
      <c r="Z174" s="11">
        <v>88167270.121456668</v>
      </c>
      <c r="AK174" s="11"/>
      <c r="AN174" s="11"/>
      <c r="AO174" s="11"/>
    </row>
    <row r="175" spans="1:41" x14ac:dyDescent="0.25">
      <c r="A175" s="30" t="s">
        <v>1363</v>
      </c>
      <c r="B175" s="22" t="s">
        <v>1</v>
      </c>
      <c r="C175" s="11">
        <v>49972837.516800001</v>
      </c>
      <c r="D175" s="11">
        <v>5611943.0170561848</v>
      </c>
      <c r="E175" s="11">
        <v>87760.18819557142</v>
      </c>
      <c r="F175" s="11">
        <v>3037955.7352070115</v>
      </c>
      <c r="G175" s="11">
        <v>994350.06839836994</v>
      </c>
      <c r="H175" s="11">
        <v>0</v>
      </c>
      <c r="I175" s="11">
        <v>1950000</v>
      </c>
      <c r="J175" s="11">
        <v>19329.921551105632</v>
      </c>
      <c r="K175" s="11">
        <v>424196.94999999995</v>
      </c>
      <c r="L175" s="11">
        <v>741717</v>
      </c>
      <c r="M175" s="11">
        <v>62840090.397208236</v>
      </c>
      <c r="N175" s="11">
        <v>344721.61542278528</v>
      </c>
      <c r="O175" s="11">
        <v>0</v>
      </c>
      <c r="P175" s="11">
        <v>63184812.012631021</v>
      </c>
      <c r="Q175" s="11">
        <v>-372808.5</v>
      </c>
      <c r="R175" s="11">
        <v>62812003.512631036</v>
      </c>
      <c r="S175" s="11">
        <v>0</v>
      </c>
      <c r="T175" s="11">
        <v>1118809.8700000001</v>
      </c>
      <c r="U175" s="11">
        <v>631568.32291666663</v>
      </c>
      <c r="V175" s="11">
        <v>0</v>
      </c>
      <c r="W175" s="11">
        <v>8517053.1677419357</v>
      </c>
      <c r="X175" s="11">
        <v>0</v>
      </c>
      <c r="Y175" s="11">
        <v>0</v>
      </c>
      <c r="Z175" s="11">
        <v>73079434.87328963</v>
      </c>
      <c r="AK175" s="11"/>
      <c r="AN175" s="11"/>
      <c r="AO175" s="11"/>
    </row>
    <row r="176" spans="1:41" x14ac:dyDescent="0.25">
      <c r="A176" s="30" t="s">
        <v>1363</v>
      </c>
      <c r="B176" s="22" t="s">
        <v>1364</v>
      </c>
      <c r="C176" s="11">
        <v>2527026.7558500003</v>
      </c>
      <c r="D176" s="11">
        <v>564522.573710775</v>
      </c>
      <c r="E176" s="11">
        <v>10704.403185056541</v>
      </c>
      <c r="F176" s="11">
        <v>305654.39599999989</v>
      </c>
      <c r="G176" s="11">
        <v>412249.45077321393</v>
      </c>
      <c r="H176" s="11">
        <v>154050.0019478242</v>
      </c>
      <c r="I176" s="11">
        <v>150000</v>
      </c>
      <c r="J176" s="11">
        <v>0</v>
      </c>
      <c r="K176" s="11">
        <v>12244.900000000005</v>
      </c>
      <c r="L176" s="11">
        <v>0</v>
      </c>
      <c r="M176" s="11">
        <v>4136452.4814668698</v>
      </c>
      <c r="N176" s="11">
        <v>0</v>
      </c>
      <c r="O176" s="11">
        <v>0</v>
      </c>
      <c r="P176" s="11">
        <v>4136452.4814668698</v>
      </c>
      <c r="Q176" s="11">
        <v>-50636.805</v>
      </c>
      <c r="R176" s="11">
        <v>4085815.6764668697</v>
      </c>
      <c r="S176" s="11">
        <v>17485</v>
      </c>
      <c r="T176" s="11">
        <v>826990.03500000003</v>
      </c>
      <c r="U176" s="11">
        <v>5826.5</v>
      </c>
      <c r="V176" s="11">
        <v>0</v>
      </c>
      <c r="W176" s="11">
        <v>302665</v>
      </c>
      <c r="X176" s="11">
        <v>42131.51003830359</v>
      </c>
      <c r="Y176" s="11">
        <v>0</v>
      </c>
      <c r="Z176" s="11">
        <v>5280913.7215051726</v>
      </c>
      <c r="AK176" s="11"/>
      <c r="AN176" s="11"/>
      <c r="AO176" s="11"/>
    </row>
    <row r="177" spans="1:41" x14ac:dyDescent="0.25">
      <c r="A177" s="30" t="s">
        <v>1363</v>
      </c>
      <c r="B177" s="22" t="s">
        <v>1214</v>
      </c>
      <c r="C177" s="11">
        <v>108372744.17715</v>
      </c>
      <c r="D177" s="11">
        <v>19096984.726803795</v>
      </c>
      <c r="E177" s="11">
        <v>192821.16214147917</v>
      </c>
      <c r="F177" s="11">
        <v>3343610.1312070112</v>
      </c>
      <c r="G177" s="11">
        <v>4265826.0355406785</v>
      </c>
      <c r="H177" s="11">
        <v>568469.81394798495</v>
      </c>
      <c r="I177" s="11">
        <v>9200000</v>
      </c>
      <c r="J177" s="11">
        <v>19329.921551105632</v>
      </c>
      <c r="K177" s="11">
        <v>696019.32303999981</v>
      </c>
      <c r="L177" s="11">
        <v>1033455</v>
      </c>
      <c r="M177" s="11">
        <v>146789260.29138207</v>
      </c>
      <c r="N177" s="11">
        <v>1023556.4722762828</v>
      </c>
      <c r="O177" s="11">
        <v>0</v>
      </c>
      <c r="P177" s="11">
        <v>147812816.76365831</v>
      </c>
      <c r="Q177" s="11">
        <v>-1934172.9849999999</v>
      </c>
      <c r="R177" s="29">
        <v>145878643.77865836</v>
      </c>
      <c r="S177" s="11">
        <v>1338270</v>
      </c>
      <c r="T177" s="11">
        <v>4637405.625</v>
      </c>
      <c r="U177" s="11">
        <v>1717939.1458333335</v>
      </c>
      <c r="V177" s="11">
        <v>0</v>
      </c>
      <c r="W177" s="11">
        <v>8819718.1677419357</v>
      </c>
      <c r="X177" s="11">
        <v>4135641.9990178975</v>
      </c>
      <c r="Y177" s="11">
        <v>0</v>
      </c>
      <c r="Z177" s="29">
        <v>166527618.71625146</v>
      </c>
      <c r="AK177" s="11"/>
      <c r="AN177" s="11"/>
      <c r="AO177" s="11"/>
    </row>
    <row r="178" spans="1:41" x14ac:dyDescent="0.25">
      <c r="AK178" s="11"/>
      <c r="AN178" s="11"/>
      <c r="AO178" s="11"/>
    </row>
    <row r="179" spans="1:41" x14ac:dyDescent="0.25">
      <c r="A179" s="30" t="s">
        <v>1365</v>
      </c>
      <c r="B179" s="22" t="s">
        <v>0</v>
      </c>
      <c r="C179" s="11">
        <v>55872879.904499985</v>
      </c>
      <c r="D179" s="11">
        <v>12920519.136036837</v>
      </c>
      <c r="E179" s="11">
        <v>94356.570760851217</v>
      </c>
      <c r="F179" s="11">
        <v>0</v>
      </c>
      <c r="G179" s="11">
        <v>2859226.5163690951</v>
      </c>
      <c r="H179" s="11">
        <v>414419.81200016075</v>
      </c>
      <c r="I179" s="11">
        <v>7100000</v>
      </c>
      <c r="J179" s="11">
        <v>0</v>
      </c>
      <c r="K179" s="11">
        <v>259577.47303999987</v>
      </c>
      <c r="L179" s="11">
        <v>291738</v>
      </c>
      <c r="M179" s="11">
        <v>79812717.412706971</v>
      </c>
      <c r="N179" s="11">
        <v>1068237.2130873241</v>
      </c>
      <c r="O179" s="11">
        <v>0</v>
      </c>
      <c r="P179" s="11">
        <v>80880954.625794291</v>
      </c>
      <c r="Q179" s="11">
        <v>-1510727.6799999999</v>
      </c>
      <c r="R179" s="29">
        <v>79370226.945794284</v>
      </c>
      <c r="S179" s="11">
        <v>1320785</v>
      </c>
      <c r="T179" s="11">
        <v>2691605.72</v>
      </c>
      <c r="U179" s="11">
        <v>1080544.3229166667</v>
      </c>
      <c r="V179" s="11">
        <v>0</v>
      </c>
      <c r="W179" s="11">
        <v>0</v>
      </c>
      <c r="X179" s="11">
        <v>4093510.4889795939</v>
      </c>
      <c r="Y179" s="11">
        <v>0</v>
      </c>
      <c r="Z179" s="29">
        <v>88556672.477690533</v>
      </c>
      <c r="AK179" s="11"/>
      <c r="AN179" s="11"/>
      <c r="AO179" s="11"/>
    </row>
    <row r="180" spans="1:41" x14ac:dyDescent="0.25">
      <c r="A180" s="30" t="s">
        <v>1365</v>
      </c>
      <c r="B180" s="22" t="s">
        <v>1</v>
      </c>
      <c r="C180" s="11">
        <v>49972837.516800001</v>
      </c>
      <c r="D180" s="11">
        <v>5611943.0170561848</v>
      </c>
      <c r="E180" s="11">
        <v>87760.18819557142</v>
      </c>
      <c r="F180" s="11">
        <v>3037955.7352070115</v>
      </c>
      <c r="G180" s="11">
        <v>994350.06839836994</v>
      </c>
      <c r="H180" s="11">
        <v>0</v>
      </c>
      <c r="I180" s="11">
        <v>1950000</v>
      </c>
      <c r="J180" s="11">
        <v>19329.921551105632</v>
      </c>
      <c r="K180" s="11">
        <v>424196.94999999995</v>
      </c>
      <c r="L180" s="11">
        <v>741717</v>
      </c>
      <c r="M180" s="11">
        <v>62840090.397208236</v>
      </c>
      <c r="N180" s="11">
        <v>185772.72940348927</v>
      </c>
      <c r="O180" s="11">
        <v>0</v>
      </c>
      <c r="P180" s="11">
        <v>63025863.126611732</v>
      </c>
      <c r="Q180" s="11">
        <v>-372808.5</v>
      </c>
      <c r="R180" s="29">
        <v>62653054.626611732</v>
      </c>
      <c r="S180" s="11">
        <v>0</v>
      </c>
      <c r="T180" s="11">
        <v>1118809.8700000001</v>
      </c>
      <c r="U180" s="11">
        <v>631568.32291666663</v>
      </c>
      <c r="V180" s="11">
        <v>0</v>
      </c>
      <c r="W180" s="11">
        <v>8517053.1677419357</v>
      </c>
      <c r="X180" s="11">
        <v>0</v>
      </c>
      <c r="Y180" s="11">
        <v>0</v>
      </c>
      <c r="Z180" s="29">
        <v>72920485.98727034</v>
      </c>
      <c r="AK180" s="11"/>
      <c r="AN180" s="11"/>
      <c r="AO180" s="11"/>
    </row>
    <row r="181" spans="1:41" x14ac:dyDescent="0.25">
      <c r="A181" s="30" t="s">
        <v>1365</v>
      </c>
      <c r="B181" s="22" t="s">
        <v>1364</v>
      </c>
      <c r="C181" s="11">
        <v>2527026.7558500003</v>
      </c>
      <c r="D181" s="11">
        <v>564522.573710775</v>
      </c>
      <c r="E181" s="11">
        <v>10704.403185056541</v>
      </c>
      <c r="F181" s="11">
        <v>305654.39599999989</v>
      </c>
      <c r="G181" s="11">
        <v>412249.45077321393</v>
      </c>
      <c r="H181" s="11">
        <v>154050.0019478242</v>
      </c>
      <c r="I181" s="11">
        <v>150000</v>
      </c>
      <c r="J181" s="11">
        <v>0</v>
      </c>
      <c r="K181" s="11">
        <v>12244.900000000005</v>
      </c>
      <c r="L181" s="11">
        <v>0</v>
      </c>
      <c r="M181" s="11">
        <v>4136452.4814668698</v>
      </c>
      <c r="N181" s="11">
        <v>0</v>
      </c>
      <c r="O181" s="11">
        <v>0</v>
      </c>
      <c r="P181" s="11">
        <v>4136452.4814668698</v>
      </c>
      <c r="Q181" s="11">
        <v>-50636.805</v>
      </c>
      <c r="R181" s="29">
        <v>4085815.6764668697</v>
      </c>
      <c r="S181" s="11">
        <v>17485</v>
      </c>
      <c r="T181" s="11">
        <v>826990.03500000003</v>
      </c>
      <c r="U181" s="11">
        <v>5826.5</v>
      </c>
      <c r="V181" s="11">
        <v>0</v>
      </c>
      <c r="W181" s="11">
        <v>302665</v>
      </c>
      <c r="X181" s="11">
        <v>42131.51003830359</v>
      </c>
      <c r="Y181" s="11">
        <v>0</v>
      </c>
      <c r="Z181" s="29">
        <v>5280913.7215051726</v>
      </c>
      <c r="AK181" s="11"/>
      <c r="AN181" s="11"/>
      <c r="AO181" s="11"/>
    </row>
    <row r="182" spans="1:41" x14ac:dyDescent="0.25">
      <c r="C182" s="11">
        <v>108372744.17715</v>
      </c>
      <c r="D182" s="11">
        <v>19096984.726803795</v>
      </c>
      <c r="E182" s="11">
        <v>192821.16214147917</v>
      </c>
      <c r="F182" s="11">
        <v>3343610.1312070112</v>
      </c>
      <c r="G182" s="11">
        <v>4265826.0355406785</v>
      </c>
      <c r="H182" s="11">
        <v>568469.81394798495</v>
      </c>
      <c r="I182" s="11">
        <v>9200000</v>
      </c>
      <c r="J182" s="11">
        <v>19329.921551105632</v>
      </c>
      <c r="K182" s="11">
        <v>696019.32303999981</v>
      </c>
      <c r="L182" s="11">
        <v>1033455</v>
      </c>
      <c r="M182" s="11">
        <v>146789260.29138207</v>
      </c>
      <c r="N182" s="11">
        <v>1254009.9424908133</v>
      </c>
      <c r="O182" s="11">
        <v>0</v>
      </c>
      <c r="P182" s="11">
        <v>148043270.23387289</v>
      </c>
      <c r="Q182" s="11">
        <v>-1934172.9849999999</v>
      </c>
      <c r="R182" s="29">
        <v>146109097.24887291</v>
      </c>
      <c r="S182" s="11">
        <v>1338270</v>
      </c>
      <c r="T182" s="11">
        <v>4637405.625</v>
      </c>
      <c r="U182" s="11">
        <v>1717939.1458333335</v>
      </c>
      <c r="V182" s="11">
        <v>0</v>
      </c>
      <c r="W182" s="11">
        <v>8819718.1677419357</v>
      </c>
      <c r="X182" s="11">
        <v>4135641.9990178975</v>
      </c>
      <c r="Y182" s="11">
        <v>0</v>
      </c>
      <c r="Z182" s="29">
        <v>166758072.18646604</v>
      </c>
      <c r="AK182" s="11"/>
      <c r="AN182" s="11"/>
      <c r="AO182" s="11"/>
    </row>
    <row r="183" spans="1:41" x14ac:dyDescent="0.25">
      <c r="AK183" s="11"/>
      <c r="AN183" s="11"/>
      <c r="AO183" s="11"/>
    </row>
    <row r="184" spans="1:41" x14ac:dyDescent="0.25">
      <c r="A184" s="30" t="s">
        <v>1366</v>
      </c>
      <c r="B184" s="22" t="s">
        <v>835</v>
      </c>
      <c r="C184" s="11">
        <f>C182-C177</f>
        <v>0</v>
      </c>
      <c r="D184" s="11">
        <f t="shared" ref="D184:Z184" si="69">D182-D177</f>
        <v>0</v>
      </c>
      <c r="E184" s="11">
        <f t="shared" si="69"/>
        <v>0</v>
      </c>
      <c r="F184" s="11">
        <f t="shared" si="69"/>
        <v>0</v>
      </c>
      <c r="G184" s="11">
        <f t="shared" si="69"/>
        <v>0</v>
      </c>
      <c r="H184" s="11">
        <f t="shared" si="69"/>
        <v>0</v>
      </c>
      <c r="I184" s="11">
        <f t="shared" si="69"/>
        <v>0</v>
      </c>
      <c r="J184" s="11">
        <f t="shared" si="69"/>
        <v>0</v>
      </c>
      <c r="K184" s="11">
        <f t="shared" si="69"/>
        <v>0</v>
      </c>
      <c r="L184" s="11">
        <f t="shared" si="69"/>
        <v>0</v>
      </c>
      <c r="M184" s="11">
        <f t="shared" si="69"/>
        <v>0</v>
      </c>
      <c r="N184" s="11">
        <f t="shared" si="69"/>
        <v>230453.47021453048</v>
      </c>
      <c r="O184" s="11">
        <f t="shared" si="69"/>
        <v>0</v>
      </c>
      <c r="P184" s="11">
        <f t="shared" si="69"/>
        <v>230453.47021457553</v>
      </c>
      <c r="Q184" s="11">
        <f t="shared" si="69"/>
        <v>0</v>
      </c>
      <c r="R184" s="11">
        <f t="shared" si="69"/>
        <v>230453.47021454573</v>
      </c>
      <c r="S184" s="11">
        <f t="shared" si="69"/>
        <v>0</v>
      </c>
      <c r="T184" s="11">
        <f t="shared" si="69"/>
        <v>0</v>
      </c>
      <c r="U184" s="11">
        <f t="shared" si="69"/>
        <v>0</v>
      </c>
      <c r="V184" s="11">
        <f t="shared" si="69"/>
        <v>0</v>
      </c>
      <c r="W184" s="11">
        <f t="shared" si="69"/>
        <v>0</v>
      </c>
      <c r="X184" s="11">
        <f t="shared" si="69"/>
        <v>0</v>
      </c>
      <c r="Y184" s="11">
        <f t="shared" si="69"/>
        <v>0</v>
      </c>
      <c r="Z184" s="11">
        <f t="shared" si="69"/>
        <v>230453.47021457553</v>
      </c>
      <c r="AK184" s="11"/>
      <c r="AN184" s="11"/>
      <c r="AO184" s="11"/>
    </row>
    <row r="185" spans="1:41" x14ac:dyDescent="0.25">
      <c r="AK185" s="11"/>
      <c r="AN185" s="11"/>
      <c r="AO185" s="11"/>
    </row>
    <row r="186" spans="1:41" x14ac:dyDescent="0.25">
      <c r="AK186" s="11"/>
      <c r="AN186" s="11"/>
      <c r="AO186" s="11"/>
    </row>
    <row r="187" spans="1:41" x14ac:dyDescent="0.25">
      <c r="AK187" s="11"/>
      <c r="AN187" s="11"/>
      <c r="AO187" s="11"/>
    </row>
    <row r="188" spans="1:41" x14ac:dyDescent="0.25">
      <c r="A188" s="30" t="s">
        <v>1367</v>
      </c>
      <c r="B188" s="22" t="s">
        <v>0</v>
      </c>
      <c r="C188" s="11">
        <f t="shared" ref="C188:Z188" si="70">C75</f>
        <v>59085993.875107348</v>
      </c>
      <c r="D188" s="11">
        <f t="shared" si="70"/>
        <v>11680747.947238836</v>
      </c>
      <c r="E188" s="11">
        <f t="shared" si="70"/>
        <v>92418.583563810898</v>
      </c>
      <c r="F188" s="11">
        <f t="shared" si="70"/>
        <v>0</v>
      </c>
      <c r="G188" s="11">
        <f t="shared" si="70"/>
        <v>3032086.3569122106</v>
      </c>
      <c r="H188" s="11">
        <f t="shared" si="70"/>
        <v>417577.21689772222</v>
      </c>
      <c r="I188" s="11">
        <f t="shared" si="70"/>
        <v>7200000</v>
      </c>
      <c r="J188" s="11">
        <f t="shared" si="70"/>
        <v>0</v>
      </c>
      <c r="K188" s="11">
        <f t="shared" si="70"/>
        <v>1053547.8651999999</v>
      </c>
      <c r="L188" s="11">
        <f t="shared" si="70"/>
        <v>296937.67</v>
      </c>
      <c r="M188" s="11">
        <f t="shared" si="70"/>
        <v>82859309.514919937</v>
      </c>
      <c r="N188" s="11">
        <f t="shared" si="70"/>
        <v>858815.37535881891</v>
      </c>
      <c r="O188" s="11">
        <f t="shared" si="70"/>
        <v>0</v>
      </c>
      <c r="P188" s="11">
        <f t="shared" si="70"/>
        <v>83718124.890278757</v>
      </c>
      <c r="Q188" s="11">
        <f t="shared" si="70"/>
        <v>-1348614.2891666663</v>
      </c>
      <c r="R188" s="11">
        <f t="shared" si="70"/>
        <v>82369510.601112038</v>
      </c>
      <c r="S188" s="11">
        <f t="shared" si="70"/>
        <v>1324904.6062992127</v>
      </c>
      <c r="T188" s="11">
        <f t="shared" si="70"/>
        <v>2455728.7549999999</v>
      </c>
      <c r="U188" s="11">
        <f t="shared" si="70"/>
        <v>1305055.135</v>
      </c>
      <c r="V188" s="11">
        <f t="shared" si="70"/>
        <v>0</v>
      </c>
      <c r="W188" s="11">
        <f t="shared" si="70"/>
        <v>0</v>
      </c>
      <c r="X188" s="11">
        <f t="shared" si="70"/>
        <v>4086021.9083195897</v>
      </c>
      <c r="Y188" s="11">
        <f t="shared" si="70"/>
        <v>0</v>
      </c>
      <c r="Z188" s="11">
        <f t="shared" si="70"/>
        <v>91541221.005730897</v>
      </c>
      <c r="AK188" s="11"/>
      <c r="AN188" s="11"/>
      <c r="AO188" s="11"/>
    </row>
    <row r="189" spans="1:41" x14ac:dyDescent="0.25">
      <c r="A189" s="30" t="s">
        <v>1367</v>
      </c>
      <c r="B189" s="22" t="s">
        <v>1</v>
      </c>
      <c r="C189" s="11">
        <f t="shared" ref="C189:Z189" si="71">C93</f>
        <v>52536702.597183995</v>
      </c>
      <c r="D189" s="11">
        <f t="shared" si="71"/>
        <v>5187779.2491823807</v>
      </c>
      <c r="E189" s="11">
        <f t="shared" si="71"/>
        <v>84558.243189635701</v>
      </c>
      <c r="F189" s="11">
        <f t="shared" si="71"/>
        <v>2836796.7749095438</v>
      </c>
      <c r="G189" s="11">
        <f t="shared" si="71"/>
        <v>945479.27120872645</v>
      </c>
      <c r="H189" s="11">
        <f t="shared" si="71"/>
        <v>0</v>
      </c>
      <c r="I189" s="11">
        <f t="shared" si="71"/>
        <v>2100000</v>
      </c>
      <c r="J189" s="11">
        <f t="shared" si="71"/>
        <v>0</v>
      </c>
      <c r="K189" s="11">
        <f t="shared" si="71"/>
        <v>438389.5259999999</v>
      </c>
      <c r="L189" s="11">
        <f t="shared" si="71"/>
        <v>747883.41999999993</v>
      </c>
      <c r="M189" s="11">
        <f t="shared" si="71"/>
        <v>64877589.081674293</v>
      </c>
      <c r="N189" s="11">
        <f t="shared" si="71"/>
        <v>104551.21458545281</v>
      </c>
      <c r="O189" s="11">
        <f t="shared" si="71"/>
        <v>0</v>
      </c>
      <c r="P189" s="11">
        <f t="shared" si="71"/>
        <v>64982140.296259739</v>
      </c>
      <c r="Q189" s="11">
        <f t="shared" si="71"/>
        <v>-316480.85000000003</v>
      </c>
      <c r="R189" s="11">
        <f t="shared" si="71"/>
        <v>64665659.446259737</v>
      </c>
      <c r="S189" s="11">
        <f t="shared" si="71"/>
        <v>0</v>
      </c>
      <c r="T189" s="11">
        <f t="shared" si="71"/>
        <v>1201920.51</v>
      </c>
      <c r="U189" s="11">
        <f t="shared" si="71"/>
        <v>658637.29000000015</v>
      </c>
      <c r="V189" s="11">
        <f t="shared" si="71"/>
        <v>0</v>
      </c>
      <c r="W189" s="11">
        <f t="shared" si="71"/>
        <v>0</v>
      </c>
      <c r="X189" s="11">
        <f t="shared" si="71"/>
        <v>0</v>
      </c>
      <c r="Y189" s="11">
        <f t="shared" si="71"/>
        <v>0</v>
      </c>
      <c r="Z189" s="11">
        <f t="shared" si="71"/>
        <v>66526217.246259741</v>
      </c>
      <c r="AK189" s="11"/>
      <c r="AN189" s="11"/>
      <c r="AO189" s="11"/>
    </row>
    <row r="190" spans="1:41" x14ac:dyDescent="0.25">
      <c r="A190" s="30" t="s">
        <v>1367</v>
      </c>
      <c r="B190" s="22" t="s">
        <v>1364</v>
      </c>
      <c r="C190" s="11">
        <f t="shared" ref="C190:Z190" si="72">C97</f>
        <v>2739005.5803370001</v>
      </c>
      <c r="D190" s="11">
        <f t="shared" si="72"/>
        <v>535205.58841569931</v>
      </c>
      <c r="E190" s="11">
        <f t="shared" si="72"/>
        <v>13271.421642412663</v>
      </c>
      <c r="F190" s="11">
        <f t="shared" si="72"/>
        <v>284460.0654545452</v>
      </c>
      <c r="G190" s="11">
        <f t="shared" si="72"/>
        <v>406277.95871940942</v>
      </c>
      <c r="H190" s="11">
        <f t="shared" si="72"/>
        <v>184569.45799558307</v>
      </c>
      <c r="I190" s="11">
        <f t="shared" si="72"/>
        <v>150000</v>
      </c>
      <c r="J190" s="11">
        <f t="shared" si="72"/>
        <v>0</v>
      </c>
      <c r="K190" s="11">
        <f t="shared" si="72"/>
        <v>18806.963999999993</v>
      </c>
      <c r="L190" s="11">
        <f t="shared" si="72"/>
        <v>0</v>
      </c>
      <c r="M190" s="11">
        <f t="shared" si="72"/>
        <v>4331597.0365646491</v>
      </c>
      <c r="N190" s="11">
        <f t="shared" si="72"/>
        <v>26721.411946430802</v>
      </c>
      <c r="O190" s="11">
        <f t="shared" si="72"/>
        <v>0</v>
      </c>
      <c r="P190" s="11">
        <f t="shared" si="72"/>
        <v>4358318.4485110799</v>
      </c>
      <c r="Q190" s="11">
        <f t="shared" si="72"/>
        <v>-46471.561249999999</v>
      </c>
      <c r="R190" s="11">
        <f t="shared" si="72"/>
        <v>4311846.8872610796</v>
      </c>
      <c r="S190" s="11">
        <f t="shared" si="72"/>
        <v>13365.393700787401</v>
      </c>
      <c r="T190" s="11">
        <f t="shared" si="72"/>
        <v>683707.01</v>
      </c>
      <c r="U190" s="11">
        <f t="shared" si="72"/>
        <v>2427.71</v>
      </c>
      <c r="V190" s="11">
        <f t="shared" si="72"/>
        <v>0</v>
      </c>
      <c r="W190" s="11">
        <f t="shared" si="72"/>
        <v>0</v>
      </c>
      <c r="X190" s="11">
        <f t="shared" si="72"/>
        <v>26786.719400000002</v>
      </c>
      <c r="Y190" s="11">
        <f t="shared" si="72"/>
        <v>0</v>
      </c>
      <c r="Z190" s="11">
        <f t="shared" si="72"/>
        <v>5038133.720361867</v>
      </c>
      <c r="AK190" s="11"/>
      <c r="AN190" s="11"/>
      <c r="AO190" s="11"/>
    </row>
    <row r="191" spans="1:41" x14ac:dyDescent="0.25">
      <c r="A191" s="30" t="s">
        <v>1367</v>
      </c>
      <c r="B191" s="22" t="s">
        <v>1214</v>
      </c>
      <c r="C191" s="11">
        <f t="shared" ref="C191:Z191" si="73">C101</f>
        <v>114361702.05262835</v>
      </c>
      <c r="D191" s="11">
        <f t="shared" si="73"/>
        <v>17403732.784836918</v>
      </c>
      <c r="E191" s="11">
        <f t="shared" si="73"/>
        <v>190248.24839585926</v>
      </c>
      <c r="F191" s="11">
        <f t="shared" si="73"/>
        <v>3121256.8403640892</v>
      </c>
      <c r="G191" s="11">
        <f t="shared" si="73"/>
        <v>4383843.5868403465</v>
      </c>
      <c r="H191" s="11">
        <f t="shared" si="73"/>
        <v>602146.67489330529</v>
      </c>
      <c r="I191" s="11">
        <f t="shared" si="73"/>
        <v>9450000</v>
      </c>
      <c r="J191" s="11">
        <f t="shared" si="73"/>
        <v>0</v>
      </c>
      <c r="K191" s="11">
        <f t="shared" si="73"/>
        <v>1510744.3551999996</v>
      </c>
      <c r="L191" s="11">
        <f t="shared" si="73"/>
        <v>1044821.0899999999</v>
      </c>
      <c r="M191" s="11">
        <f t="shared" si="73"/>
        <v>152068495.63315886</v>
      </c>
      <c r="N191" s="11">
        <f t="shared" si="73"/>
        <v>990088.00189070252</v>
      </c>
      <c r="O191" s="11">
        <f t="shared" si="73"/>
        <v>0</v>
      </c>
      <c r="P191" s="11">
        <f t="shared" si="73"/>
        <v>153058583.63504958</v>
      </c>
      <c r="Q191" s="11">
        <f t="shared" si="73"/>
        <v>-1711566.7004166665</v>
      </c>
      <c r="R191" s="11">
        <f t="shared" si="73"/>
        <v>151347016.93463287</v>
      </c>
      <c r="S191" s="11">
        <f t="shared" si="73"/>
        <v>1338270</v>
      </c>
      <c r="T191" s="11">
        <f t="shared" si="73"/>
        <v>4341356.2749999994</v>
      </c>
      <c r="U191" s="11">
        <f t="shared" si="73"/>
        <v>1966120.1350000002</v>
      </c>
      <c r="V191" s="11">
        <f t="shared" si="73"/>
        <v>0</v>
      </c>
      <c r="W191" s="11">
        <f t="shared" si="73"/>
        <v>0</v>
      </c>
      <c r="X191" s="11">
        <f t="shared" si="73"/>
        <v>4112808.6277195895</v>
      </c>
      <c r="Y191" s="11">
        <f t="shared" si="73"/>
        <v>0</v>
      </c>
      <c r="Z191" s="11">
        <f t="shared" si="73"/>
        <v>163105571.9723525</v>
      </c>
      <c r="AK191" s="11"/>
      <c r="AN191" s="11"/>
      <c r="AO191" s="11"/>
    </row>
    <row r="192" spans="1:41" x14ac:dyDescent="0.25">
      <c r="R192" s="11"/>
      <c r="Z192" s="11"/>
      <c r="AK192" s="11"/>
      <c r="AN192" s="11"/>
      <c r="AO192" s="11"/>
    </row>
    <row r="193" spans="1:41" x14ac:dyDescent="0.25">
      <c r="A193" s="22" t="s">
        <v>835</v>
      </c>
      <c r="B193" s="22" t="s">
        <v>0</v>
      </c>
      <c r="C193" s="11">
        <f>C188-C174</f>
        <v>3213113.9706073627</v>
      </c>
      <c r="D193" s="11">
        <f t="shared" ref="D193:Z196" si="74">D188-D174</f>
        <v>-1239771.188798001</v>
      </c>
      <c r="E193" s="11">
        <f t="shared" si="74"/>
        <v>-1937.9871970403183</v>
      </c>
      <c r="F193" s="11">
        <f t="shared" si="74"/>
        <v>0</v>
      </c>
      <c r="G193" s="11">
        <f t="shared" si="74"/>
        <v>172859.84054311551</v>
      </c>
      <c r="H193" s="11">
        <f t="shared" si="74"/>
        <v>3157.4048975614714</v>
      </c>
      <c r="I193" s="11">
        <f t="shared" si="74"/>
        <v>100000</v>
      </c>
      <c r="J193" s="11">
        <f t="shared" si="74"/>
        <v>0</v>
      </c>
      <c r="K193" s="11">
        <f t="shared" si="74"/>
        <v>793970.39216000005</v>
      </c>
      <c r="L193" s="11">
        <f t="shared" si="74"/>
        <v>5199.6699999999837</v>
      </c>
      <c r="M193" s="11">
        <f t="shared" si="74"/>
        <v>3046592.1022129655</v>
      </c>
      <c r="N193" s="11">
        <f t="shared" si="74"/>
        <v>179980.51850532135</v>
      </c>
      <c r="O193" s="11">
        <f t="shared" si="74"/>
        <v>0</v>
      </c>
      <c r="P193" s="11">
        <f t="shared" si="74"/>
        <v>3226572.6207183152</v>
      </c>
      <c r="Q193" s="11">
        <f t="shared" si="74"/>
        <v>162113.3908333336</v>
      </c>
      <c r="R193" s="11">
        <f t="shared" si="74"/>
        <v>3388686.0115515888</v>
      </c>
      <c r="S193" s="11">
        <f t="shared" si="74"/>
        <v>4119.6062992126681</v>
      </c>
      <c r="T193" s="11">
        <f t="shared" si="74"/>
        <v>-235876.96500000032</v>
      </c>
      <c r="U193" s="11">
        <f t="shared" si="74"/>
        <v>224510.81208333327</v>
      </c>
      <c r="V193" s="11">
        <f t="shared" si="74"/>
        <v>0</v>
      </c>
      <c r="W193" s="11">
        <f t="shared" si="74"/>
        <v>0</v>
      </c>
      <c r="X193" s="11">
        <f t="shared" si="74"/>
        <v>-7488.5806600041687</v>
      </c>
      <c r="Y193" s="11">
        <f t="shared" si="74"/>
        <v>0</v>
      </c>
      <c r="Z193" s="11">
        <f t="shared" si="74"/>
        <v>3373950.8842742294</v>
      </c>
      <c r="AK193" s="11"/>
      <c r="AN193" s="11"/>
      <c r="AO193" s="11"/>
    </row>
    <row r="194" spans="1:41" x14ac:dyDescent="0.25">
      <c r="A194" s="22" t="s">
        <v>835</v>
      </c>
      <c r="B194" s="22" t="s">
        <v>1</v>
      </c>
      <c r="C194" s="11">
        <f>C189-C175</f>
        <v>2563865.0803839937</v>
      </c>
      <c r="D194" s="11">
        <f t="shared" si="74"/>
        <v>-424163.76787380408</v>
      </c>
      <c r="E194" s="11">
        <f t="shared" si="74"/>
        <v>-3201.9450059357187</v>
      </c>
      <c r="F194" s="11">
        <f t="shared" si="74"/>
        <v>-201158.96029746765</v>
      </c>
      <c r="G194" s="11">
        <f t="shared" si="74"/>
        <v>-48870.79718964349</v>
      </c>
      <c r="H194" s="11">
        <f t="shared" si="74"/>
        <v>0</v>
      </c>
      <c r="I194" s="11">
        <f t="shared" si="74"/>
        <v>150000</v>
      </c>
      <c r="J194" s="11">
        <f t="shared" si="74"/>
        <v>-19329.921551105632</v>
      </c>
      <c r="K194" s="11">
        <f t="shared" si="74"/>
        <v>14192.575999999943</v>
      </c>
      <c r="L194" s="11">
        <f t="shared" si="74"/>
        <v>6166.4199999999255</v>
      </c>
      <c r="M194" s="11">
        <f t="shared" si="74"/>
        <v>2037498.6844660565</v>
      </c>
      <c r="N194" s="11">
        <f t="shared" si="74"/>
        <v>-240170.40083733248</v>
      </c>
      <c r="O194" s="11">
        <f t="shared" si="74"/>
        <v>0</v>
      </c>
      <c r="P194" s="11">
        <f t="shared" si="74"/>
        <v>1797328.2836287171</v>
      </c>
      <c r="Q194" s="11">
        <f t="shared" si="74"/>
        <v>56327.649999999965</v>
      </c>
      <c r="R194" s="11">
        <f t="shared" si="74"/>
        <v>1853655.9336287007</v>
      </c>
      <c r="S194" s="11">
        <f t="shared" si="74"/>
        <v>0</v>
      </c>
      <c r="T194" s="11">
        <f t="shared" si="74"/>
        <v>83110.639999999898</v>
      </c>
      <c r="U194" s="11">
        <f t="shared" si="74"/>
        <v>27068.967083333526</v>
      </c>
      <c r="V194" s="11">
        <f t="shared" si="74"/>
        <v>0</v>
      </c>
      <c r="W194" s="11">
        <f t="shared" si="74"/>
        <v>-8517053.1677419357</v>
      </c>
      <c r="X194" s="11">
        <f t="shared" si="74"/>
        <v>0</v>
      </c>
      <c r="Y194" s="11">
        <f t="shared" si="74"/>
        <v>0</v>
      </c>
      <c r="Z194" s="11">
        <f t="shared" si="74"/>
        <v>-6553217.6270298883</v>
      </c>
      <c r="AK194" s="11"/>
      <c r="AN194" s="11"/>
      <c r="AO194" s="11"/>
    </row>
    <row r="195" spans="1:41" x14ac:dyDescent="0.25">
      <c r="A195" s="22" t="s">
        <v>835</v>
      </c>
      <c r="B195" s="22" t="s">
        <v>1364</v>
      </c>
      <c r="C195" s="11">
        <f>C190-C176</f>
        <v>211978.82448699977</v>
      </c>
      <c r="D195" s="11">
        <f t="shared" si="74"/>
        <v>-29316.98529507569</v>
      </c>
      <c r="E195" s="11">
        <f t="shared" si="74"/>
        <v>2567.0184573561219</v>
      </c>
      <c r="F195" s="11">
        <f t="shared" si="74"/>
        <v>-21194.330545454693</v>
      </c>
      <c r="G195" s="11">
        <f t="shared" si="74"/>
        <v>-5971.4920538045117</v>
      </c>
      <c r="H195" s="11">
        <f t="shared" si="74"/>
        <v>30519.456047758867</v>
      </c>
      <c r="I195" s="11">
        <f t="shared" si="74"/>
        <v>0</v>
      </c>
      <c r="J195" s="11">
        <f t="shared" si="74"/>
        <v>0</v>
      </c>
      <c r="K195" s="11">
        <f t="shared" si="74"/>
        <v>6562.0639999999876</v>
      </c>
      <c r="L195" s="11">
        <f t="shared" si="74"/>
        <v>0</v>
      </c>
      <c r="M195" s="11">
        <f t="shared" si="74"/>
        <v>195144.55509777926</v>
      </c>
      <c r="N195" s="11">
        <f t="shared" si="74"/>
        <v>26721.411946430802</v>
      </c>
      <c r="O195" s="11">
        <f t="shared" si="74"/>
        <v>0</v>
      </c>
      <c r="P195" s="11">
        <f t="shared" si="74"/>
        <v>221865.96704421006</v>
      </c>
      <c r="Q195" s="11">
        <f t="shared" si="74"/>
        <v>4165.2437500000015</v>
      </c>
      <c r="R195" s="11">
        <f t="shared" si="74"/>
        <v>226031.21079420997</v>
      </c>
      <c r="S195" s="11">
        <f t="shared" si="74"/>
        <v>-4119.606299212599</v>
      </c>
      <c r="T195" s="11">
        <f t="shared" si="74"/>
        <v>-143283.02500000002</v>
      </c>
      <c r="U195" s="11">
        <f t="shared" si="74"/>
        <v>-3398.79</v>
      </c>
      <c r="V195" s="11">
        <f t="shared" si="74"/>
        <v>0</v>
      </c>
      <c r="W195" s="11">
        <f t="shared" si="74"/>
        <v>-302665</v>
      </c>
      <c r="X195" s="11">
        <f t="shared" si="74"/>
        <v>-15344.790638303588</v>
      </c>
      <c r="Y195" s="11">
        <f t="shared" si="74"/>
        <v>0</v>
      </c>
      <c r="Z195" s="11">
        <f t="shared" si="74"/>
        <v>-242780.00114330556</v>
      </c>
      <c r="AK195" s="11"/>
      <c r="AN195" s="11"/>
      <c r="AO195" s="11"/>
    </row>
    <row r="196" spans="1:41" x14ac:dyDescent="0.25">
      <c r="A196" s="22" t="s">
        <v>835</v>
      </c>
      <c r="B196" s="22" t="s">
        <v>1214</v>
      </c>
      <c r="C196" s="11">
        <f>C191-C177</f>
        <v>5988957.8754783571</v>
      </c>
      <c r="D196" s="11">
        <f t="shared" si="74"/>
        <v>-1693251.9419668764</v>
      </c>
      <c r="E196" s="11">
        <f t="shared" si="74"/>
        <v>-2572.9137456199096</v>
      </c>
      <c r="F196" s="11">
        <f t="shared" si="74"/>
        <v>-222353.29084292194</v>
      </c>
      <c r="G196" s="11">
        <f t="shared" si="74"/>
        <v>118017.55129966792</v>
      </c>
      <c r="H196" s="11">
        <f t="shared" si="74"/>
        <v>33676.860945320339</v>
      </c>
      <c r="I196" s="11">
        <f t="shared" si="74"/>
        <v>250000</v>
      </c>
      <c r="J196" s="11">
        <f t="shared" si="74"/>
        <v>-19329.921551105632</v>
      </c>
      <c r="K196" s="11">
        <f t="shared" si="74"/>
        <v>814725.03215999983</v>
      </c>
      <c r="L196" s="11">
        <f t="shared" si="74"/>
        <v>11366.089999999851</v>
      </c>
      <c r="M196" s="11">
        <f t="shared" si="74"/>
        <v>5279235.3417767882</v>
      </c>
      <c r="N196" s="11">
        <f t="shared" si="74"/>
        <v>-33468.470385580324</v>
      </c>
      <c r="O196" s="11">
        <f t="shared" si="74"/>
        <v>0</v>
      </c>
      <c r="P196" s="11">
        <f t="shared" si="74"/>
        <v>5245766.8713912666</v>
      </c>
      <c r="Q196" s="11">
        <f t="shared" si="74"/>
        <v>222606.28458333341</v>
      </c>
      <c r="R196" s="11">
        <f t="shared" si="74"/>
        <v>5468373.1559745073</v>
      </c>
      <c r="S196" s="11">
        <f t="shared" si="74"/>
        <v>0</v>
      </c>
      <c r="T196" s="11">
        <f t="shared" si="74"/>
        <v>-296049.35000000056</v>
      </c>
      <c r="U196" s="11">
        <f t="shared" si="74"/>
        <v>248180.98916666675</v>
      </c>
      <c r="V196" s="11">
        <f t="shared" si="74"/>
        <v>0</v>
      </c>
      <c r="W196" s="11">
        <f t="shared" si="74"/>
        <v>-8819718.1677419357</v>
      </c>
      <c r="X196" s="11">
        <f t="shared" si="74"/>
        <v>-22833.371298308019</v>
      </c>
      <c r="Y196" s="11">
        <f t="shared" si="74"/>
        <v>0</v>
      </c>
      <c r="Z196" s="11">
        <f t="shared" si="74"/>
        <v>-3422046.743898958</v>
      </c>
      <c r="AK196" s="11"/>
      <c r="AN196" s="11"/>
      <c r="AO196" s="11"/>
    </row>
    <row r="197" spans="1:41" x14ac:dyDescent="0.25">
      <c r="AK197" s="11"/>
      <c r="AN197" s="11"/>
      <c r="AO197" s="11"/>
    </row>
    <row r="198" spans="1:41" x14ac:dyDescent="0.25">
      <c r="B198" s="22" t="s">
        <v>1368</v>
      </c>
      <c r="C198" s="11">
        <v>108372744.17715001</v>
      </c>
      <c r="D198" s="11">
        <v>19096984.726803802</v>
      </c>
      <c r="E198" s="11">
        <v>192821.16214147917</v>
      </c>
      <c r="F198" s="11">
        <v>3343610.1312070116</v>
      </c>
      <c r="G198" s="11">
        <v>4265826.0355406795</v>
      </c>
      <c r="H198" s="11">
        <v>568469.81394798495</v>
      </c>
      <c r="I198" s="11">
        <v>9200000</v>
      </c>
      <c r="J198" s="11">
        <v>19329.921551105632</v>
      </c>
      <c r="K198" s="11">
        <v>1462819.4600000002</v>
      </c>
      <c r="L198" s="11">
        <v>1033455</v>
      </c>
      <c r="M198" s="11">
        <v>147556060.42834201</v>
      </c>
      <c r="N198" s="982">
        <v>835163.73166147084</v>
      </c>
      <c r="O198" s="982">
        <f>0</f>
        <v>0</v>
      </c>
      <c r="P198" s="11">
        <v>148391224.16000351</v>
      </c>
      <c r="Q198" s="11">
        <v>0</v>
      </c>
      <c r="R198" s="29">
        <v>148391224.16000351</v>
      </c>
      <c r="AK198" s="11"/>
      <c r="AN198" s="11"/>
      <c r="AO198" s="11"/>
    </row>
    <row r="199" spans="1:41" x14ac:dyDescent="0.25">
      <c r="B199" s="22" t="s">
        <v>855</v>
      </c>
      <c r="C199" s="11">
        <f t="shared" ref="C199:R199" si="75">C101-C198</f>
        <v>5988957.8754783422</v>
      </c>
      <c r="D199" s="11">
        <f t="shared" si="75"/>
        <v>-1693251.9419668838</v>
      </c>
      <c r="E199" s="11">
        <f t="shared" si="75"/>
        <v>-2572.9137456199096</v>
      </c>
      <c r="F199" s="11">
        <f t="shared" si="75"/>
        <v>-222353.2908429224</v>
      </c>
      <c r="G199" s="11">
        <f t="shared" si="75"/>
        <v>118017.55129966699</v>
      </c>
      <c r="H199" s="11">
        <f t="shared" si="75"/>
        <v>33676.860945320339</v>
      </c>
      <c r="I199" s="11">
        <f t="shared" si="75"/>
        <v>250000</v>
      </c>
      <c r="J199" s="11">
        <f t="shared" si="75"/>
        <v>-19329.921551105632</v>
      </c>
      <c r="K199" s="11">
        <f t="shared" si="75"/>
        <v>47924.895199999446</v>
      </c>
      <c r="L199" s="11">
        <f t="shared" si="75"/>
        <v>11366.089999999851</v>
      </c>
      <c r="M199" s="11">
        <f t="shared" si="75"/>
        <v>4512435.204816848</v>
      </c>
      <c r="N199" s="11">
        <f t="shared" si="75"/>
        <v>154924.27022923168</v>
      </c>
      <c r="O199" s="11">
        <f t="shared" si="75"/>
        <v>0</v>
      </c>
      <c r="P199" s="11">
        <f t="shared" si="75"/>
        <v>4667359.4750460684</v>
      </c>
      <c r="Q199" s="11">
        <f t="shared" si="75"/>
        <v>-1711566.7004166665</v>
      </c>
      <c r="R199" s="11">
        <f t="shared" si="75"/>
        <v>2955792.7746293545</v>
      </c>
      <c r="AK199" s="11"/>
      <c r="AN199" s="11"/>
      <c r="AO199" s="11"/>
    </row>
    <row r="200" spans="1:41" x14ac:dyDescent="0.25">
      <c r="AK200" s="11"/>
      <c r="AN200" s="11"/>
      <c r="AO200" s="11"/>
    </row>
    <row r="201" spans="1:41" x14ac:dyDescent="0.25">
      <c r="AK201" s="11"/>
      <c r="AN201" s="11"/>
      <c r="AO201" s="11"/>
    </row>
    <row r="202" spans="1:41" x14ac:dyDescent="0.25">
      <c r="B202" s="22" t="s">
        <v>1369</v>
      </c>
      <c r="C202" s="11">
        <v>109864849.34539998</v>
      </c>
      <c r="D202" s="11">
        <v>19433293.553447418</v>
      </c>
      <c r="E202" s="11">
        <v>197205.68911821948</v>
      </c>
      <c r="F202" s="11">
        <v>3383081.0607061205</v>
      </c>
      <c r="G202" s="11">
        <v>4342920.5228236262</v>
      </c>
      <c r="H202" s="11">
        <v>583819.59517417476</v>
      </c>
      <c r="I202" s="11">
        <v>9200000</v>
      </c>
      <c r="J202" s="11">
        <v>19329.921551105632</v>
      </c>
      <c r="K202" s="11">
        <v>696019.32303999981</v>
      </c>
      <c r="L202" s="11">
        <v>1033455</v>
      </c>
      <c r="M202" s="11">
        <v>148753974.01126066</v>
      </c>
      <c r="N202" s="11">
        <v>896485.57473068847</v>
      </c>
      <c r="O202" s="11">
        <v>0</v>
      </c>
      <c r="P202" s="11">
        <v>149650459.58599132</v>
      </c>
      <c r="Q202" s="11">
        <v>-1968958.6699999997</v>
      </c>
      <c r="R202" s="11">
        <v>147681500.91599137</v>
      </c>
      <c r="S202" s="11">
        <v>1338270</v>
      </c>
      <c r="T202" s="11">
        <v>4637405.625</v>
      </c>
      <c r="U202" s="11">
        <v>1717939.1458333335</v>
      </c>
      <c r="V202" s="11">
        <v>0</v>
      </c>
      <c r="W202" s="11">
        <v>8819718.1677419357</v>
      </c>
      <c r="X202" s="11">
        <v>4135641.9990178975</v>
      </c>
      <c r="Y202" s="11">
        <v>0</v>
      </c>
      <c r="Z202" s="11">
        <v>166339225.97572225</v>
      </c>
      <c r="AK202" s="11"/>
      <c r="AN202" s="11"/>
      <c r="AO202" s="11"/>
    </row>
    <row r="203" spans="1:41" x14ac:dyDescent="0.25">
      <c r="B203" s="22" t="s">
        <v>1370</v>
      </c>
      <c r="C203" s="11">
        <f t="shared" ref="C203:R203" si="76">C2</f>
        <v>86955.919101999985</v>
      </c>
      <c r="D203" s="11">
        <f t="shared" si="76"/>
        <v>7211.0210299319724</v>
      </c>
      <c r="E203" s="11">
        <f t="shared" si="76"/>
        <v>0</v>
      </c>
      <c r="F203" s="11">
        <f t="shared" si="76"/>
        <v>0</v>
      </c>
      <c r="G203" s="11">
        <f t="shared" si="76"/>
        <v>22420.225560000003</v>
      </c>
      <c r="H203" s="11">
        <f t="shared" si="76"/>
        <v>0</v>
      </c>
      <c r="I203" s="11">
        <f t="shared" si="76"/>
        <v>100000</v>
      </c>
      <c r="J203" s="11">
        <f t="shared" si="76"/>
        <v>0</v>
      </c>
      <c r="K203" s="11">
        <f t="shared" si="76"/>
        <v>8800.0499999999956</v>
      </c>
      <c r="L203" s="11">
        <f t="shared" si="76"/>
        <v>0</v>
      </c>
      <c r="M203" s="11">
        <f t="shared" si="76"/>
        <v>225387.21569193195</v>
      </c>
      <c r="N203" s="11">
        <f t="shared" si="76"/>
        <v>0</v>
      </c>
      <c r="O203" s="11">
        <f t="shared" si="76"/>
        <v>0</v>
      </c>
      <c r="P203" s="11">
        <f t="shared" si="76"/>
        <v>225387.21569193195</v>
      </c>
      <c r="Q203" s="11">
        <f t="shared" si="76"/>
        <v>0</v>
      </c>
      <c r="R203" s="11">
        <f t="shared" si="76"/>
        <v>225387.21569193195</v>
      </c>
      <c r="AK203" s="11"/>
      <c r="AN203" s="11"/>
      <c r="AO203" s="11"/>
    </row>
    <row r="204" spans="1:41" x14ac:dyDescent="0.25">
      <c r="B204" s="22" t="s">
        <v>147</v>
      </c>
      <c r="C204" s="11">
        <f>C202+C203</f>
        <v>109951805.26450197</v>
      </c>
      <c r="D204" s="11">
        <f t="shared" ref="D204:Z204" si="77">D202+D203</f>
        <v>19440504.574477348</v>
      </c>
      <c r="E204" s="11">
        <f t="shared" si="77"/>
        <v>197205.68911821948</v>
      </c>
      <c r="F204" s="11">
        <f t="shared" si="77"/>
        <v>3383081.0607061205</v>
      </c>
      <c r="G204" s="11">
        <f t="shared" si="77"/>
        <v>4365340.7483836263</v>
      </c>
      <c r="H204" s="11">
        <f t="shared" si="77"/>
        <v>583819.59517417476</v>
      </c>
      <c r="I204" s="11">
        <f t="shared" si="77"/>
        <v>9300000</v>
      </c>
      <c r="J204" s="11">
        <f t="shared" si="77"/>
        <v>19329.921551105632</v>
      </c>
      <c r="K204" s="11">
        <f t="shared" si="77"/>
        <v>704819.37303999986</v>
      </c>
      <c r="L204" s="11">
        <f t="shared" si="77"/>
        <v>1033455</v>
      </c>
      <c r="M204" s="11">
        <f t="shared" si="77"/>
        <v>148979361.22695258</v>
      </c>
      <c r="N204" s="11">
        <f t="shared" si="77"/>
        <v>896485.57473068847</v>
      </c>
      <c r="O204" s="11">
        <f t="shared" si="77"/>
        <v>0</v>
      </c>
      <c r="P204" s="11">
        <f t="shared" si="77"/>
        <v>149875846.80168325</v>
      </c>
      <c r="Q204" s="11">
        <f t="shared" si="77"/>
        <v>-1968958.6699999997</v>
      </c>
      <c r="R204" s="11">
        <f t="shared" si="77"/>
        <v>147906888.13168329</v>
      </c>
      <c r="S204" s="11">
        <f t="shared" si="77"/>
        <v>1338270</v>
      </c>
      <c r="T204" s="11">
        <f t="shared" si="77"/>
        <v>4637405.625</v>
      </c>
      <c r="U204" s="11">
        <f t="shared" si="77"/>
        <v>1717939.1458333335</v>
      </c>
      <c r="V204" s="11">
        <f t="shared" si="77"/>
        <v>0</v>
      </c>
      <c r="W204" s="11">
        <f t="shared" si="77"/>
        <v>8819718.1677419357</v>
      </c>
      <c r="X204" s="11">
        <f t="shared" si="77"/>
        <v>4135641.9990178975</v>
      </c>
      <c r="Y204" s="11">
        <f t="shared" si="77"/>
        <v>0</v>
      </c>
      <c r="Z204" s="11">
        <f t="shared" si="77"/>
        <v>166339225.97572225</v>
      </c>
      <c r="AK204" s="11"/>
      <c r="AN204" s="11"/>
      <c r="AO204" s="11"/>
    </row>
    <row r="205" spans="1:41" x14ac:dyDescent="0.25">
      <c r="B205" s="22" t="s">
        <v>1371</v>
      </c>
      <c r="C205" s="11">
        <f t="shared" ref="C205:Z205" si="78">C101</f>
        <v>114361702.05262835</v>
      </c>
      <c r="D205" s="11">
        <f t="shared" si="78"/>
        <v>17403732.784836918</v>
      </c>
      <c r="E205" s="11">
        <f t="shared" si="78"/>
        <v>190248.24839585926</v>
      </c>
      <c r="F205" s="11">
        <f t="shared" si="78"/>
        <v>3121256.8403640892</v>
      </c>
      <c r="G205" s="11">
        <f t="shared" si="78"/>
        <v>4383843.5868403465</v>
      </c>
      <c r="H205" s="11">
        <f t="shared" si="78"/>
        <v>602146.67489330529</v>
      </c>
      <c r="I205" s="11">
        <f t="shared" si="78"/>
        <v>9450000</v>
      </c>
      <c r="J205" s="11">
        <f t="shared" si="78"/>
        <v>0</v>
      </c>
      <c r="K205" s="11">
        <f t="shared" si="78"/>
        <v>1510744.3551999996</v>
      </c>
      <c r="L205" s="11">
        <f t="shared" si="78"/>
        <v>1044821.0899999999</v>
      </c>
      <c r="M205" s="11">
        <f t="shared" si="78"/>
        <v>152068495.63315886</v>
      </c>
      <c r="N205" s="11">
        <f t="shared" si="78"/>
        <v>990088.00189070252</v>
      </c>
      <c r="O205" s="11">
        <f t="shared" si="78"/>
        <v>0</v>
      </c>
      <c r="P205" s="11">
        <f t="shared" si="78"/>
        <v>153058583.63504958</v>
      </c>
      <c r="Q205" s="11">
        <f t="shared" si="78"/>
        <v>-1711566.7004166665</v>
      </c>
      <c r="R205" s="11">
        <f t="shared" si="78"/>
        <v>151347016.93463287</v>
      </c>
      <c r="S205" s="11">
        <f t="shared" si="78"/>
        <v>1338270</v>
      </c>
      <c r="T205" s="11">
        <f t="shared" si="78"/>
        <v>4341356.2749999994</v>
      </c>
      <c r="U205" s="11">
        <f t="shared" si="78"/>
        <v>1966120.1350000002</v>
      </c>
      <c r="V205" s="11">
        <f t="shared" si="78"/>
        <v>0</v>
      </c>
      <c r="W205" s="11">
        <f t="shared" si="78"/>
        <v>0</v>
      </c>
      <c r="X205" s="11">
        <f t="shared" si="78"/>
        <v>4112808.6277195895</v>
      </c>
      <c r="Y205" s="11">
        <f t="shared" si="78"/>
        <v>0</v>
      </c>
      <c r="Z205" s="11">
        <f t="shared" si="78"/>
        <v>163105571.9723525</v>
      </c>
      <c r="AK205" s="11"/>
      <c r="AN205" s="11"/>
      <c r="AO205" s="11"/>
    </row>
    <row r="206" spans="1:41" x14ac:dyDescent="0.25">
      <c r="B206" s="22" t="s">
        <v>1228</v>
      </c>
      <c r="C206" s="11">
        <f>C205-C204</f>
        <v>4409896.7881263793</v>
      </c>
      <c r="D206" s="11">
        <f t="shared" ref="D206:Z206" si="79">D205-D204</f>
        <v>-2036771.7896404304</v>
      </c>
      <c r="E206" s="11">
        <f t="shared" si="79"/>
        <v>-6957.4407223602175</v>
      </c>
      <c r="F206" s="11">
        <f t="shared" si="79"/>
        <v>-261824.22034203121</v>
      </c>
      <c r="G206" s="11">
        <f t="shared" si="79"/>
        <v>18502.838456720114</v>
      </c>
      <c r="H206" s="11">
        <f t="shared" si="79"/>
        <v>18327.079719130532</v>
      </c>
      <c r="I206" s="11">
        <f t="shared" si="79"/>
        <v>150000</v>
      </c>
      <c r="J206" s="11">
        <f t="shared" si="79"/>
        <v>-19329.921551105632</v>
      </c>
      <c r="K206" s="11">
        <f t="shared" si="79"/>
        <v>805924.98215999978</v>
      </c>
      <c r="L206" s="11">
        <f t="shared" si="79"/>
        <v>11366.089999999851</v>
      </c>
      <c r="M206" s="11">
        <f t="shared" si="79"/>
        <v>3089134.40620628</v>
      </c>
      <c r="N206" s="11">
        <f t="shared" si="79"/>
        <v>93602.427160014049</v>
      </c>
      <c r="O206" s="11">
        <f t="shared" si="79"/>
        <v>0</v>
      </c>
      <c r="P206" s="11">
        <f t="shared" si="79"/>
        <v>3182736.8333663344</v>
      </c>
      <c r="Q206" s="11">
        <f t="shared" si="79"/>
        <v>257391.96958333324</v>
      </c>
      <c r="R206" s="11">
        <f t="shared" si="79"/>
        <v>3440128.8029495776</v>
      </c>
      <c r="S206" s="11">
        <f t="shared" si="79"/>
        <v>0</v>
      </c>
      <c r="T206" s="11">
        <f t="shared" si="79"/>
        <v>-296049.35000000056</v>
      </c>
      <c r="U206" s="11">
        <f t="shared" si="79"/>
        <v>248180.98916666675</v>
      </c>
      <c r="V206" s="11">
        <f t="shared" si="79"/>
        <v>0</v>
      </c>
      <c r="W206" s="11">
        <f t="shared" si="79"/>
        <v>-8819718.1677419357</v>
      </c>
      <c r="X206" s="11">
        <f t="shared" si="79"/>
        <v>-22833.371298308019</v>
      </c>
      <c r="Y206" s="11">
        <f t="shared" si="79"/>
        <v>0</v>
      </c>
      <c r="Z206" s="11">
        <f t="shared" si="79"/>
        <v>-3233654.0033697486</v>
      </c>
      <c r="AK206" s="11"/>
      <c r="AN206" s="11"/>
      <c r="AO206" s="11"/>
    </row>
    <row r="207" spans="1:41" x14ac:dyDescent="0.25">
      <c r="AK207" s="11"/>
      <c r="AN207" s="11"/>
      <c r="AO207" s="11"/>
    </row>
    <row r="208" spans="1:41" x14ac:dyDescent="0.25">
      <c r="AK208" s="11"/>
      <c r="AN208" s="11"/>
      <c r="AO208" s="11"/>
    </row>
    <row r="209" spans="1:41" x14ac:dyDescent="0.25">
      <c r="B209" s="22" t="s">
        <v>1372</v>
      </c>
      <c r="C209" s="11">
        <f t="shared" ref="C209:Z209" si="80">C101-C2</f>
        <v>114274746.13352636</v>
      </c>
      <c r="D209" s="11">
        <f t="shared" si="80"/>
        <v>17396521.763806988</v>
      </c>
      <c r="E209" s="11">
        <f t="shared" si="80"/>
        <v>190248.24839585926</v>
      </c>
      <c r="F209" s="11">
        <f t="shared" si="80"/>
        <v>3121256.8403640892</v>
      </c>
      <c r="G209" s="11">
        <f t="shared" si="80"/>
        <v>4361423.3612803463</v>
      </c>
      <c r="H209" s="11">
        <f t="shared" si="80"/>
        <v>602146.67489330529</v>
      </c>
      <c r="I209" s="11">
        <f t="shared" si="80"/>
        <v>9350000</v>
      </c>
      <c r="J209" s="11">
        <f t="shared" si="80"/>
        <v>0</v>
      </c>
      <c r="K209" s="11">
        <f t="shared" si="80"/>
        <v>1501944.3051999996</v>
      </c>
      <c r="L209" s="11">
        <f t="shared" si="80"/>
        <v>1044821.0899999999</v>
      </c>
      <c r="M209" s="11">
        <f t="shared" si="80"/>
        <v>151843108.41746694</v>
      </c>
      <c r="N209" s="11">
        <f t="shared" si="80"/>
        <v>990088.00189070252</v>
      </c>
      <c r="O209" s="11">
        <f t="shared" si="80"/>
        <v>0</v>
      </c>
      <c r="P209" s="11">
        <f t="shared" si="80"/>
        <v>152833196.41935766</v>
      </c>
      <c r="Q209" s="11">
        <f t="shared" si="80"/>
        <v>-1711566.7004166665</v>
      </c>
      <c r="R209" s="11">
        <f t="shared" si="80"/>
        <v>151121629.71894094</v>
      </c>
      <c r="S209" s="11">
        <f t="shared" si="80"/>
        <v>1310962.283464567</v>
      </c>
      <c r="T209" s="11">
        <f t="shared" si="80"/>
        <v>4341356.2749999994</v>
      </c>
      <c r="U209" s="11">
        <f t="shared" si="80"/>
        <v>1966120.1350000002</v>
      </c>
      <c r="V209" s="11">
        <f t="shared" si="80"/>
        <v>0</v>
      </c>
      <c r="W209" s="11">
        <f t="shared" si="80"/>
        <v>0</v>
      </c>
      <c r="X209" s="11">
        <f t="shared" si="80"/>
        <v>4112808.6277195895</v>
      </c>
      <c r="Y209" s="11">
        <f t="shared" si="80"/>
        <v>0</v>
      </c>
      <c r="Z209" s="11">
        <f t="shared" si="80"/>
        <v>162852877.04012513</v>
      </c>
      <c r="AK209" s="11"/>
      <c r="AN209" s="11"/>
      <c r="AO209" s="11"/>
    </row>
    <row r="210" spans="1:41" x14ac:dyDescent="0.25">
      <c r="C210" s="11">
        <f t="shared" ref="C210:Z210" si="81">C141</f>
        <v>4479691.8169033825</v>
      </c>
      <c r="D210" s="11">
        <f t="shared" si="81"/>
        <v>45146.25731286034</v>
      </c>
      <c r="E210" s="11">
        <f t="shared" si="81"/>
        <v>484.6282175857632</v>
      </c>
      <c r="F210" s="11">
        <f t="shared" si="81"/>
        <v>0</v>
      </c>
      <c r="G210" s="11">
        <f t="shared" si="81"/>
        <v>-12120.820385187864</v>
      </c>
      <c r="H210" s="11">
        <f t="shared" si="81"/>
        <v>2376.8236821948085</v>
      </c>
      <c r="I210" s="11">
        <f t="shared" si="81"/>
        <v>0</v>
      </c>
      <c r="J210" s="11">
        <f t="shared" si="81"/>
        <v>-19329.921551105632</v>
      </c>
      <c r="K210" s="11">
        <f t="shared" si="81"/>
        <v>-31667.780000000261</v>
      </c>
      <c r="L210" s="11">
        <f t="shared" si="81"/>
        <v>0</v>
      </c>
      <c r="M210" s="11">
        <f t="shared" si="81"/>
        <v>4464581.0041797161</v>
      </c>
      <c r="N210" s="11">
        <f t="shared" si="81"/>
        <v>-1233551.0894086333</v>
      </c>
      <c r="O210" s="11">
        <f t="shared" si="81"/>
        <v>0</v>
      </c>
      <c r="P210" s="11">
        <f t="shared" si="81"/>
        <v>3231029.9147711098</v>
      </c>
      <c r="Q210" s="11">
        <f t="shared" si="81"/>
        <v>16174.394583333284</v>
      </c>
      <c r="R210" s="11">
        <f t="shared" si="81"/>
        <v>3247204.3093543649</v>
      </c>
      <c r="S210" s="11">
        <f t="shared" si="81"/>
        <v>0</v>
      </c>
      <c r="T210" s="11">
        <f t="shared" si="81"/>
        <v>4341356.2749999994</v>
      </c>
      <c r="U210" s="11">
        <f t="shared" si="81"/>
        <v>1966120.1350000002</v>
      </c>
      <c r="V210" s="11">
        <f t="shared" si="81"/>
        <v>0</v>
      </c>
      <c r="W210" s="11">
        <f t="shared" si="81"/>
        <v>0</v>
      </c>
      <c r="X210" s="11">
        <f t="shared" si="81"/>
        <v>4112808.6277195895</v>
      </c>
      <c r="Y210" s="11">
        <f t="shared" si="81"/>
        <v>0</v>
      </c>
      <c r="Z210" s="11">
        <f t="shared" si="81"/>
        <v>-5643215.5905191302</v>
      </c>
      <c r="AK210" s="11"/>
      <c r="AN210" s="11"/>
      <c r="AO210" s="11"/>
    </row>
    <row r="211" spans="1:41" x14ac:dyDescent="0.25">
      <c r="K211" s="1126">
        <v>796057</v>
      </c>
      <c r="AK211" s="11"/>
      <c r="AN211" s="11"/>
      <c r="AO211" s="11"/>
    </row>
    <row r="212" spans="1:41" x14ac:dyDescent="0.25">
      <c r="K212" s="1127">
        <v>8800</v>
      </c>
      <c r="AK212" s="11"/>
      <c r="AN212" s="11"/>
      <c r="AO212" s="11"/>
    </row>
    <row r="213" spans="1:41" x14ac:dyDescent="0.25">
      <c r="K213" s="1128">
        <f>K212+K211</f>
        <v>804857</v>
      </c>
      <c r="AK213" s="11"/>
      <c r="AN213" s="11"/>
      <c r="AO213" s="11"/>
    </row>
    <row r="214" spans="1:41" x14ac:dyDescent="0.25">
      <c r="AK214" s="11"/>
      <c r="AN214" s="11"/>
      <c r="AO214" s="11"/>
    </row>
    <row r="215" spans="1:41" x14ac:dyDescent="0.25">
      <c r="AK215" s="11"/>
      <c r="AN215" s="11"/>
      <c r="AO215" s="11"/>
    </row>
    <row r="216" spans="1:41" x14ac:dyDescent="0.25">
      <c r="AK216" s="11"/>
      <c r="AN216" s="11"/>
      <c r="AO216" s="11"/>
    </row>
    <row r="217" spans="1:41" x14ac:dyDescent="0.25">
      <c r="AK217" s="11"/>
      <c r="AN217" s="11"/>
      <c r="AO217" s="11"/>
    </row>
    <row r="218" spans="1:41" x14ac:dyDescent="0.25">
      <c r="AK218" s="11"/>
      <c r="AN218" s="11"/>
      <c r="AO218" s="11"/>
    </row>
    <row r="219" spans="1:41" x14ac:dyDescent="0.25">
      <c r="AK219" s="11"/>
      <c r="AN219" s="11"/>
      <c r="AO219" s="11"/>
    </row>
    <row r="220" spans="1:41" x14ac:dyDescent="0.25">
      <c r="AK220" s="11"/>
      <c r="AN220" s="11"/>
      <c r="AO220" s="11"/>
    </row>
    <row r="221" spans="1:41" x14ac:dyDescent="0.25">
      <c r="A221" s="33"/>
      <c r="B221" s="1129" t="s">
        <v>1214</v>
      </c>
      <c r="C221" s="733">
        <v>109963175.05060415</v>
      </c>
      <c r="D221" s="733">
        <v>17403732.784836918</v>
      </c>
      <c r="E221" s="733">
        <v>190248.24839585926</v>
      </c>
      <c r="F221" s="733">
        <v>3121256.8403640892</v>
      </c>
      <c r="G221" s="733">
        <v>4383843.5868403465</v>
      </c>
      <c r="H221" s="733">
        <v>602146.67489330529</v>
      </c>
      <c r="I221" s="733">
        <v>9450000</v>
      </c>
      <c r="J221" s="733">
        <v>0</v>
      </c>
      <c r="K221" s="733">
        <v>1542412.1351999999</v>
      </c>
      <c r="L221" s="733">
        <v>1044821.0899999999</v>
      </c>
      <c r="M221" s="733">
        <v>147701636.41113466</v>
      </c>
      <c r="N221" s="733">
        <v>2248789.4802933601</v>
      </c>
      <c r="O221" s="733">
        <v>0</v>
      </c>
      <c r="P221" s="1130">
        <v>149950425.89142805</v>
      </c>
      <c r="Q221" s="733">
        <v>-1711566.7004166665</v>
      </c>
      <c r="R221" s="1130">
        <v>148238859.19101143</v>
      </c>
      <c r="S221" s="733">
        <v>1338270</v>
      </c>
      <c r="T221" s="733">
        <v>4231356.2749999994</v>
      </c>
      <c r="U221" s="733">
        <v>1964680.1400000001</v>
      </c>
      <c r="V221" s="733">
        <v>0</v>
      </c>
      <c r="W221" s="733">
        <v>0</v>
      </c>
      <c r="X221" s="733">
        <v>4005036.6277195895</v>
      </c>
      <c r="Y221" s="733">
        <v>0</v>
      </c>
      <c r="Z221" s="1130">
        <v>159778202.23373103</v>
      </c>
      <c r="AK221" s="11"/>
      <c r="AN221" s="11"/>
      <c r="AO221" s="11"/>
    </row>
    <row r="222" spans="1:41" x14ac:dyDescent="0.25">
      <c r="N222" s="11">
        <f>+N154-N221</f>
        <v>-1258701.4784026574</v>
      </c>
      <c r="P222" s="11">
        <f>+P154-P221</f>
        <v>3167272.2436215281</v>
      </c>
      <c r="R222" s="11">
        <f>+R154-R221</f>
        <v>3167272.2586863339</v>
      </c>
      <c r="AK222" s="11"/>
      <c r="AN222" s="11"/>
      <c r="AO222" s="11"/>
    </row>
    <row r="223" spans="1:41" x14ac:dyDescent="0.25">
      <c r="AK223" s="11"/>
      <c r="AN223" s="11"/>
      <c r="AO223" s="11"/>
    </row>
    <row r="224" spans="1:41" x14ac:dyDescent="0.25">
      <c r="A224" s="1132">
        <v>42389</v>
      </c>
      <c r="B224" s="1034" t="s">
        <v>1214</v>
      </c>
      <c r="C224" s="982">
        <v>113262070.30212228</v>
      </c>
      <c r="D224" s="982">
        <v>17403732.784836918</v>
      </c>
      <c r="E224" s="982">
        <v>190248.24839585926</v>
      </c>
      <c r="F224" s="982">
        <v>3121256.8403640892</v>
      </c>
      <c r="G224" s="982">
        <v>4383843.5868403465</v>
      </c>
      <c r="H224" s="982">
        <v>602146.67489330529</v>
      </c>
      <c r="I224" s="982">
        <v>9450000</v>
      </c>
      <c r="J224" s="982">
        <v>0</v>
      </c>
      <c r="K224" s="982">
        <v>1584623.6351999997</v>
      </c>
      <c r="L224" s="982">
        <v>1044821.0899999999</v>
      </c>
      <c r="M224" s="982">
        <v>151042743.16265285</v>
      </c>
      <c r="N224" s="982">
        <v>1223225.7572930744</v>
      </c>
      <c r="O224" s="982">
        <v>0</v>
      </c>
      <c r="P224" s="982">
        <v>152265968.9199459</v>
      </c>
      <c r="Q224" s="982">
        <v>-1711566.7004166665</v>
      </c>
      <c r="R224" s="1035">
        <v>150554402.21952921</v>
      </c>
      <c r="S224" s="982">
        <v>1338270</v>
      </c>
      <c r="T224" s="982">
        <v>4231356.2749999994</v>
      </c>
      <c r="U224" s="982">
        <v>1964680.1400000001</v>
      </c>
      <c r="V224" s="982">
        <v>0</v>
      </c>
      <c r="W224" s="982">
        <v>0</v>
      </c>
      <c r="X224" s="982">
        <v>4112808.6277195895</v>
      </c>
      <c r="Y224" s="982">
        <v>0</v>
      </c>
      <c r="Z224" s="1035">
        <v>162201517.26224878</v>
      </c>
      <c r="AK224" s="11"/>
      <c r="AN224" s="11"/>
      <c r="AO224" s="11"/>
    </row>
    <row r="225" spans="1:41" x14ac:dyDescent="0.25">
      <c r="C225" s="11">
        <f t="shared" ref="C225:Z225" si="82">+C101-C224</f>
        <v>1099631.7505060732</v>
      </c>
      <c r="D225" s="11">
        <f t="shared" si="82"/>
        <v>0</v>
      </c>
      <c r="E225" s="11">
        <f t="shared" si="82"/>
        <v>0</v>
      </c>
      <c r="F225" s="11">
        <f t="shared" si="82"/>
        <v>0</v>
      </c>
      <c r="G225" s="11">
        <f t="shared" si="82"/>
        <v>0</v>
      </c>
      <c r="H225" s="11">
        <f t="shared" si="82"/>
        <v>0</v>
      </c>
      <c r="I225" s="11">
        <f t="shared" si="82"/>
        <v>0</v>
      </c>
      <c r="J225" s="11">
        <f t="shared" si="82"/>
        <v>0</v>
      </c>
      <c r="K225" s="11">
        <f t="shared" si="82"/>
        <v>-73879.280000000028</v>
      </c>
      <c r="L225" s="11">
        <f t="shared" si="82"/>
        <v>0</v>
      </c>
      <c r="M225" s="11">
        <f t="shared" si="82"/>
        <v>1025752.4705060124</v>
      </c>
      <c r="N225" s="11">
        <f t="shared" si="82"/>
        <v>-233137.75540237187</v>
      </c>
      <c r="O225" s="11">
        <f t="shared" si="82"/>
        <v>0</v>
      </c>
      <c r="P225" s="11">
        <f t="shared" si="82"/>
        <v>792614.71510368586</v>
      </c>
      <c r="Q225" s="11">
        <f t="shared" si="82"/>
        <v>0</v>
      </c>
      <c r="R225" s="11">
        <f t="shared" si="82"/>
        <v>792614.71510365605</v>
      </c>
      <c r="S225" s="11">
        <f t="shared" si="82"/>
        <v>0</v>
      </c>
      <c r="T225" s="11">
        <f t="shared" si="82"/>
        <v>110000</v>
      </c>
      <c r="U225" s="11">
        <f t="shared" si="82"/>
        <v>1439.9950000001118</v>
      </c>
      <c r="V225" s="11">
        <f t="shared" si="82"/>
        <v>0</v>
      </c>
      <c r="W225" s="11">
        <f t="shared" si="82"/>
        <v>0</v>
      </c>
      <c r="X225" s="11">
        <f t="shared" si="82"/>
        <v>0</v>
      </c>
      <c r="Y225" s="11">
        <f t="shared" si="82"/>
        <v>0</v>
      </c>
      <c r="Z225" s="11">
        <f t="shared" si="82"/>
        <v>904054.71010372043</v>
      </c>
      <c r="AK225" s="11"/>
      <c r="AN225" s="11"/>
      <c r="AO225" s="11"/>
    </row>
    <row r="226" spans="1:41" x14ac:dyDescent="0.25">
      <c r="AK226" s="11"/>
      <c r="AN226" s="11"/>
      <c r="AO226" s="11"/>
    </row>
    <row r="227" spans="1:41" x14ac:dyDescent="0.25">
      <c r="AK227" s="11"/>
      <c r="AN227" s="11"/>
      <c r="AO227" s="11"/>
    </row>
    <row r="228" spans="1:41" x14ac:dyDescent="0.25">
      <c r="AK228" s="11"/>
      <c r="AN228" s="11"/>
      <c r="AO228" s="11"/>
    </row>
    <row r="229" spans="1:41" x14ac:dyDescent="0.25">
      <c r="AK229" s="11"/>
      <c r="AN229" s="11"/>
      <c r="AO229" s="11"/>
    </row>
    <row r="230" spans="1:41" x14ac:dyDescent="0.25">
      <c r="A230" s="1158" t="s">
        <v>238</v>
      </c>
      <c r="B230" s="1158">
        <v>206189</v>
      </c>
      <c r="AJ230" s="11">
        <v>75095.013075868294</v>
      </c>
      <c r="AK230" s="11">
        <v>75095.013075868294</v>
      </c>
      <c r="AN230" s="11"/>
      <c r="AO230" s="11"/>
    </row>
    <row r="231" spans="1:41" x14ac:dyDescent="0.25">
      <c r="A231" s="1158" t="s">
        <v>1301</v>
      </c>
      <c r="B231" s="1158">
        <v>2014</v>
      </c>
      <c r="AK231" s="11"/>
      <c r="AN231" s="11"/>
      <c r="AO231" s="11"/>
    </row>
    <row r="232" spans="1:41" x14ac:dyDescent="0.25">
      <c r="A232" s="1158" t="s">
        <v>10</v>
      </c>
      <c r="B232" s="1158">
        <v>2012</v>
      </c>
      <c r="AK232" s="11"/>
      <c r="AN232" s="11"/>
      <c r="AO232" s="11"/>
    </row>
    <row r="233" spans="1:41" x14ac:dyDescent="0.25">
      <c r="A233" s="1158" t="s">
        <v>73</v>
      </c>
      <c r="B233" s="1158">
        <v>5414</v>
      </c>
      <c r="AK233" s="11"/>
      <c r="AN233" s="11"/>
      <c r="AO233" s="11"/>
    </row>
    <row r="234" spans="1:41" x14ac:dyDescent="0.25">
      <c r="A234" s="1158" t="s">
        <v>846</v>
      </c>
      <c r="B234" s="1158">
        <v>4000</v>
      </c>
      <c r="AK234" s="11"/>
      <c r="AN234" s="11"/>
      <c r="AO234" s="11"/>
    </row>
    <row r="235" spans="1:41" x14ac:dyDescent="0.25">
      <c r="A235" s="1158" t="s">
        <v>11</v>
      </c>
      <c r="B235" s="1158">
        <v>2443</v>
      </c>
      <c r="AK235" s="11"/>
      <c r="AN235" s="11"/>
      <c r="AO235" s="11"/>
    </row>
    <row r="236" spans="1:41" x14ac:dyDescent="0.25">
      <c r="A236" s="1158" t="s">
        <v>94</v>
      </c>
      <c r="B236" s="1158">
        <v>2442</v>
      </c>
      <c r="AK236" s="11"/>
      <c r="AN236" s="11"/>
      <c r="AO236" s="11"/>
    </row>
    <row r="237" spans="1:41" x14ac:dyDescent="0.25">
      <c r="A237" s="1158" t="s">
        <v>241</v>
      </c>
      <c r="B237" s="1158" t="s">
        <v>242</v>
      </c>
      <c r="AJ237" s="11">
        <v>77696.834809473687</v>
      </c>
      <c r="AK237" s="11">
        <v>77696.834809473687</v>
      </c>
      <c r="AN237" s="11"/>
      <c r="AO237" s="11"/>
    </row>
    <row r="238" spans="1:41" x14ac:dyDescent="0.25">
      <c r="A238" s="1158" t="s">
        <v>13</v>
      </c>
      <c r="B238" s="1158">
        <v>2629</v>
      </c>
      <c r="AK238" s="11"/>
      <c r="AN238" s="11"/>
      <c r="AO238" s="11"/>
    </row>
    <row r="239" spans="1:41" x14ac:dyDescent="0.25">
      <c r="A239" s="1158" t="s">
        <v>14</v>
      </c>
      <c r="B239" s="1158">
        <v>2509</v>
      </c>
      <c r="AK239" s="11"/>
      <c r="AN239" s="11"/>
      <c r="AO239" s="11"/>
    </row>
    <row r="240" spans="1:41" x14ac:dyDescent="0.25">
      <c r="A240" s="1158" t="s">
        <v>2</v>
      </c>
      <c r="B240" s="1158">
        <v>1014</v>
      </c>
      <c r="AK240" s="11"/>
      <c r="AN240" s="11"/>
      <c r="AO240" s="11"/>
    </row>
    <row r="241" spans="1:41" x14ac:dyDescent="0.25">
      <c r="A241" s="1158" t="s">
        <v>15</v>
      </c>
      <c r="B241" s="1158">
        <v>2005</v>
      </c>
      <c r="AK241" s="11"/>
      <c r="AN241" s="11"/>
      <c r="AO241" s="11"/>
    </row>
    <row r="242" spans="1:41" x14ac:dyDescent="0.25">
      <c r="A242" s="1158" t="s">
        <v>16</v>
      </c>
      <c r="B242" s="1158">
        <v>2464</v>
      </c>
      <c r="AK242" s="11"/>
      <c r="AN242" s="11"/>
      <c r="AO242" s="11"/>
    </row>
    <row r="243" spans="1:41" x14ac:dyDescent="0.25">
      <c r="A243" s="1158" t="s">
        <v>706</v>
      </c>
      <c r="B243" s="1158" t="s">
        <v>708</v>
      </c>
      <c r="AJ243" s="11">
        <v>13413.018400000001</v>
      </c>
      <c r="AK243" s="11">
        <v>13413.018400000001</v>
      </c>
      <c r="AN243" s="11"/>
      <c r="AO243" s="11"/>
    </row>
    <row r="244" spans="1:41" x14ac:dyDescent="0.25">
      <c r="A244" s="1158" t="s">
        <v>17</v>
      </c>
      <c r="B244" s="1158">
        <v>2004</v>
      </c>
      <c r="AK244" s="11"/>
      <c r="AN244" s="11"/>
      <c r="AO244" s="11"/>
    </row>
    <row r="245" spans="1:41" x14ac:dyDescent="0.25">
      <c r="A245" s="1158" t="s">
        <v>18</v>
      </c>
      <c r="B245" s="1158">
        <v>2405</v>
      </c>
      <c r="AK245" s="11"/>
      <c r="AN245" s="11"/>
      <c r="AO245" s="11"/>
    </row>
    <row r="246" spans="1:41" x14ac:dyDescent="0.25">
      <c r="A246" s="1158" t="s">
        <v>243</v>
      </c>
      <c r="B246" s="1158" t="s">
        <v>245</v>
      </c>
      <c r="AJ246" s="11">
        <v>77316.735786792575</v>
      </c>
      <c r="AK246" s="11">
        <v>77316.735786792575</v>
      </c>
      <c r="AN246" s="11"/>
      <c r="AO246" s="11"/>
    </row>
    <row r="247" spans="1:41" x14ac:dyDescent="0.25">
      <c r="A247" s="1158" t="s">
        <v>250</v>
      </c>
      <c r="B247" s="1158" t="s">
        <v>709</v>
      </c>
      <c r="AJ247" s="11">
        <v>0</v>
      </c>
      <c r="AK247" s="11">
        <v>0</v>
      </c>
      <c r="AN247" s="11"/>
      <c r="AO247" s="11"/>
    </row>
    <row r="248" spans="1:41" x14ac:dyDescent="0.25">
      <c r="A248" s="1158" t="s">
        <v>246</v>
      </c>
      <c r="B248" s="1158" t="s">
        <v>247</v>
      </c>
      <c r="AJ248" s="11">
        <v>30661.819305642104</v>
      </c>
      <c r="AK248" s="11">
        <v>30661.819305642104</v>
      </c>
      <c r="AN248" s="11"/>
      <c r="AO248" s="11"/>
    </row>
    <row r="249" spans="1:41" x14ac:dyDescent="0.25">
      <c r="A249" s="1158" t="s">
        <v>248</v>
      </c>
      <c r="B249" s="1158" t="s">
        <v>249</v>
      </c>
      <c r="AJ249" s="11">
        <v>25631.953538557274</v>
      </c>
      <c r="AK249" s="11">
        <v>25631.953538557274</v>
      </c>
      <c r="AN249" s="11"/>
      <c r="AO249" s="11"/>
    </row>
    <row r="250" spans="1:41" x14ac:dyDescent="0.25">
      <c r="A250" s="1158" t="s">
        <v>19</v>
      </c>
      <c r="B250" s="1158">
        <v>2011</v>
      </c>
      <c r="AK250" s="11"/>
      <c r="AN250" s="11"/>
      <c r="AO250" s="11"/>
    </row>
    <row r="251" spans="1:41" x14ac:dyDescent="0.25">
      <c r="A251" s="1158" t="s">
        <v>251</v>
      </c>
      <c r="B251" s="1158" t="s">
        <v>252</v>
      </c>
      <c r="AJ251" s="11">
        <v>132822.17158398937</v>
      </c>
      <c r="AK251" s="11">
        <v>132822.17158398937</v>
      </c>
      <c r="AN251" s="11"/>
      <c r="AO251" s="11"/>
    </row>
    <row r="252" spans="1:41" x14ac:dyDescent="0.25">
      <c r="A252" s="1158" t="s">
        <v>20</v>
      </c>
      <c r="B252" s="1158">
        <v>5201</v>
      </c>
      <c r="AK252" s="11"/>
      <c r="AN252" s="11"/>
      <c r="AO252" s="11"/>
    </row>
    <row r="253" spans="1:41" x14ac:dyDescent="0.25">
      <c r="A253" s="1158" t="s">
        <v>253</v>
      </c>
      <c r="B253" s="1158">
        <v>206124</v>
      </c>
      <c r="AJ253" s="11">
        <v>0</v>
      </c>
      <c r="AK253" s="11">
        <v>0</v>
      </c>
      <c r="AN253" s="11"/>
      <c r="AO253" s="11"/>
    </row>
    <row r="254" spans="1:41" x14ac:dyDescent="0.25">
      <c r="A254" s="1158" t="s">
        <v>21</v>
      </c>
      <c r="B254" s="1158">
        <v>2433</v>
      </c>
      <c r="AK254" s="11"/>
      <c r="AN254" s="11"/>
      <c r="AO254" s="11"/>
    </row>
    <row r="255" spans="1:41" x14ac:dyDescent="0.25">
      <c r="A255" s="1158" t="s">
        <v>22</v>
      </c>
      <c r="B255" s="1158">
        <v>2432</v>
      </c>
      <c r="AK255" s="11"/>
      <c r="AN255" s="11"/>
      <c r="AO255" s="11"/>
    </row>
    <row r="256" spans="1:41" x14ac:dyDescent="0.25">
      <c r="A256" s="1158" t="s">
        <v>256</v>
      </c>
      <c r="B256" s="1158" t="s">
        <v>258</v>
      </c>
      <c r="AJ256" s="11">
        <v>26851.129285759096</v>
      </c>
      <c r="AK256" s="11">
        <v>26851.129285759096</v>
      </c>
      <c r="AN256" s="11"/>
      <c r="AO256" s="11"/>
    </row>
    <row r="257" spans="1:41" x14ac:dyDescent="0.25">
      <c r="A257" s="1158" t="s">
        <v>188</v>
      </c>
      <c r="B257" s="1158">
        <v>2447</v>
      </c>
      <c r="AK257" s="11"/>
      <c r="AN257" s="11"/>
      <c r="AO257" s="11"/>
    </row>
    <row r="258" spans="1:41" x14ac:dyDescent="0.25">
      <c r="A258" s="1158" t="s">
        <v>23</v>
      </c>
      <c r="B258" s="1158">
        <v>2512</v>
      </c>
      <c r="AK258" s="11"/>
      <c r="AN258" s="11"/>
      <c r="AO258" s="11"/>
    </row>
    <row r="259" spans="1:41" x14ac:dyDescent="0.25">
      <c r="A259" s="1158" t="s">
        <v>259</v>
      </c>
      <c r="B259" s="1158">
        <v>206126</v>
      </c>
      <c r="AJ259" s="11">
        <v>65334.770016421055</v>
      </c>
      <c r="AK259" s="11">
        <v>65334.770016421055</v>
      </c>
      <c r="AN259" s="11"/>
      <c r="AO259" s="11"/>
    </row>
    <row r="260" spans="1:41" x14ac:dyDescent="0.25">
      <c r="A260" s="1158" t="s">
        <v>261</v>
      </c>
      <c r="B260" s="1158">
        <v>206111</v>
      </c>
      <c r="AJ260" s="11">
        <v>85144.055545978204</v>
      </c>
      <c r="AK260" s="11">
        <v>85144.055545978204</v>
      </c>
      <c r="AN260" s="11"/>
      <c r="AO260" s="11"/>
    </row>
    <row r="261" spans="1:41" x14ac:dyDescent="0.25">
      <c r="A261" s="1158" t="s">
        <v>263</v>
      </c>
      <c r="B261" s="1158">
        <v>206091</v>
      </c>
      <c r="AJ261" s="11">
        <v>66834.110657015306</v>
      </c>
      <c r="AK261" s="11">
        <v>66834.110657015306</v>
      </c>
      <c r="AN261" s="11"/>
      <c r="AO261" s="11"/>
    </row>
    <row r="262" spans="1:41" x14ac:dyDescent="0.25">
      <c r="A262" s="1158" t="s">
        <v>24</v>
      </c>
      <c r="B262" s="1158">
        <v>2456</v>
      </c>
      <c r="AK262" s="11"/>
      <c r="AN262" s="11"/>
      <c r="AO262" s="11"/>
    </row>
    <row r="263" spans="1:41" x14ac:dyDescent="0.25">
      <c r="A263" s="1158" t="s">
        <v>3</v>
      </c>
      <c r="B263" s="1158">
        <v>1017</v>
      </c>
      <c r="AK263" s="11"/>
      <c r="AN263" s="11"/>
      <c r="AO263" s="11"/>
    </row>
    <row r="264" spans="1:41" x14ac:dyDescent="0.25">
      <c r="A264" s="1158" t="s">
        <v>25</v>
      </c>
      <c r="B264" s="1158">
        <v>2449</v>
      </c>
      <c r="AK264" s="11"/>
      <c r="AN264" s="11"/>
      <c r="AO264" s="11"/>
    </row>
    <row r="265" spans="1:41" x14ac:dyDescent="0.25">
      <c r="A265" s="1158" t="s">
        <v>26</v>
      </c>
      <c r="B265" s="1158">
        <v>2448</v>
      </c>
      <c r="AK265" s="11"/>
      <c r="AN265" s="11"/>
      <c r="AO265" s="11"/>
    </row>
    <row r="266" spans="1:41" x14ac:dyDescent="0.25">
      <c r="A266" s="1158" t="s">
        <v>4</v>
      </c>
      <c r="B266" s="1158">
        <v>1006</v>
      </c>
      <c r="AK266" s="11"/>
      <c r="AN266" s="11"/>
      <c r="AO266" s="11"/>
    </row>
    <row r="267" spans="1:41" x14ac:dyDescent="0.25">
      <c r="A267" s="1158" t="s">
        <v>27</v>
      </c>
      <c r="B267" s="1158">
        <v>2467</v>
      </c>
      <c r="AK267" s="11"/>
      <c r="AN267" s="11"/>
      <c r="AO267" s="11"/>
    </row>
    <row r="268" spans="1:41" x14ac:dyDescent="0.25">
      <c r="A268" s="1158" t="s">
        <v>1373</v>
      </c>
      <c r="B268" s="1158">
        <v>484300</v>
      </c>
      <c r="AJ268" s="11">
        <v>15908.031777777778</v>
      </c>
      <c r="AK268" s="11">
        <v>15908.031777777778</v>
      </c>
      <c r="AN268" s="11"/>
      <c r="AO268" s="11"/>
    </row>
    <row r="269" spans="1:41" x14ac:dyDescent="0.25">
      <c r="A269" s="1158" t="s">
        <v>75</v>
      </c>
      <c r="B269" s="1158">
        <v>5402</v>
      </c>
      <c r="AK269" s="11"/>
      <c r="AN269" s="11"/>
      <c r="AO269" s="11"/>
    </row>
    <row r="270" spans="1:41" x14ac:dyDescent="0.25">
      <c r="A270" s="1158" t="s">
        <v>28</v>
      </c>
      <c r="B270" s="1158">
        <v>2455</v>
      </c>
      <c r="AK270" s="11"/>
      <c r="AN270" s="11"/>
      <c r="AO270" s="11"/>
    </row>
    <row r="271" spans="1:41" x14ac:dyDescent="0.25">
      <c r="A271" s="1158" t="s">
        <v>29</v>
      </c>
      <c r="B271" s="1158">
        <v>5203</v>
      </c>
      <c r="AK271" s="11"/>
      <c r="AN271" s="11"/>
      <c r="AO271" s="11"/>
    </row>
    <row r="272" spans="1:41" x14ac:dyDescent="0.25">
      <c r="A272" s="1158" t="s">
        <v>30</v>
      </c>
      <c r="B272" s="1158">
        <v>2451</v>
      </c>
      <c r="AK272" s="11"/>
      <c r="AN272" s="11"/>
      <c r="AO272" s="11"/>
    </row>
    <row r="273" spans="1:41" x14ac:dyDescent="0.25">
      <c r="A273" s="1158" t="s">
        <v>265</v>
      </c>
      <c r="B273" s="1158" t="s">
        <v>266</v>
      </c>
      <c r="AJ273" s="11">
        <v>47242.060149557896</v>
      </c>
      <c r="AK273" s="11">
        <v>47242.060149557896</v>
      </c>
      <c r="AN273" s="11"/>
      <c r="AO273" s="11"/>
    </row>
    <row r="274" spans="1:41" x14ac:dyDescent="0.25">
      <c r="A274" s="1158" t="s">
        <v>267</v>
      </c>
      <c r="B274" s="1158">
        <v>206128</v>
      </c>
      <c r="AJ274" s="11">
        <v>29361.353342234819</v>
      </c>
      <c r="AK274" s="11">
        <v>29361.353342234819</v>
      </c>
      <c r="AN274" s="11"/>
      <c r="AO274" s="11"/>
    </row>
    <row r="275" spans="1:41" x14ac:dyDescent="0.25">
      <c r="A275" s="1158" t="s">
        <v>438</v>
      </c>
      <c r="B275" s="1158">
        <v>4002</v>
      </c>
      <c r="AK275" s="11"/>
      <c r="AN275" s="11"/>
      <c r="AO275" s="11"/>
    </row>
    <row r="276" spans="1:41" x14ac:dyDescent="0.25">
      <c r="A276" s="1158" t="s">
        <v>441</v>
      </c>
      <c r="B276" s="1158">
        <v>2430</v>
      </c>
      <c r="AK276" s="11"/>
      <c r="AN276" s="11"/>
      <c r="AO276" s="11"/>
    </row>
    <row r="277" spans="1:41" x14ac:dyDescent="0.25">
      <c r="A277" s="1158" t="s">
        <v>269</v>
      </c>
      <c r="B277" s="1158" t="s">
        <v>710</v>
      </c>
      <c r="AJ277" s="11">
        <v>0</v>
      </c>
      <c r="AK277" s="11">
        <v>0</v>
      </c>
      <c r="AN277" s="11"/>
      <c r="AO277" s="11"/>
    </row>
    <row r="278" spans="1:41" x14ac:dyDescent="0.25">
      <c r="A278" s="1158" t="s">
        <v>711</v>
      </c>
      <c r="B278" s="1158" t="s">
        <v>712</v>
      </c>
      <c r="AJ278" s="11">
        <v>34858.727299999999</v>
      </c>
      <c r="AK278" s="11">
        <v>34858.727299999999</v>
      </c>
      <c r="AN278" s="11"/>
      <c r="AO278" s="11"/>
    </row>
    <row r="279" spans="1:41" x14ac:dyDescent="0.25">
      <c r="A279" s="1158" t="s">
        <v>68</v>
      </c>
      <c r="B279" s="1158">
        <v>4608</v>
      </c>
      <c r="AK279" s="11"/>
      <c r="AN279" s="11"/>
      <c r="AO279" s="11"/>
    </row>
    <row r="280" spans="1:41" x14ac:dyDescent="0.25">
      <c r="A280" s="1158" t="s">
        <v>31</v>
      </c>
      <c r="B280" s="1158">
        <v>2409</v>
      </c>
      <c r="AK280" s="11"/>
      <c r="AN280" s="11"/>
      <c r="AO280" s="11"/>
    </row>
    <row r="281" spans="1:41" x14ac:dyDescent="0.25">
      <c r="A281" s="1158" t="s">
        <v>270</v>
      </c>
      <c r="B281" s="1158" t="s">
        <v>271</v>
      </c>
      <c r="AJ281" s="11">
        <v>0</v>
      </c>
      <c r="AK281" s="11">
        <v>0</v>
      </c>
      <c r="AN281" s="11"/>
      <c r="AO281" s="11"/>
    </row>
    <row r="282" spans="1:41" x14ac:dyDescent="0.25">
      <c r="A282" s="1158" t="s">
        <v>713</v>
      </c>
      <c r="B282" s="1158" t="s">
        <v>714</v>
      </c>
      <c r="AJ282" s="11">
        <v>0</v>
      </c>
      <c r="AK282" s="11">
        <v>0</v>
      </c>
      <c r="AN282" s="11"/>
      <c r="AO282" s="11"/>
    </row>
    <row r="283" spans="1:41" x14ac:dyDescent="0.25">
      <c r="A283" s="1158" t="s">
        <v>720</v>
      </c>
      <c r="B283" s="1158">
        <v>205921</v>
      </c>
      <c r="AJ283" s="11">
        <v>702</v>
      </c>
      <c r="AK283" s="11">
        <v>702</v>
      </c>
      <c r="AN283" s="11"/>
      <c r="AO283" s="11"/>
    </row>
    <row r="284" spans="1:41" x14ac:dyDescent="0.25">
      <c r="A284" s="1158" t="s">
        <v>717</v>
      </c>
      <c r="B284" s="1158" t="s">
        <v>719</v>
      </c>
      <c r="AJ284" s="11">
        <v>0</v>
      </c>
      <c r="AK284" s="11">
        <v>0</v>
      </c>
      <c r="AN284" s="11"/>
      <c r="AO284" s="11"/>
    </row>
    <row r="285" spans="1:41" x14ac:dyDescent="0.25">
      <c r="A285" s="1158" t="s">
        <v>1417</v>
      </c>
      <c r="B285" s="1158">
        <v>398922</v>
      </c>
      <c r="AJ285" s="11">
        <v>2224</v>
      </c>
      <c r="AK285" s="11">
        <v>2224</v>
      </c>
      <c r="AN285" s="11"/>
      <c r="AO285" s="11"/>
    </row>
    <row r="286" spans="1:41" x14ac:dyDescent="0.25">
      <c r="A286" s="1158" t="s">
        <v>1416</v>
      </c>
      <c r="B286" s="1158">
        <v>479804</v>
      </c>
      <c r="AJ286" s="11">
        <v>0</v>
      </c>
      <c r="AK286" s="11">
        <v>0</v>
      </c>
      <c r="AN286" s="11"/>
      <c r="AO286" s="11"/>
    </row>
    <row r="287" spans="1:41" x14ac:dyDescent="0.25">
      <c r="A287" s="1158" t="s">
        <v>716</v>
      </c>
      <c r="B287" s="1158">
        <v>205999</v>
      </c>
      <c r="AJ287" s="11">
        <v>14300.704901354926</v>
      </c>
      <c r="AK287" s="11">
        <v>14300.704901354926</v>
      </c>
      <c r="AN287" s="11"/>
      <c r="AO287" s="11"/>
    </row>
    <row r="288" spans="1:41" x14ac:dyDescent="0.25">
      <c r="A288" s="1158" t="s">
        <v>715</v>
      </c>
      <c r="B288" s="1158" t="s">
        <v>272</v>
      </c>
      <c r="AJ288" s="11">
        <v>0</v>
      </c>
      <c r="AK288" s="11">
        <v>0</v>
      </c>
      <c r="AN288" s="11"/>
      <c r="AO288" s="11"/>
    </row>
    <row r="289" spans="1:41" x14ac:dyDescent="0.25">
      <c r="A289" s="1158" t="s">
        <v>721</v>
      </c>
      <c r="B289" s="1158">
        <v>206065</v>
      </c>
      <c r="AJ289" s="11">
        <v>1404</v>
      </c>
      <c r="AK289" s="11">
        <v>1404</v>
      </c>
      <c r="AN289" s="11"/>
      <c r="AO289" s="11"/>
    </row>
    <row r="290" spans="1:41" x14ac:dyDescent="0.25">
      <c r="A290" s="1158" t="s">
        <v>1418</v>
      </c>
      <c r="B290" s="1158">
        <v>314105</v>
      </c>
      <c r="AJ290" s="11">
        <v>2462.212</v>
      </c>
      <c r="AK290" s="11">
        <v>2462.212</v>
      </c>
      <c r="AN290" s="11"/>
      <c r="AO290" s="11"/>
    </row>
    <row r="291" spans="1:41" x14ac:dyDescent="0.25">
      <c r="A291" s="1158" t="s">
        <v>728</v>
      </c>
      <c r="B291" s="1158" t="s">
        <v>277</v>
      </c>
      <c r="AJ291" s="11">
        <v>6903.1040000000003</v>
      </c>
      <c r="AK291" s="11">
        <v>6903.1040000000003</v>
      </c>
      <c r="AN291" s="11"/>
      <c r="AO291" s="11"/>
    </row>
    <row r="292" spans="1:41" x14ac:dyDescent="0.25">
      <c r="A292" s="1158" t="s">
        <v>1419</v>
      </c>
      <c r="B292" s="1158">
        <v>206076</v>
      </c>
      <c r="AJ292" s="11">
        <v>2224</v>
      </c>
      <c r="AK292" s="11">
        <v>2224</v>
      </c>
      <c r="AN292" s="11"/>
      <c r="AO292" s="11"/>
    </row>
    <row r="293" spans="1:41" x14ac:dyDescent="0.25">
      <c r="A293" s="1158" t="s">
        <v>726</v>
      </c>
      <c r="B293" s="1158" t="s">
        <v>727</v>
      </c>
      <c r="AJ293" s="11">
        <v>0</v>
      </c>
      <c r="AK293" s="11">
        <v>0</v>
      </c>
      <c r="AN293" s="11"/>
      <c r="AO293" s="11"/>
    </row>
    <row r="294" spans="1:41" x14ac:dyDescent="0.25">
      <c r="A294" s="1158" t="s">
        <v>729</v>
      </c>
      <c r="B294" s="1158" t="s">
        <v>730</v>
      </c>
      <c r="AJ294" s="11">
        <v>2973</v>
      </c>
      <c r="AK294" s="11">
        <v>2973</v>
      </c>
      <c r="AN294" s="11"/>
      <c r="AO294" s="11"/>
    </row>
    <row r="295" spans="1:41" x14ac:dyDescent="0.25">
      <c r="A295" s="1158" t="s">
        <v>562</v>
      </c>
      <c r="B295" s="1158" t="s">
        <v>275</v>
      </c>
      <c r="AJ295" s="11">
        <v>0</v>
      </c>
      <c r="AK295" s="11">
        <v>0</v>
      </c>
      <c r="AN295" s="11"/>
      <c r="AO295" s="11"/>
    </row>
    <row r="296" spans="1:41" x14ac:dyDescent="0.25">
      <c r="A296" s="1158" t="s">
        <v>723</v>
      </c>
      <c r="B296" s="1158" t="s">
        <v>724</v>
      </c>
      <c r="AJ296" s="11">
        <v>0</v>
      </c>
      <c r="AK296" s="11">
        <v>0</v>
      </c>
      <c r="AN296" s="11"/>
      <c r="AO296" s="11"/>
    </row>
    <row r="297" spans="1:41" x14ac:dyDescent="0.25">
      <c r="A297" s="1158" t="s">
        <v>732</v>
      </c>
      <c r="B297" s="1158">
        <v>205919</v>
      </c>
      <c r="AJ297" s="11">
        <v>1564.7560000000001</v>
      </c>
      <c r="AK297" s="11">
        <v>1564.7560000000001</v>
      </c>
      <c r="AN297" s="11"/>
      <c r="AO297" s="11"/>
    </row>
    <row r="298" spans="1:41" x14ac:dyDescent="0.25">
      <c r="A298" s="1158" t="s">
        <v>731</v>
      </c>
      <c r="B298" s="1158" t="s">
        <v>276</v>
      </c>
      <c r="AJ298" s="11">
        <v>702</v>
      </c>
      <c r="AK298" s="11">
        <v>702</v>
      </c>
      <c r="AN298" s="11"/>
      <c r="AO298" s="11"/>
    </row>
    <row r="299" spans="1:41" x14ac:dyDescent="0.25">
      <c r="A299" s="1158" t="s">
        <v>1420</v>
      </c>
      <c r="B299" s="1158">
        <v>477405</v>
      </c>
      <c r="AJ299" s="11">
        <v>0</v>
      </c>
      <c r="AK299" s="11">
        <v>0</v>
      </c>
      <c r="AN299" s="11"/>
      <c r="AO299" s="11"/>
    </row>
    <row r="300" spans="1:41" x14ac:dyDescent="0.25">
      <c r="A300" s="1158" t="s">
        <v>733</v>
      </c>
      <c r="B300" s="1158" t="s">
        <v>734</v>
      </c>
      <c r="AJ300" s="11">
        <v>4330</v>
      </c>
      <c r="AK300" s="11">
        <v>4330</v>
      </c>
      <c r="AN300" s="11"/>
      <c r="AO300" s="11"/>
    </row>
    <row r="301" spans="1:41" x14ac:dyDescent="0.25">
      <c r="A301" s="1158" t="s">
        <v>1421</v>
      </c>
      <c r="B301" s="1158">
        <v>401536</v>
      </c>
      <c r="AJ301" s="11">
        <v>351</v>
      </c>
      <c r="AK301" s="11">
        <v>351</v>
      </c>
      <c r="AN301" s="11"/>
      <c r="AO301" s="11"/>
    </row>
    <row r="302" spans="1:41" x14ac:dyDescent="0.25">
      <c r="A302" s="1158" t="s">
        <v>735</v>
      </c>
      <c r="B302" s="1158" t="s">
        <v>736</v>
      </c>
      <c r="AJ302" s="11">
        <v>2845.6480000000001</v>
      </c>
      <c r="AK302" s="11">
        <v>2845.6480000000001</v>
      </c>
      <c r="AN302" s="11"/>
      <c r="AO302" s="11"/>
    </row>
    <row r="303" spans="1:41" x14ac:dyDescent="0.25">
      <c r="A303" s="1158" t="s">
        <v>738</v>
      </c>
      <c r="B303" s="1158" t="s">
        <v>739</v>
      </c>
      <c r="AJ303" s="11">
        <v>0</v>
      </c>
      <c r="AK303" s="11">
        <v>0</v>
      </c>
      <c r="AN303" s="11"/>
      <c r="AO303" s="11"/>
    </row>
    <row r="304" spans="1:41" x14ac:dyDescent="0.25">
      <c r="A304" s="1158" t="s">
        <v>737</v>
      </c>
      <c r="B304" s="1158">
        <v>205849</v>
      </c>
      <c r="AJ304" s="11">
        <v>7055.8040000000001</v>
      </c>
      <c r="AK304" s="11">
        <v>7055.8040000000001</v>
      </c>
      <c r="AN304" s="11"/>
      <c r="AO304" s="11"/>
    </row>
    <row r="305" spans="1:41" x14ac:dyDescent="0.25">
      <c r="A305" s="1158" t="s">
        <v>742</v>
      </c>
      <c r="B305" s="1158" t="s">
        <v>273</v>
      </c>
      <c r="AJ305" s="11">
        <v>0</v>
      </c>
      <c r="AK305" s="11">
        <v>0</v>
      </c>
      <c r="AN305" s="11"/>
      <c r="AO305" s="11"/>
    </row>
    <row r="306" spans="1:41" x14ac:dyDescent="0.25">
      <c r="A306" s="1158" t="s">
        <v>740</v>
      </c>
      <c r="B306" s="1158" t="s">
        <v>741</v>
      </c>
      <c r="AJ306" s="11">
        <v>0</v>
      </c>
      <c r="AK306" s="11">
        <v>0</v>
      </c>
      <c r="AN306" s="11"/>
      <c r="AO306" s="11"/>
    </row>
    <row r="307" spans="1:41" x14ac:dyDescent="0.25">
      <c r="A307" s="1158" t="s">
        <v>746</v>
      </c>
      <c r="B307" s="1158">
        <v>205922</v>
      </c>
      <c r="AJ307" s="11">
        <v>2125.3167126686621</v>
      </c>
      <c r="AK307" s="11">
        <v>2125.3167126686621</v>
      </c>
      <c r="AN307" s="11"/>
      <c r="AO307" s="11"/>
    </row>
    <row r="308" spans="1:41" x14ac:dyDescent="0.25">
      <c r="A308" s="1158" t="s">
        <v>745</v>
      </c>
      <c r="B308" s="1158">
        <v>205881</v>
      </c>
      <c r="AJ308" s="11">
        <v>5186.6480000000001</v>
      </c>
      <c r="AK308" s="11">
        <v>5186.6480000000001</v>
      </c>
      <c r="AN308" s="11"/>
      <c r="AO308" s="11"/>
    </row>
    <row r="309" spans="1:41" x14ac:dyDescent="0.25">
      <c r="A309" s="1158" t="s">
        <v>743</v>
      </c>
      <c r="B309" s="1158" t="s">
        <v>744</v>
      </c>
      <c r="AJ309" s="11">
        <v>702</v>
      </c>
      <c r="AK309" s="11">
        <v>702</v>
      </c>
      <c r="AN309" s="11"/>
      <c r="AO309" s="11"/>
    </row>
    <row r="310" spans="1:41" x14ac:dyDescent="0.25">
      <c r="A310" s="1158" t="s">
        <v>747</v>
      </c>
      <c r="B310" s="1158" t="s">
        <v>278</v>
      </c>
      <c r="AJ310" s="11">
        <v>2260.6480000000001</v>
      </c>
      <c r="AK310" s="11">
        <v>2260.6480000000001</v>
      </c>
      <c r="AN310" s="11"/>
      <c r="AO310" s="11"/>
    </row>
    <row r="311" spans="1:41" x14ac:dyDescent="0.25">
      <c r="A311" s="1158" t="s">
        <v>748</v>
      </c>
      <c r="B311" s="1158" t="s">
        <v>749</v>
      </c>
      <c r="AJ311" s="11">
        <v>0</v>
      </c>
      <c r="AK311" s="11">
        <v>0</v>
      </c>
      <c r="AN311" s="11"/>
      <c r="AO311" s="11"/>
    </row>
    <row r="312" spans="1:41" x14ac:dyDescent="0.25">
      <c r="A312" s="1158" t="s">
        <v>1422</v>
      </c>
      <c r="B312" s="1158">
        <v>462623</v>
      </c>
      <c r="AJ312" s="11">
        <v>1971.2434000000001</v>
      </c>
      <c r="AK312" s="11">
        <v>1971.2434000000001</v>
      </c>
      <c r="AN312" s="11"/>
      <c r="AO312" s="11"/>
    </row>
    <row r="313" spans="1:41" x14ac:dyDescent="0.25">
      <c r="A313" s="1158" t="s">
        <v>750</v>
      </c>
      <c r="B313" s="1158" t="s">
        <v>751</v>
      </c>
      <c r="AJ313" s="11">
        <v>725.45007999999996</v>
      </c>
      <c r="AK313" s="11">
        <v>725.45007999999996</v>
      </c>
      <c r="AN313" s="11"/>
      <c r="AO313" s="11"/>
    </row>
    <row r="314" spans="1:41" x14ac:dyDescent="0.25">
      <c r="A314" s="1158" t="s">
        <v>753</v>
      </c>
      <c r="B314" s="1158" t="s">
        <v>754</v>
      </c>
      <c r="AJ314" s="11">
        <v>1404</v>
      </c>
      <c r="AK314" s="11">
        <v>1404</v>
      </c>
      <c r="AN314" s="11"/>
      <c r="AO314" s="11"/>
    </row>
    <row r="315" spans="1:41" x14ac:dyDescent="0.25">
      <c r="A315" s="1158" t="s">
        <v>752</v>
      </c>
      <c r="B315" s="1158">
        <v>2</v>
      </c>
      <c r="AJ315" s="11">
        <v>0</v>
      </c>
      <c r="AK315" s="11">
        <v>0</v>
      </c>
      <c r="AN315" s="11"/>
      <c r="AO315" s="11"/>
    </row>
    <row r="316" spans="1:41" x14ac:dyDescent="0.25">
      <c r="A316" s="1158" t="s">
        <v>756</v>
      </c>
      <c r="B316" s="1158">
        <v>205878</v>
      </c>
      <c r="AJ316" s="11">
        <v>5381.1559999999999</v>
      </c>
      <c r="AK316" s="11">
        <v>5381.1559999999999</v>
      </c>
      <c r="AN316" s="11"/>
      <c r="AO316" s="11"/>
    </row>
    <row r="317" spans="1:41" x14ac:dyDescent="0.25">
      <c r="A317" s="1158" t="s">
        <v>755</v>
      </c>
      <c r="B317" s="1158">
        <v>205956</v>
      </c>
      <c r="AJ317" s="11">
        <v>0</v>
      </c>
      <c r="AK317" s="11">
        <v>0</v>
      </c>
      <c r="AN317" s="11"/>
      <c r="AO317" s="11"/>
    </row>
    <row r="318" spans="1:41" x14ac:dyDescent="0.25">
      <c r="A318" s="1158" t="s">
        <v>758</v>
      </c>
      <c r="B318" s="1158" t="s">
        <v>759</v>
      </c>
      <c r="AJ318" s="11">
        <v>702</v>
      </c>
      <c r="AK318" s="11">
        <v>702</v>
      </c>
      <c r="AN318" s="11"/>
      <c r="AO318" s="11"/>
    </row>
    <row r="319" spans="1:41" x14ac:dyDescent="0.25">
      <c r="A319" s="1158" t="s">
        <v>1425</v>
      </c>
      <c r="B319" s="1158">
        <v>472319</v>
      </c>
      <c r="AJ319" s="11">
        <v>583.98879999999997</v>
      </c>
      <c r="AK319" s="11">
        <v>583.98879999999997</v>
      </c>
      <c r="AN319" s="11"/>
      <c r="AO319" s="11"/>
    </row>
    <row r="320" spans="1:41" x14ac:dyDescent="0.25">
      <c r="A320" s="1158" t="s">
        <v>757</v>
      </c>
      <c r="B320" s="1158">
        <v>260849</v>
      </c>
      <c r="AJ320" s="11">
        <v>12991</v>
      </c>
      <c r="AK320" s="11">
        <v>12991</v>
      </c>
      <c r="AN320" s="11"/>
      <c r="AO320" s="11"/>
    </row>
    <row r="321" spans="1:41" x14ac:dyDescent="0.25">
      <c r="A321" s="1158" t="s">
        <v>1426</v>
      </c>
      <c r="B321" s="1158">
        <v>482805</v>
      </c>
      <c r="AJ321" s="11">
        <v>4924.424</v>
      </c>
      <c r="AK321" s="11">
        <v>4924.424</v>
      </c>
      <c r="AN321" s="11"/>
      <c r="AO321" s="11"/>
    </row>
    <row r="322" spans="1:41" x14ac:dyDescent="0.25">
      <c r="A322" s="1158" t="s">
        <v>1424</v>
      </c>
      <c r="B322" s="1158">
        <v>447579</v>
      </c>
      <c r="AJ322" s="11">
        <v>2224</v>
      </c>
      <c r="AK322" s="11">
        <v>2224</v>
      </c>
      <c r="AN322" s="11"/>
      <c r="AO322" s="11"/>
    </row>
    <row r="323" spans="1:41" x14ac:dyDescent="0.25">
      <c r="A323" s="1158" t="s">
        <v>760</v>
      </c>
      <c r="B323" s="1158" t="s">
        <v>280</v>
      </c>
      <c r="AJ323" s="11">
        <v>4995.1612000000005</v>
      </c>
      <c r="AK323" s="11">
        <v>4995.1612000000005</v>
      </c>
      <c r="AN323" s="11"/>
      <c r="AO323" s="11"/>
    </row>
    <row r="324" spans="1:41" x14ac:dyDescent="0.25">
      <c r="A324" s="1158" t="s">
        <v>761</v>
      </c>
      <c r="B324" s="1158" t="s">
        <v>762</v>
      </c>
      <c r="AJ324" s="11">
        <v>2107</v>
      </c>
      <c r="AK324" s="11">
        <v>2107</v>
      </c>
      <c r="AN324" s="11"/>
      <c r="AO324" s="11"/>
    </row>
    <row r="325" spans="1:41" x14ac:dyDescent="0.25">
      <c r="A325" s="1158" t="s">
        <v>765</v>
      </c>
      <c r="B325" s="1158" t="s">
        <v>766</v>
      </c>
      <c r="AJ325" s="11">
        <v>2462.212</v>
      </c>
      <c r="AK325" s="11">
        <v>2462.212</v>
      </c>
      <c r="AN325" s="11"/>
      <c r="AO325" s="11"/>
    </row>
    <row r="326" spans="1:41" x14ac:dyDescent="0.25">
      <c r="A326" s="1158" t="s">
        <v>763</v>
      </c>
      <c r="B326" s="1158" t="s">
        <v>764</v>
      </c>
      <c r="AJ326" s="11">
        <v>0</v>
      </c>
      <c r="AK326" s="11">
        <v>0</v>
      </c>
      <c r="AN326" s="11"/>
      <c r="AO326" s="11"/>
    </row>
    <row r="327" spans="1:41" x14ac:dyDescent="0.25">
      <c r="A327" s="1158" t="s">
        <v>770</v>
      </c>
      <c r="B327" s="1158" t="s">
        <v>771</v>
      </c>
      <c r="AJ327" s="11">
        <v>0</v>
      </c>
      <c r="AK327" s="11">
        <v>0</v>
      </c>
      <c r="AN327" s="11"/>
      <c r="AO327" s="11"/>
    </row>
    <row r="328" spans="1:41" x14ac:dyDescent="0.25">
      <c r="A328" s="1158" t="s">
        <v>767</v>
      </c>
      <c r="B328" s="1159" t="s">
        <v>768</v>
      </c>
      <c r="AJ328" s="11">
        <v>0</v>
      </c>
      <c r="AK328" s="11">
        <v>0</v>
      </c>
      <c r="AN328" s="11"/>
      <c r="AO328" s="11"/>
    </row>
    <row r="329" spans="1:41" x14ac:dyDescent="0.25">
      <c r="A329" s="1158" t="s">
        <v>769</v>
      </c>
      <c r="B329" s="1159" t="s">
        <v>281</v>
      </c>
      <c r="AJ329" s="11">
        <v>2835.7925812631579</v>
      </c>
      <c r="AK329" s="11">
        <v>2835.7925812631579</v>
      </c>
      <c r="AN329" s="11"/>
      <c r="AO329" s="11"/>
    </row>
    <row r="330" spans="1:41" x14ac:dyDescent="0.25">
      <c r="A330" s="1158" t="s">
        <v>773</v>
      </c>
      <c r="B330" s="1158" t="s">
        <v>774</v>
      </c>
      <c r="AJ330" s="11">
        <v>2057.9888000000001</v>
      </c>
      <c r="AK330" s="11">
        <v>2057.9888000000001</v>
      </c>
      <c r="AN330" s="11"/>
      <c r="AO330" s="11"/>
    </row>
    <row r="331" spans="1:41" x14ac:dyDescent="0.25">
      <c r="A331" s="1158" t="s">
        <v>1427</v>
      </c>
      <c r="B331" s="1158">
        <v>484039</v>
      </c>
      <c r="AJ331" s="11">
        <v>5384</v>
      </c>
      <c r="AK331" s="11">
        <v>5384</v>
      </c>
      <c r="AN331" s="11"/>
      <c r="AO331" s="11"/>
    </row>
    <row r="332" spans="1:41" x14ac:dyDescent="0.25">
      <c r="A332" s="1158" t="s">
        <v>775</v>
      </c>
      <c r="B332" s="1158" t="s">
        <v>776</v>
      </c>
      <c r="AJ332" s="11">
        <v>5134.8</v>
      </c>
      <c r="AK332" s="11">
        <v>5134.8</v>
      </c>
      <c r="AN332" s="11"/>
      <c r="AO332" s="11"/>
    </row>
    <row r="333" spans="1:41" x14ac:dyDescent="0.25">
      <c r="A333" s="1158" t="s">
        <v>1423</v>
      </c>
      <c r="B333" s="1158">
        <v>343478</v>
      </c>
      <c r="AJ333" s="11">
        <v>861.75599999999997</v>
      </c>
      <c r="AK333" s="11">
        <v>861.75599999999997</v>
      </c>
      <c r="AN333" s="11"/>
      <c r="AO333" s="11"/>
    </row>
    <row r="334" spans="1:41" x14ac:dyDescent="0.25">
      <c r="A334" s="1158" t="s">
        <v>778</v>
      </c>
      <c r="B334" s="1158" t="s">
        <v>283</v>
      </c>
      <c r="AJ334" s="11">
        <v>2912.8359999999998</v>
      </c>
      <c r="AK334" s="11">
        <v>2912.8359999999998</v>
      </c>
      <c r="AN334" s="11"/>
      <c r="AO334" s="11"/>
    </row>
    <row r="335" spans="1:41" x14ac:dyDescent="0.25">
      <c r="A335" s="1158" t="s">
        <v>779</v>
      </c>
      <c r="B335" s="1158">
        <v>206031</v>
      </c>
      <c r="AJ335" s="11">
        <v>5241.62</v>
      </c>
      <c r="AK335" s="11">
        <v>5241.62</v>
      </c>
      <c r="AN335" s="11"/>
      <c r="AO335" s="11"/>
    </row>
    <row r="336" spans="1:41" x14ac:dyDescent="0.25">
      <c r="A336" s="1158" t="s">
        <v>777</v>
      </c>
      <c r="B336" s="1158" t="s">
        <v>284</v>
      </c>
      <c r="AJ336" s="11">
        <v>3885.8223476746412</v>
      </c>
      <c r="AK336" s="11">
        <v>3885.8223476746412</v>
      </c>
      <c r="AN336" s="11"/>
      <c r="AO336" s="11"/>
    </row>
    <row r="337" spans="1:41" x14ac:dyDescent="0.25">
      <c r="A337" s="1158" t="s">
        <v>772</v>
      </c>
      <c r="B337" s="1158" t="s">
        <v>282</v>
      </c>
      <c r="AJ337" s="11">
        <v>562</v>
      </c>
      <c r="AK337" s="11">
        <v>562</v>
      </c>
      <c r="AN337" s="11"/>
      <c r="AO337" s="11"/>
    </row>
    <row r="338" spans="1:41" x14ac:dyDescent="0.25">
      <c r="A338" s="1158" t="s">
        <v>780</v>
      </c>
      <c r="B338" s="1158" t="s">
        <v>781</v>
      </c>
      <c r="AJ338" s="11">
        <v>3628</v>
      </c>
      <c r="AK338" s="11">
        <v>3628</v>
      </c>
      <c r="AN338" s="11"/>
      <c r="AO338" s="11"/>
    </row>
    <row r="339" spans="1:41" x14ac:dyDescent="0.25">
      <c r="A339" s="1158" t="s">
        <v>786</v>
      </c>
      <c r="B339" s="1158" t="s">
        <v>285</v>
      </c>
      <c r="AJ339" s="11">
        <v>0</v>
      </c>
      <c r="AK339" s="11">
        <v>0</v>
      </c>
      <c r="AN339" s="11"/>
      <c r="AO339" s="11"/>
    </row>
    <row r="340" spans="1:41" x14ac:dyDescent="0.25">
      <c r="A340" s="1158" t="s">
        <v>784</v>
      </c>
      <c r="B340" s="1158">
        <v>260848</v>
      </c>
      <c r="AJ340" s="11">
        <v>4235.1117076923074</v>
      </c>
      <c r="AK340" s="11">
        <v>4235.1117076923074</v>
      </c>
      <c r="AN340" s="11"/>
      <c r="AO340" s="11"/>
    </row>
    <row r="341" spans="1:41" x14ac:dyDescent="0.25">
      <c r="A341" s="1158" t="s">
        <v>785</v>
      </c>
      <c r="B341" s="1158">
        <v>206043</v>
      </c>
      <c r="AJ341" s="11">
        <v>0</v>
      </c>
      <c r="AK341" s="11">
        <v>0</v>
      </c>
      <c r="AN341" s="11"/>
      <c r="AO341" s="11"/>
    </row>
    <row r="342" spans="1:41" x14ac:dyDescent="0.25">
      <c r="A342" s="1158" t="s">
        <v>787</v>
      </c>
      <c r="B342" s="1158" t="s">
        <v>286</v>
      </c>
      <c r="AJ342" s="11">
        <v>0</v>
      </c>
      <c r="AK342" s="11">
        <v>0</v>
      </c>
      <c r="AN342" s="11"/>
      <c r="AO342" s="11"/>
    </row>
    <row r="343" spans="1:41" x14ac:dyDescent="0.25">
      <c r="A343" s="1158" t="s">
        <v>1428</v>
      </c>
      <c r="B343" s="1158">
        <v>505502</v>
      </c>
      <c r="AJ343" s="11">
        <v>1404</v>
      </c>
      <c r="AK343" s="11">
        <v>1404</v>
      </c>
      <c r="AN343" s="11"/>
      <c r="AO343" s="11"/>
    </row>
    <row r="344" spans="1:41" x14ac:dyDescent="0.25">
      <c r="A344" s="1158" t="s">
        <v>783</v>
      </c>
      <c r="B344" s="1158">
        <v>205978</v>
      </c>
      <c r="AJ344" s="11">
        <v>14811.343999999999</v>
      </c>
      <c r="AK344" s="11">
        <v>14811.343999999999</v>
      </c>
      <c r="AN344" s="11"/>
      <c r="AO344" s="11"/>
    </row>
    <row r="345" spans="1:41" x14ac:dyDescent="0.25">
      <c r="A345" s="1158" t="s">
        <v>788</v>
      </c>
      <c r="B345" s="1158">
        <v>435150</v>
      </c>
      <c r="AJ345" s="11">
        <v>811.94399999999996</v>
      </c>
      <c r="AK345" s="11">
        <v>811.94399999999996</v>
      </c>
      <c r="AN345" s="11"/>
      <c r="AO345" s="11"/>
    </row>
    <row r="346" spans="1:41" x14ac:dyDescent="0.25">
      <c r="A346" s="1158" t="s">
        <v>782</v>
      </c>
      <c r="B346" s="1158">
        <v>206067</v>
      </c>
      <c r="AJ346" s="11">
        <v>738.64800000000002</v>
      </c>
      <c r="AK346" s="11">
        <v>738.64800000000002</v>
      </c>
      <c r="AN346" s="11"/>
      <c r="AO346" s="11"/>
    </row>
    <row r="347" spans="1:41" x14ac:dyDescent="0.25">
      <c r="A347" s="1158" t="s">
        <v>789</v>
      </c>
      <c r="B347" s="1158" t="s">
        <v>287</v>
      </c>
      <c r="AJ347" s="11">
        <v>9757.8009707368419</v>
      </c>
      <c r="AK347" s="11">
        <v>9757.8009707368419</v>
      </c>
      <c r="AN347" s="11"/>
      <c r="AO347" s="11"/>
    </row>
    <row r="348" spans="1:41" x14ac:dyDescent="0.25">
      <c r="A348" s="1158" t="s">
        <v>790</v>
      </c>
      <c r="B348" s="1158" t="s">
        <v>279</v>
      </c>
      <c r="AJ348" s="11">
        <v>0</v>
      </c>
      <c r="AK348" s="11">
        <v>0</v>
      </c>
      <c r="AN348" s="11"/>
      <c r="AO348" s="11"/>
    </row>
    <row r="349" spans="1:41" x14ac:dyDescent="0.25">
      <c r="A349" s="1158" t="s">
        <v>791</v>
      </c>
      <c r="B349" s="1158" t="s">
        <v>288</v>
      </c>
      <c r="AJ349" s="11">
        <v>2224</v>
      </c>
      <c r="AK349" s="11">
        <v>2224</v>
      </c>
      <c r="AN349" s="11"/>
      <c r="AO349" s="11"/>
    </row>
    <row r="350" spans="1:41" x14ac:dyDescent="0.25">
      <c r="A350" s="1158" t="s">
        <v>792</v>
      </c>
      <c r="B350" s="1158" t="s">
        <v>793</v>
      </c>
      <c r="AJ350" s="11">
        <v>7286.1073999999999</v>
      </c>
      <c r="AK350" s="11">
        <v>7286.1073999999999</v>
      </c>
      <c r="AN350" s="11"/>
      <c r="AO350" s="11"/>
    </row>
    <row r="351" spans="1:41" x14ac:dyDescent="0.25">
      <c r="A351" s="1158" t="s">
        <v>1429</v>
      </c>
      <c r="B351" s="1158">
        <v>414019</v>
      </c>
      <c r="AJ351" s="11">
        <v>10141.56</v>
      </c>
      <c r="AK351" s="11">
        <v>10141.56</v>
      </c>
      <c r="AN351" s="11"/>
      <c r="AO351" s="11"/>
    </row>
    <row r="352" spans="1:41" x14ac:dyDescent="0.25">
      <c r="A352" s="1158" t="s">
        <v>796</v>
      </c>
      <c r="B352" s="1158" t="s">
        <v>274</v>
      </c>
      <c r="AJ352" s="11">
        <v>15903.659180082988</v>
      </c>
      <c r="AK352" s="11">
        <v>15903.659180082988</v>
      </c>
      <c r="AN352" s="11"/>
      <c r="AO352" s="11"/>
    </row>
    <row r="353" spans="1:41" x14ac:dyDescent="0.25">
      <c r="A353" s="1158" t="s">
        <v>1430</v>
      </c>
      <c r="B353" s="1158">
        <v>458078</v>
      </c>
      <c r="AJ353" s="11">
        <v>0</v>
      </c>
      <c r="AK353" s="11">
        <v>0</v>
      </c>
      <c r="AN353" s="11"/>
      <c r="AO353" s="11"/>
    </row>
    <row r="354" spans="1:41" x14ac:dyDescent="0.25">
      <c r="A354" s="1158" t="s">
        <v>794</v>
      </c>
      <c r="B354" s="1158" t="s">
        <v>795</v>
      </c>
      <c r="AJ354" s="11">
        <v>740.51199999999994</v>
      </c>
      <c r="AK354" s="11">
        <v>740.51199999999994</v>
      </c>
      <c r="AN354" s="11"/>
      <c r="AO354" s="11"/>
    </row>
    <row r="355" spans="1:41" x14ac:dyDescent="0.25">
      <c r="A355" s="1158" t="s">
        <v>289</v>
      </c>
      <c r="B355" s="1158" t="s">
        <v>290</v>
      </c>
      <c r="AJ355" s="11">
        <v>97472.355778421188</v>
      </c>
      <c r="AK355" s="11">
        <v>97472.355778421188</v>
      </c>
      <c r="AN355" s="11"/>
      <c r="AO355" s="11"/>
    </row>
    <row r="356" spans="1:41" x14ac:dyDescent="0.25">
      <c r="A356" s="1158" t="s">
        <v>1306</v>
      </c>
      <c r="B356" s="1158">
        <v>4003</v>
      </c>
      <c r="AK356" s="11"/>
      <c r="AN356" s="11"/>
      <c r="AO356" s="11"/>
    </row>
    <row r="357" spans="1:41" x14ac:dyDescent="0.25">
      <c r="A357" s="1158" t="s">
        <v>797</v>
      </c>
      <c r="B357" s="1158" t="s">
        <v>798</v>
      </c>
      <c r="AJ357" s="11">
        <v>72832.993957098908</v>
      </c>
      <c r="AK357" s="11">
        <v>72832.993957098908</v>
      </c>
      <c r="AN357" s="11"/>
      <c r="AO357" s="11"/>
    </row>
    <row r="358" spans="1:41" x14ac:dyDescent="0.25">
      <c r="A358" s="1158" t="s">
        <v>291</v>
      </c>
      <c r="B358" s="1158" t="s">
        <v>293</v>
      </c>
      <c r="AJ358" s="11">
        <v>0</v>
      </c>
      <c r="AK358" s="11">
        <v>0</v>
      </c>
      <c r="AN358" s="11"/>
      <c r="AO358" s="11"/>
    </row>
    <row r="359" spans="1:41" x14ac:dyDescent="0.25">
      <c r="A359" s="1158" t="s">
        <v>111</v>
      </c>
      <c r="B359" s="1158">
        <v>4178</v>
      </c>
      <c r="AK359" s="11"/>
      <c r="AN359" s="11"/>
      <c r="AO359" s="11"/>
    </row>
    <row r="360" spans="1:41" x14ac:dyDescent="0.25">
      <c r="A360" s="1158" t="s">
        <v>98</v>
      </c>
      <c r="B360" s="1158">
        <v>3158</v>
      </c>
      <c r="AK360" s="11"/>
      <c r="AN360" s="11"/>
      <c r="AO360" s="11"/>
    </row>
    <row r="361" spans="1:41" x14ac:dyDescent="0.25">
      <c r="A361" s="1158" t="s">
        <v>32</v>
      </c>
      <c r="B361" s="1158">
        <v>2619</v>
      </c>
      <c r="AK361" s="11"/>
      <c r="AN361" s="11"/>
      <c r="AO361" s="11"/>
    </row>
    <row r="362" spans="1:41" x14ac:dyDescent="0.25">
      <c r="A362" s="1158" t="s">
        <v>1388</v>
      </c>
      <c r="B362" s="1158">
        <v>479542</v>
      </c>
      <c r="AK362" s="11"/>
      <c r="AN362" s="11"/>
      <c r="AO362" s="11"/>
    </row>
    <row r="363" spans="1:41" x14ac:dyDescent="0.25">
      <c r="A363" s="1158" t="s">
        <v>1389</v>
      </c>
      <c r="B363" s="1158" t="s">
        <v>1390</v>
      </c>
      <c r="AK363" s="11"/>
      <c r="AN363" s="11"/>
      <c r="AO363" s="11"/>
    </row>
    <row r="364" spans="1:41" x14ac:dyDescent="0.25">
      <c r="A364" s="1158" t="s">
        <v>799</v>
      </c>
      <c r="B364" s="1158" t="s">
        <v>800</v>
      </c>
      <c r="AJ364" s="11">
        <v>7341.8370909090909</v>
      </c>
      <c r="AK364" s="11">
        <v>7341.8370909090909</v>
      </c>
      <c r="AN364" s="11"/>
      <c r="AO364" s="11"/>
    </row>
    <row r="365" spans="1:41" x14ac:dyDescent="0.25">
      <c r="A365" s="1158" t="s">
        <v>1391</v>
      </c>
      <c r="B365" s="1158">
        <v>487369</v>
      </c>
      <c r="AK365" s="11"/>
      <c r="AN365" s="11"/>
      <c r="AO365" s="11"/>
    </row>
    <row r="366" spans="1:41" x14ac:dyDescent="0.25">
      <c r="A366" s="1158" t="s">
        <v>1392</v>
      </c>
      <c r="B366" s="1158">
        <v>477763</v>
      </c>
      <c r="AJ366" s="11">
        <v>1672.4466</v>
      </c>
      <c r="AK366" s="11">
        <v>1672.4466</v>
      </c>
      <c r="AN366" s="11"/>
      <c r="AO366" s="11"/>
    </row>
    <row r="367" spans="1:41" x14ac:dyDescent="0.25">
      <c r="A367" s="1158" t="s">
        <v>294</v>
      </c>
      <c r="B367" s="1158" t="s">
        <v>295</v>
      </c>
      <c r="AJ367" s="11">
        <v>70271.081902589081</v>
      </c>
      <c r="AK367" s="11">
        <v>70271.081902589081</v>
      </c>
      <c r="AN367" s="11"/>
      <c r="AO367" s="11"/>
    </row>
    <row r="368" spans="1:41" x14ac:dyDescent="0.25">
      <c r="A368" s="1158" t="s">
        <v>296</v>
      </c>
      <c r="B368" s="1158">
        <v>258417</v>
      </c>
      <c r="AJ368" s="11">
        <v>0</v>
      </c>
      <c r="AK368" s="11">
        <v>0</v>
      </c>
      <c r="AN368" s="11"/>
      <c r="AO368" s="11"/>
    </row>
    <row r="369" spans="1:41" x14ac:dyDescent="0.25">
      <c r="A369" s="1158" t="s">
        <v>298</v>
      </c>
      <c r="B369" s="1158" t="s">
        <v>300</v>
      </c>
      <c r="AJ369" s="11">
        <v>61090.537237501434</v>
      </c>
      <c r="AK369" s="11">
        <v>61090.537237501434</v>
      </c>
      <c r="AN369" s="11"/>
      <c r="AO369" s="11"/>
    </row>
    <row r="370" spans="1:41" x14ac:dyDescent="0.25">
      <c r="A370" s="1158" t="s">
        <v>301</v>
      </c>
      <c r="B370" s="1158" t="s">
        <v>303</v>
      </c>
      <c r="AJ370" s="11">
        <v>69649.081777552317</v>
      </c>
      <c r="AK370" s="11">
        <v>69649.081777552317</v>
      </c>
      <c r="AN370" s="11"/>
      <c r="AO370" s="11"/>
    </row>
    <row r="371" spans="1:41" x14ac:dyDescent="0.25">
      <c r="A371" s="1158" t="s">
        <v>33</v>
      </c>
      <c r="B371" s="1158">
        <v>2518</v>
      </c>
      <c r="AK371" s="11"/>
      <c r="AN371" s="11"/>
      <c r="AO371" s="11"/>
    </row>
    <row r="372" spans="1:41" x14ac:dyDescent="0.25">
      <c r="A372" s="1158" t="s">
        <v>801</v>
      </c>
      <c r="B372" s="1158" t="s">
        <v>802</v>
      </c>
      <c r="AJ372" s="11">
        <v>12562.610285714285</v>
      </c>
      <c r="AK372" s="11">
        <v>12562.610285714285</v>
      </c>
      <c r="AN372" s="11"/>
      <c r="AO372" s="11"/>
    </row>
    <row r="373" spans="1:41" x14ac:dyDescent="0.25">
      <c r="A373" s="1158" t="s">
        <v>304</v>
      </c>
      <c r="B373" s="1158">
        <v>206106</v>
      </c>
      <c r="AJ373" s="11">
        <v>27754.898453117199</v>
      </c>
      <c r="AK373" s="11">
        <v>27754.898453117199</v>
      </c>
      <c r="AN373" s="11"/>
      <c r="AO373" s="11"/>
    </row>
    <row r="374" spans="1:41" x14ac:dyDescent="0.25">
      <c r="A374" s="1158" t="s">
        <v>306</v>
      </c>
      <c r="B374" s="1158" t="s">
        <v>307</v>
      </c>
      <c r="AJ374" s="11">
        <v>128348.00590375302</v>
      </c>
      <c r="AK374" s="11">
        <v>128348.00590375302</v>
      </c>
      <c r="AN374" s="11"/>
      <c r="AO374" s="11"/>
    </row>
    <row r="375" spans="1:41" x14ac:dyDescent="0.25">
      <c r="A375" s="1158" t="s">
        <v>803</v>
      </c>
      <c r="B375" s="1158" t="s">
        <v>804</v>
      </c>
      <c r="AJ375" s="11">
        <v>60059.302832815963</v>
      </c>
      <c r="AK375" s="11">
        <v>60059.302832815963</v>
      </c>
      <c r="AN375" s="11"/>
      <c r="AO375" s="11"/>
    </row>
    <row r="376" spans="1:41" x14ac:dyDescent="0.25">
      <c r="A376" s="1158" t="s">
        <v>34</v>
      </c>
      <c r="B376" s="1158">
        <v>2457</v>
      </c>
      <c r="AK376" s="11"/>
      <c r="AN376" s="11"/>
      <c r="AO376" s="11"/>
    </row>
    <row r="377" spans="1:41" x14ac:dyDescent="0.25">
      <c r="A377" s="1158" t="s">
        <v>99</v>
      </c>
      <c r="B377" s="1158">
        <v>2010</v>
      </c>
      <c r="AK377" s="11"/>
      <c r="AN377" s="11"/>
      <c r="AO377" s="11"/>
    </row>
    <row r="378" spans="1:41" x14ac:dyDescent="0.25">
      <c r="A378" s="1158" t="s">
        <v>35</v>
      </c>
      <c r="B378" s="1158">
        <v>2002</v>
      </c>
      <c r="AK378" s="11"/>
      <c r="AN378" s="11"/>
      <c r="AO378" s="11"/>
    </row>
    <row r="379" spans="1:41" x14ac:dyDescent="0.25">
      <c r="A379" s="1158" t="s">
        <v>36</v>
      </c>
      <c r="B379" s="1158">
        <v>3544</v>
      </c>
      <c r="AK379" s="11"/>
      <c r="AN379" s="11"/>
      <c r="AO379" s="11"/>
    </row>
    <row r="380" spans="1:41" x14ac:dyDescent="0.25">
      <c r="A380" s="1158" t="s">
        <v>5</v>
      </c>
      <c r="B380" s="1158">
        <v>1008</v>
      </c>
      <c r="AK380" s="11"/>
      <c r="AN380" s="11"/>
      <c r="AO380" s="11"/>
    </row>
    <row r="381" spans="1:41" x14ac:dyDescent="0.25">
      <c r="A381" s="1158" t="s">
        <v>308</v>
      </c>
      <c r="B381" s="1158" t="s">
        <v>309</v>
      </c>
      <c r="AJ381" s="11">
        <v>12097.634765954886</v>
      </c>
      <c r="AK381" s="11">
        <v>12097.634765954886</v>
      </c>
      <c r="AN381" s="11"/>
      <c r="AO381" s="11"/>
    </row>
    <row r="382" spans="1:41" x14ac:dyDescent="0.25">
      <c r="A382" s="1158" t="s">
        <v>100</v>
      </c>
      <c r="B382" s="1158">
        <v>2006</v>
      </c>
      <c r="AK382" s="11"/>
      <c r="AN382" s="11"/>
      <c r="AO382" s="11"/>
    </row>
    <row r="383" spans="1:41" x14ac:dyDescent="0.25">
      <c r="A383" s="1158" t="s">
        <v>310</v>
      </c>
      <c r="B383" s="1158" t="s">
        <v>311</v>
      </c>
      <c r="AJ383" s="11">
        <v>82272.210376965188</v>
      </c>
      <c r="AK383" s="11">
        <v>82272.210376965188</v>
      </c>
      <c r="AN383" s="11"/>
      <c r="AO383" s="11"/>
    </row>
    <row r="384" spans="1:41" x14ac:dyDescent="0.25">
      <c r="A384" s="1158" t="s">
        <v>312</v>
      </c>
      <c r="B384" s="1158">
        <v>206133</v>
      </c>
      <c r="AJ384" s="11">
        <v>0</v>
      </c>
      <c r="AK384" s="11">
        <v>0</v>
      </c>
      <c r="AN384" s="11"/>
      <c r="AO384" s="11"/>
    </row>
    <row r="385" spans="1:41" x14ac:dyDescent="0.25">
      <c r="A385" s="1158" t="s">
        <v>806</v>
      </c>
      <c r="B385" s="1158" t="s">
        <v>807</v>
      </c>
      <c r="AJ385" s="11">
        <v>135237.95457088607</v>
      </c>
      <c r="AK385" s="11">
        <v>135237.95457088607</v>
      </c>
      <c r="AN385" s="11"/>
      <c r="AO385" s="11"/>
    </row>
    <row r="386" spans="1:41" x14ac:dyDescent="0.25">
      <c r="A386" s="1158" t="s">
        <v>314</v>
      </c>
      <c r="B386" s="1158" t="s">
        <v>316</v>
      </c>
      <c r="AJ386" s="11">
        <v>0</v>
      </c>
      <c r="AK386" s="11">
        <v>0</v>
      </c>
      <c r="AN386" s="11"/>
      <c r="AO386" s="11"/>
    </row>
    <row r="387" spans="1:41" x14ac:dyDescent="0.25">
      <c r="A387" s="1158" t="s">
        <v>317</v>
      </c>
      <c r="B387" s="1158">
        <v>206134</v>
      </c>
      <c r="AJ387" s="11">
        <v>78340.665825542092</v>
      </c>
      <c r="AK387" s="11">
        <v>78340.665825542092</v>
      </c>
      <c r="AN387" s="11"/>
      <c r="AO387" s="11"/>
    </row>
    <row r="388" spans="1:41" x14ac:dyDescent="0.25">
      <c r="A388" s="1158" t="s">
        <v>321</v>
      </c>
      <c r="B388" s="1158" t="s">
        <v>322</v>
      </c>
      <c r="AJ388" s="11">
        <v>93024.656229463668</v>
      </c>
      <c r="AK388" s="11">
        <v>93024.656229463668</v>
      </c>
      <c r="AN388" s="11"/>
      <c r="AO388" s="11"/>
    </row>
    <row r="389" spans="1:41" x14ac:dyDescent="0.25">
      <c r="A389" s="1158" t="s">
        <v>319</v>
      </c>
      <c r="B389" s="1158" t="s">
        <v>320</v>
      </c>
      <c r="AJ389" s="11">
        <v>31453.745268374998</v>
      </c>
      <c r="AK389" s="11">
        <v>31453.745268374998</v>
      </c>
      <c r="AN389" s="11"/>
      <c r="AO389" s="11"/>
    </row>
    <row r="390" spans="1:41" x14ac:dyDescent="0.25">
      <c r="A390" s="1158" t="s">
        <v>323</v>
      </c>
      <c r="B390" s="1158" t="s">
        <v>324</v>
      </c>
      <c r="AJ390" s="11">
        <v>116637.82695039085</v>
      </c>
      <c r="AK390" s="11">
        <v>116637.82695039085</v>
      </c>
      <c r="AN390" s="11"/>
      <c r="AO390" s="11"/>
    </row>
    <row r="391" spans="1:41" x14ac:dyDescent="0.25">
      <c r="A391" s="1158" t="s">
        <v>325</v>
      </c>
      <c r="B391" s="1158">
        <v>206109</v>
      </c>
      <c r="AJ391" s="11">
        <v>79090.580203939375</v>
      </c>
      <c r="AK391" s="11">
        <v>79090.580203939375</v>
      </c>
    </row>
    <row r="392" spans="1:41" x14ac:dyDescent="0.25">
      <c r="A392" s="1158" t="s">
        <v>37</v>
      </c>
      <c r="B392" s="1158">
        <v>2434</v>
      </c>
      <c r="AK392" s="11"/>
    </row>
    <row r="393" spans="1:41" x14ac:dyDescent="0.25">
      <c r="A393" s="1158" t="s">
        <v>42</v>
      </c>
      <c r="B393" s="1158">
        <v>2009</v>
      </c>
      <c r="AK393" s="11"/>
    </row>
    <row r="394" spans="1:41" x14ac:dyDescent="0.25">
      <c r="A394" s="1158" t="s">
        <v>569</v>
      </c>
      <c r="B394" s="1158">
        <v>6905</v>
      </c>
      <c r="AK394" s="11"/>
    </row>
    <row r="395" spans="1:41" x14ac:dyDescent="0.25">
      <c r="A395" s="1158" t="s">
        <v>38</v>
      </c>
      <c r="B395" s="1158">
        <v>2522</v>
      </c>
      <c r="AK395" s="11"/>
    </row>
    <row r="396" spans="1:41" x14ac:dyDescent="0.25">
      <c r="A396" s="1158" t="s">
        <v>327</v>
      </c>
      <c r="B396" s="1158">
        <v>206110</v>
      </c>
      <c r="AJ396" s="11">
        <v>69000.12474167184</v>
      </c>
      <c r="AK396" s="11">
        <v>69000.12474167184</v>
      </c>
    </row>
    <row r="397" spans="1:41" x14ac:dyDescent="0.25">
      <c r="A397" s="1158" t="s">
        <v>329</v>
      </c>
      <c r="B397" s="1158">
        <v>206135</v>
      </c>
      <c r="AJ397" s="11">
        <v>46092.169828286445</v>
      </c>
      <c r="AK397" s="11">
        <v>46092.169828286445</v>
      </c>
    </row>
    <row r="398" spans="1:41" x14ac:dyDescent="0.25">
      <c r="A398" s="1158" t="s">
        <v>69</v>
      </c>
      <c r="B398" s="1158">
        <v>4181</v>
      </c>
      <c r="AK398" s="11"/>
    </row>
    <row r="399" spans="1:41" x14ac:dyDescent="0.25">
      <c r="A399" s="1158" t="s">
        <v>331</v>
      </c>
      <c r="B399" s="1158">
        <v>509195</v>
      </c>
      <c r="AJ399" s="11">
        <v>16125.063159188518</v>
      </c>
      <c r="AK399" s="11">
        <v>16125.063159188518</v>
      </c>
    </row>
    <row r="400" spans="1:41" x14ac:dyDescent="0.25">
      <c r="A400" s="1158" t="s">
        <v>1393</v>
      </c>
      <c r="B400" s="1158">
        <v>480857</v>
      </c>
      <c r="AJ400" s="11">
        <v>8756.8320000000003</v>
      </c>
      <c r="AK400" s="11">
        <v>8756.8320000000003</v>
      </c>
    </row>
    <row r="401" spans="1:37" x14ac:dyDescent="0.25">
      <c r="A401" s="1158" t="s">
        <v>333</v>
      </c>
      <c r="B401" s="1158" t="s">
        <v>334</v>
      </c>
      <c r="AJ401" s="11">
        <v>0</v>
      </c>
      <c r="AK401" s="11">
        <v>0</v>
      </c>
    </row>
    <row r="402" spans="1:37" x14ac:dyDescent="0.25">
      <c r="A402" s="1158" t="s">
        <v>335</v>
      </c>
      <c r="B402" s="1158" t="s">
        <v>336</v>
      </c>
      <c r="AJ402" s="11">
        <v>0</v>
      </c>
      <c r="AK402" s="11">
        <v>0</v>
      </c>
    </row>
    <row r="403" spans="1:37" x14ac:dyDescent="0.25">
      <c r="A403" s="1158" t="s">
        <v>1394</v>
      </c>
      <c r="B403" s="1158">
        <v>492973</v>
      </c>
      <c r="AJ403" s="11">
        <v>23909.804</v>
      </c>
      <c r="AK403" s="11">
        <v>23909.804</v>
      </c>
    </row>
    <row r="404" spans="1:37" x14ac:dyDescent="0.25">
      <c r="A404" s="1158" t="s">
        <v>337</v>
      </c>
      <c r="B404" s="1158" t="s">
        <v>339</v>
      </c>
      <c r="AJ404" s="11">
        <v>40771.459061457936</v>
      </c>
      <c r="AK404" s="11">
        <v>40771.459061457936</v>
      </c>
    </row>
    <row r="405" spans="1:37" x14ac:dyDescent="0.25">
      <c r="A405" s="1158" t="s">
        <v>340</v>
      </c>
      <c r="B405" s="1158">
        <v>509199</v>
      </c>
      <c r="AJ405" s="11">
        <v>43030.966205347366</v>
      </c>
      <c r="AK405" s="11">
        <v>43030.966205347366</v>
      </c>
    </row>
    <row r="406" spans="1:37" x14ac:dyDescent="0.25">
      <c r="A406" s="1158" t="s">
        <v>342</v>
      </c>
      <c r="B406" s="1158">
        <v>509197</v>
      </c>
      <c r="AJ406" s="11">
        <v>59699.907327099136</v>
      </c>
      <c r="AK406" s="11">
        <v>59699.907327099136</v>
      </c>
    </row>
    <row r="407" spans="1:37" x14ac:dyDescent="0.25">
      <c r="A407" s="1158" t="s">
        <v>808</v>
      </c>
      <c r="B407" s="1158">
        <v>479383</v>
      </c>
      <c r="AJ407" s="11">
        <v>0</v>
      </c>
      <c r="AK407" s="11">
        <v>0</v>
      </c>
    </row>
    <row r="408" spans="1:37" x14ac:dyDescent="0.25">
      <c r="A408" s="1158" t="s">
        <v>347</v>
      </c>
      <c r="B408" s="1158" t="s">
        <v>348</v>
      </c>
      <c r="AJ408" s="11">
        <v>45838.989328750002</v>
      </c>
      <c r="AK408" s="11">
        <v>45838.989328750002</v>
      </c>
    </row>
    <row r="409" spans="1:37" x14ac:dyDescent="0.25">
      <c r="A409" s="1158" t="s">
        <v>70</v>
      </c>
      <c r="B409" s="1158">
        <v>4182</v>
      </c>
      <c r="AK409" s="11"/>
    </row>
    <row r="410" spans="1:37" x14ac:dyDescent="0.25">
      <c r="A410" s="1158" t="s">
        <v>344</v>
      </c>
      <c r="B410" s="1158" t="s">
        <v>346</v>
      </c>
      <c r="AJ410" s="11">
        <v>61014.116314285711</v>
      </c>
      <c r="AK410" s="11">
        <v>61014.116314285711</v>
      </c>
    </row>
    <row r="411" spans="1:37" x14ac:dyDescent="0.25">
      <c r="A411" s="1158" t="s">
        <v>6</v>
      </c>
      <c r="B411" s="1158">
        <v>1005</v>
      </c>
      <c r="AK411" s="11"/>
    </row>
    <row r="412" spans="1:37" x14ac:dyDescent="0.25">
      <c r="A412" s="1158" t="s">
        <v>809</v>
      </c>
      <c r="B412" s="1158" t="s">
        <v>810</v>
      </c>
      <c r="AJ412" s="11">
        <v>0</v>
      </c>
      <c r="AK412" s="11">
        <v>0</v>
      </c>
    </row>
    <row r="413" spans="1:37" x14ac:dyDescent="0.25">
      <c r="A413" s="1158" t="s">
        <v>39</v>
      </c>
      <c r="B413" s="1158">
        <v>2436</v>
      </c>
      <c r="AK413" s="11"/>
    </row>
    <row r="414" spans="1:37" x14ac:dyDescent="0.25">
      <c r="A414" s="1158" t="s">
        <v>349</v>
      </c>
      <c r="B414" s="1158">
        <v>206117</v>
      </c>
      <c r="AJ414" s="11">
        <v>105563.88680643217</v>
      </c>
      <c r="AK414" s="11">
        <v>105563.88680643217</v>
      </c>
    </row>
    <row r="415" spans="1:37" x14ac:dyDescent="0.25">
      <c r="A415" s="1158" t="s">
        <v>40</v>
      </c>
      <c r="B415" s="1158">
        <v>2452</v>
      </c>
      <c r="AK415" s="11"/>
    </row>
    <row r="416" spans="1:37" x14ac:dyDescent="0.25">
      <c r="A416" s="1158" t="s">
        <v>71</v>
      </c>
      <c r="B416" s="1158">
        <v>4001</v>
      </c>
      <c r="AK416" s="11"/>
    </row>
    <row r="417" spans="1:37" x14ac:dyDescent="0.25">
      <c r="A417" s="1158" t="s">
        <v>351</v>
      </c>
      <c r="B417" s="1158">
        <v>206141</v>
      </c>
      <c r="AJ417" s="11">
        <v>45946.938024827825</v>
      </c>
      <c r="AK417" s="11">
        <v>45946.938024827825</v>
      </c>
    </row>
    <row r="418" spans="1:37" x14ac:dyDescent="0.25">
      <c r="A418" s="1158" t="s">
        <v>41</v>
      </c>
      <c r="B418" s="1158">
        <v>2627</v>
      </c>
      <c r="AK418" s="11"/>
    </row>
    <row r="419" spans="1:37" x14ac:dyDescent="0.25">
      <c r="A419" s="1158" t="s">
        <v>112</v>
      </c>
      <c r="B419" s="1158">
        <v>5406</v>
      </c>
      <c r="AK419" s="11"/>
    </row>
    <row r="420" spans="1:37" x14ac:dyDescent="0.25">
      <c r="A420" s="1158" t="s">
        <v>113</v>
      </c>
      <c r="B420" s="1158">
        <v>5407</v>
      </c>
      <c r="AK420" s="11"/>
    </row>
    <row r="421" spans="1:37" x14ac:dyDescent="0.25">
      <c r="A421" s="1158" t="s">
        <v>353</v>
      </c>
      <c r="B421" s="1158" t="s">
        <v>355</v>
      </c>
      <c r="AJ421" s="11">
        <v>89732.677077352855</v>
      </c>
      <c r="AK421" s="11">
        <v>89732.677077352855</v>
      </c>
    </row>
    <row r="422" spans="1:37" x14ac:dyDescent="0.25">
      <c r="A422" s="1158" t="s">
        <v>356</v>
      </c>
      <c r="B422" s="1158">
        <v>258404</v>
      </c>
      <c r="AJ422" s="11">
        <v>140854.87724364211</v>
      </c>
      <c r="AK422" s="11">
        <v>140854.87724364211</v>
      </c>
    </row>
    <row r="423" spans="1:37" x14ac:dyDescent="0.25">
      <c r="A423" s="1158" t="s">
        <v>101</v>
      </c>
      <c r="B423" s="1158">
        <v>2473</v>
      </c>
      <c r="AK423" s="11"/>
    </row>
    <row r="424" spans="1:37" x14ac:dyDescent="0.25">
      <c r="A424" s="1158" t="s">
        <v>44</v>
      </c>
      <c r="B424" s="1158">
        <v>2471</v>
      </c>
      <c r="AK424" s="11"/>
    </row>
    <row r="425" spans="1:37" x14ac:dyDescent="0.25">
      <c r="A425" s="1158" t="s">
        <v>358</v>
      </c>
      <c r="B425" s="1158">
        <v>258405</v>
      </c>
      <c r="AJ425" s="11">
        <v>89929.280556550613</v>
      </c>
      <c r="AK425" s="11">
        <v>89929.280556550613</v>
      </c>
    </row>
    <row r="426" spans="1:37" x14ac:dyDescent="0.25">
      <c r="A426" s="1158" t="s">
        <v>360</v>
      </c>
      <c r="B426" s="1158">
        <v>258406</v>
      </c>
      <c r="AJ426" s="11">
        <v>69036.353907168785</v>
      </c>
      <c r="AK426" s="11">
        <v>69036.353907168785</v>
      </c>
    </row>
    <row r="427" spans="1:37" x14ac:dyDescent="0.25">
      <c r="A427" s="1158" t="s">
        <v>1395</v>
      </c>
      <c r="B427" s="1158">
        <v>206145</v>
      </c>
      <c r="AK427" s="11"/>
    </row>
    <row r="428" spans="1:37" x14ac:dyDescent="0.25">
      <c r="A428" s="1158" t="s">
        <v>43</v>
      </c>
      <c r="B428" s="1158">
        <v>2420</v>
      </c>
      <c r="AK428" s="11"/>
    </row>
    <row r="429" spans="1:37" x14ac:dyDescent="0.25">
      <c r="A429" s="1158" t="s">
        <v>362</v>
      </c>
      <c r="B429" s="1158">
        <v>206160</v>
      </c>
      <c r="AJ429" s="11">
        <v>11740.495394384143</v>
      </c>
      <c r="AK429" s="11">
        <v>11740.495394384143</v>
      </c>
    </row>
    <row r="430" spans="1:37" x14ac:dyDescent="0.25">
      <c r="A430" s="1158" t="s">
        <v>45</v>
      </c>
      <c r="B430" s="1158">
        <v>2003</v>
      </c>
      <c r="AK430" s="11"/>
    </row>
    <row r="431" spans="1:37" x14ac:dyDescent="0.25">
      <c r="A431" s="1158" t="s">
        <v>46</v>
      </c>
      <c r="B431" s="1158">
        <v>2423</v>
      </c>
      <c r="AK431" s="11"/>
    </row>
    <row r="432" spans="1:37" x14ac:dyDescent="0.25">
      <c r="A432" s="1158" t="s">
        <v>47</v>
      </c>
      <c r="B432" s="1158">
        <v>2424</v>
      </c>
      <c r="AK432" s="11"/>
    </row>
    <row r="433" spans="1:37" x14ac:dyDescent="0.25">
      <c r="A433" s="1158" t="s">
        <v>364</v>
      </c>
      <c r="B433" s="1158" t="s">
        <v>366</v>
      </c>
      <c r="AJ433" s="11">
        <v>122312.55118617517</v>
      </c>
      <c r="AK433" s="11">
        <v>122312.55118617517</v>
      </c>
    </row>
    <row r="434" spans="1:37" x14ac:dyDescent="0.25">
      <c r="A434" s="1158" t="s">
        <v>367</v>
      </c>
      <c r="B434" s="1158" t="s">
        <v>368</v>
      </c>
      <c r="AJ434" s="11">
        <v>0</v>
      </c>
      <c r="AK434" s="11">
        <v>0</v>
      </c>
    </row>
    <row r="435" spans="1:37" x14ac:dyDescent="0.25">
      <c r="A435" s="1158" t="s">
        <v>369</v>
      </c>
      <c r="B435" s="1158" t="s">
        <v>371</v>
      </c>
      <c r="AJ435" s="11">
        <v>0</v>
      </c>
      <c r="AK435" s="11">
        <v>0</v>
      </c>
    </row>
    <row r="436" spans="1:37" x14ac:dyDescent="0.25">
      <c r="A436" s="1158" t="s">
        <v>811</v>
      </c>
      <c r="B436" s="1158" t="s">
        <v>812</v>
      </c>
      <c r="AJ436" s="11">
        <v>41822.528624999999</v>
      </c>
      <c r="AK436" s="11">
        <v>41822.528624999999</v>
      </c>
    </row>
    <row r="437" spans="1:37" x14ac:dyDescent="0.25">
      <c r="A437" s="1158" t="s">
        <v>372</v>
      </c>
      <c r="B437" s="1158">
        <v>206146</v>
      </c>
      <c r="AJ437" s="11">
        <v>64652.934054863159</v>
      </c>
      <c r="AK437" s="11">
        <v>64652.934054863159</v>
      </c>
    </row>
    <row r="438" spans="1:37" x14ac:dyDescent="0.25">
      <c r="A438" s="1158" t="s">
        <v>48</v>
      </c>
      <c r="B438" s="1158">
        <v>2439</v>
      </c>
      <c r="AK438" s="11"/>
    </row>
    <row r="439" spans="1:37" x14ac:dyDescent="0.25">
      <c r="A439" s="1158" t="s">
        <v>49</v>
      </c>
      <c r="B439" s="1158">
        <v>2440</v>
      </c>
      <c r="AK439" s="11"/>
    </row>
    <row r="440" spans="1:37" x14ac:dyDescent="0.25">
      <c r="A440" s="1158" t="s">
        <v>374</v>
      </c>
      <c r="B440" s="1158" t="s">
        <v>375</v>
      </c>
      <c r="AJ440" s="11">
        <v>109462.85630653302</v>
      </c>
      <c r="AK440" s="11">
        <v>109462.85630653302</v>
      </c>
    </row>
    <row r="441" spans="1:37" x14ac:dyDescent="0.25">
      <c r="A441" s="1158" t="s">
        <v>813</v>
      </c>
      <c r="B441" s="1158" t="s">
        <v>814</v>
      </c>
      <c r="AJ441" s="11">
        <v>0</v>
      </c>
      <c r="AK441" s="11">
        <v>0</v>
      </c>
    </row>
    <row r="442" spans="1:37" x14ac:dyDescent="0.25">
      <c r="A442" s="1158" t="s">
        <v>815</v>
      </c>
      <c r="B442" s="1158" t="s">
        <v>816</v>
      </c>
      <c r="AJ442" s="11">
        <v>0</v>
      </c>
      <c r="AK442" s="11">
        <v>0</v>
      </c>
    </row>
    <row r="443" spans="1:37" x14ac:dyDescent="0.25">
      <c r="A443" s="1160" t="s">
        <v>377</v>
      </c>
      <c r="B443" s="1160" t="s">
        <v>378</v>
      </c>
      <c r="AJ443" s="11">
        <v>0</v>
      </c>
      <c r="AK443" s="11">
        <v>0</v>
      </c>
    </row>
    <row r="444" spans="1:37" x14ac:dyDescent="0.25">
      <c r="A444" s="1161" t="s">
        <v>377</v>
      </c>
      <c r="B444" s="1162" t="s">
        <v>817</v>
      </c>
      <c r="AJ444" s="11">
        <v>0</v>
      </c>
      <c r="AK444" s="11">
        <v>0</v>
      </c>
    </row>
    <row r="445" spans="1:37" x14ac:dyDescent="0.25">
      <c r="A445" s="1161" t="s">
        <v>102</v>
      </c>
      <c r="B445" s="1162">
        <v>2462</v>
      </c>
      <c r="AK445" s="11"/>
    </row>
    <row r="446" spans="1:37" x14ac:dyDescent="0.25">
      <c r="A446" s="1161" t="s">
        <v>50</v>
      </c>
      <c r="B446" s="1162">
        <v>2463</v>
      </c>
      <c r="AK446" s="11"/>
    </row>
    <row r="447" spans="1:37" x14ac:dyDescent="0.25">
      <c r="A447" s="1161" t="s">
        <v>51</v>
      </c>
      <c r="B447" s="1160">
        <v>2505</v>
      </c>
      <c r="AK447" s="11"/>
    </row>
    <row r="448" spans="1:37" x14ac:dyDescent="0.25">
      <c r="A448" s="1161" t="s">
        <v>1304</v>
      </c>
      <c r="B448" s="1162">
        <v>2000</v>
      </c>
      <c r="AK448" s="11"/>
    </row>
    <row r="449" spans="1:37" x14ac:dyDescent="0.25">
      <c r="A449" s="1161" t="s">
        <v>53</v>
      </c>
      <c r="B449" s="1160">
        <v>2458</v>
      </c>
      <c r="AK449" s="11"/>
    </row>
    <row r="450" spans="1:37" x14ac:dyDescent="0.25">
      <c r="A450" s="1161" t="s">
        <v>379</v>
      </c>
      <c r="B450" s="1160" t="s">
        <v>381</v>
      </c>
      <c r="AJ450" s="11">
        <v>83493.459047490964</v>
      </c>
      <c r="AK450" s="11">
        <v>83493.459047490964</v>
      </c>
    </row>
    <row r="451" spans="1:37" x14ac:dyDescent="0.25">
      <c r="A451" s="1161" t="s">
        <v>54</v>
      </c>
      <c r="B451" s="1160">
        <v>2001</v>
      </c>
      <c r="AK451" s="11"/>
    </row>
    <row r="452" spans="1:37" x14ac:dyDescent="0.25">
      <c r="A452" s="1161" t="s">
        <v>382</v>
      </c>
      <c r="B452" s="1160" t="s">
        <v>383</v>
      </c>
      <c r="AJ452" s="11">
        <v>99785.583771162972</v>
      </c>
      <c r="AK452" s="11">
        <v>99785.583771162972</v>
      </c>
    </row>
    <row r="453" spans="1:37" x14ac:dyDescent="0.25">
      <c r="A453" s="1161" t="s">
        <v>55</v>
      </c>
      <c r="B453" s="1160">
        <v>2429</v>
      </c>
      <c r="AK453" s="11"/>
    </row>
    <row r="454" spans="1:37" x14ac:dyDescent="0.25">
      <c r="A454" s="1161" t="s">
        <v>384</v>
      </c>
      <c r="B454" s="1160">
        <v>113044</v>
      </c>
      <c r="AJ454" s="11">
        <v>18790.641359578949</v>
      </c>
      <c r="AK454" s="11">
        <v>18790.641359578949</v>
      </c>
    </row>
    <row r="455" spans="1:37" x14ac:dyDescent="0.25">
      <c r="A455" s="1161" t="s">
        <v>386</v>
      </c>
      <c r="B455" s="1160" t="s">
        <v>388</v>
      </c>
      <c r="AJ455" s="11">
        <v>89232.819332434883</v>
      </c>
      <c r="AK455" s="11">
        <v>89232.819332434883</v>
      </c>
    </row>
    <row r="456" spans="1:37" x14ac:dyDescent="0.25">
      <c r="A456" s="1161" t="s">
        <v>72</v>
      </c>
      <c r="B456" s="1160">
        <v>4607</v>
      </c>
      <c r="AK456" s="11"/>
    </row>
    <row r="457" spans="1:37" x14ac:dyDescent="0.25">
      <c r="A457" s="1161" t="s">
        <v>818</v>
      </c>
      <c r="B457" s="1160" t="s">
        <v>819</v>
      </c>
      <c r="AJ457" s="11">
        <v>41870</v>
      </c>
      <c r="AK457" s="11">
        <v>41870</v>
      </c>
    </row>
    <row r="458" spans="1:37" x14ac:dyDescent="0.25">
      <c r="A458" s="1161" t="s">
        <v>820</v>
      </c>
      <c r="B458" s="1160" t="s">
        <v>821</v>
      </c>
      <c r="AJ458" s="11">
        <v>22153.142400000001</v>
      </c>
      <c r="AK458" s="11">
        <v>22153.142400000001</v>
      </c>
    </row>
    <row r="459" spans="1:37" x14ac:dyDescent="0.25">
      <c r="A459" s="1161" t="s">
        <v>56</v>
      </c>
      <c r="B459" s="1160">
        <v>2444</v>
      </c>
      <c r="AK459" s="11"/>
    </row>
    <row r="460" spans="1:37" x14ac:dyDescent="0.25">
      <c r="A460" s="1161" t="s">
        <v>57</v>
      </c>
      <c r="B460" s="1160">
        <v>5209</v>
      </c>
      <c r="AK460" s="11"/>
    </row>
    <row r="461" spans="1:37" x14ac:dyDescent="0.25">
      <c r="A461" s="1161" t="s">
        <v>389</v>
      </c>
      <c r="B461" s="1160" t="s">
        <v>391</v>
      </c>
      <c r="AJ461" s="11">
        <v>10938.280766425765</v>
      </c>
      <c r="AK461" s="11">
        <v>10938.280766425765</v>
      </c>
    </row>
    <row r="462" spans="1:37" x14ac:dyDescent="0.25">
      <c r="A462" s="1161" t="s">
        <v>392</v>
      </c>
      <c r="B462" s="1160" t="s">
        <v>394</v>
      </c>
      <c r="AJ462" s="11">
        <v>67914.60198757895</v>
      </c>
      <c r="AK462" s="11">
        <v>67914.60198757895</v>
      </c>
    </row>
    <row r="463" spans="1:37" x14ac:dyDescent="0.25">
      <c r="A463" s="1161" t="s">
        <v>58</v>
      </c>
      <c r="B463" s="1160">
        <v>2469</v>
      </c>
      <c r="AK463" s="11"/>
    </row>
    <row r="464" spans="1:37" x14ac:dyDescent="0.25">
      <c r="A464" s="1161" t="s">
        <v>395</v>
      </c>
      <c r="B464" s="1162" t="s">
        <v>397</v>
      </c>
      <c r="AJ464" s="11">
        <v>100349.45186190732</v>
      </c>
      <c r="AK464" s="11">
        <v>100349.45186190732</v>
      </c>
    </row>
    <row r="465" spans="1:37" x14ac:dyDescent="0.25">
      <c r="A465" s="1161" t="s">
        <v>398</v>
      </c>
      <c r="B465" s="1160" t="s">
        <v>399</v>
      </c>
      <c r="AJ465" s="11">
        <v>57739.946192812953</v>
      </c>
      <c r="AK465" s="11">
        <v>57739.946192812953</v>
      </c>
    </row>
    <row r="466" spans="1:37" x14ac:dyDescent="0.25">
      <c r="A466" s="1158" t="s">
        <v>59</v>
      </c>
      <c r="B466" s="1158">
        <v>2466</v>
      </c>
      <c r="AK466" s="11"/>
    </row>
    <row r="467" spans="1:37" x14ac:dyDescent="0.25">
      <c r="A467" s="1158" t="s">
        <v>60</v>
      </c>
      <c r="B467" s="1158">
        <v>3543</v>
      </c>
      <c r="AK467" s="11"/>
    </row>
    <row r="468" spans="1:37" x14ac:dyDescent="0.25">
      <c r="A468" s="1158" t="s">
        <v>400</v>
      </c>
      <c r="B468" s="1158">
        <v>206152</v>
      </c>
      <c r="AJ468" s="11">
        <v>56454.419806600672</v>
      </c>
      <c r="AK468" s="11">
        <v>56454.419806600672</v>
      </c>
    </row>
    <row r="469" spans="1:37" x14ac:dyDescent="0.25">
      <c r="A469" s="1158" t="s">
        <v>402</v>
      </c>
      <c r="B469" s="1158">
        <v>206153</v>
      </c>
      <c r="AJ469" s="11">
        <v>34699.04846062258</v>
      </c>
      <c r="AK469" s="11">
        <v>34699.04846062258</v>
      </c>
    </row>
    <row r="470" spans="1:37" x14ac:dyDescent="0.25">
      <c r="A470" s="1158" t="s">
        <v>62</v>
      </c>
      <c r="B470" s="1158">
        <v>3531</v>
      </c>
      <c r="AK470" s="11"/>
    </row>
    <row r="471" spans="1:37" x14ac:dyDescent="0.25">
      <c r="A471" s="1158" t="s">
        <v>63</v>
      </c>
      <c r="B471" s="1158">
        <v>3526</v>
      </c>
      <c r="AK471" s="11"/>
    </row>
    <row r="472" spans="1:37" x14ac:dyDescent="0.25">
      <c r="A472" s="1158" t="s">
        <v>104</v>
      </c>
      <c r="B472" s="1158">
        <v>3535</v>
      </c>
      <c r="AK472" s="11"/>
    </row>
    <row r="473" spans="1:37" x14ac:dyDescent="0.25">
      <c r="A473" s="1158" t="s">
        <v>64</v>
      </c>
      <c r="B473" s="1158">
        <v>2008</v>
      </c>
      <c r="AK473" s="11"/>
    </row>
    <row r="474" spans="1:37" x14ac:dyDescent="0.25">
      <c r="A474" s="1158" t="s">
        <v>105</v>
      </c>
      <c r="B474" s="1158">
        <v>3542</v>
      </c>
      <c r="AK474" s="11"/>
    </row>
    <row r="475" spans="1:37" x14ac:dyDescent="0.25">
      <c r="A475" s="1158" t="s">
        <v>404</v>
      </c>
      <c r="B475" s="1158">
        <v>206154</v>
      </c>
      <c r="AJ475" s="11">
        <v>127335.91352670727</v>
      </c>
      <c r="AK475" s="11">
        <v>127335.91352670727</v>
      </c>
    </row>
    <row r="476" spans="1:37" x14ac:dyDescent="0.25">
      <c r="A476" s="1158" t="s">
        <v>106</v>
      </c>
      <c r="B476" s="1158">
        <v>3528</v>
      </c>
      <c r="AK476" s="11"/>
    </row>
    <row r="477" spans="1:37" x14ac:dyDescent="0.25">
      <c r="A477" s="1158" t="s">
        <v>406</v>
      </c>
      <c r="B477" s="1158" t="s">
        <v>407</v>
      </c>
      <c r="AJ477" s="11">
        <v>18992.300866526315</v>
      </c>
      <c r="AK477" s="11">
        <v>18992.300866526315</v>
      </c>
    </row>
    <row r="478" spans="1:37" x14ac:dyDescent="0.25">
      <c r="A478" s="1158" t="s">
        <v>107</v>
      </c>
      <c r="B478" s="1158">
        <v>3534</v>
      </c>
      <c r="AK478" s="11"/>
    </row>
    <row r="479" spans="1:37" x14ac:dyDescent="0.25">
      <c r="A479" s="1158" t="s">
        <v>108</v>
      </c>
      <c r="B479" s="1158">
        <v>3532</v>
      </c>
      <c r="AK479" s="11"/>
    </row>
    <row r="480" spans="1:37" x14ac:dyDescent="0.25">
      <c r="A480" s="1158" t="s">
        <v>7</v>
      </c>
      <c r="B480" s="1158">
        <v>1010</v>
      </c>
      <c r="AK480" s="11"/>
    </row>
    <row r="481" spans="1:37" x14ac:dyDescent="0.25">
      <c r="A481" s="1158" t="s">
        <v>1396</v>
      </c>
      <c r="B481" s="1158">
        <v>484523</v>
      </c>
      <c r="AJ481" s="11">
        <v>31589.346217821781</v>
      </c>
      <c r="AK481" s="11">
        <v>31589.346217821781</v>
      </c>
    </row>
    <row r="482" spans="1:37" x14ac:dyDescent="0.25">
      <c r="A482" s="1158" t="s">
        <v>408</v>
      </c>
      <c r="B482" s="1158" t="s">
        <v>410</v>
      </c>
      <c r="AJ482" s="11">
        <v>115395.84147244511</v>
      </c>
      <c r="AK482" s="11">
        <v>115395.84147244511</v>
      </c>
    </row>
    <row r="483" spans="1:37" x14ac:dyDescent="0.25">
      <c r="A483" s="1158" t="s">
        <v>114</v>
      </c>
      <c r="B483" s="1158">
        <v>4177</v>
      </c>
      <c r="AK483" s="11"/>
    </row>
    <row r="484" spans="1:37" x14ac:dyDescent="0.25">
      <c r="A484" s="1158" t="s">
        <v>822</v>
      </c>
      <c r="B484" s="1158" t="s">
        <v>824</v>
      </c>
      <c r="AJ484" s="11">
        <v>77995</v>
      </c>
      <c r="AK484" s="11">
        <v>77995</v>
      </c>
    </row>
    <row r="485" spans="1:37" x14ac:dyDescent="0.25">
      <c r="A485" s="1158" t="s">
        <v>411</v>
      </c>
      <c r="B485" s="1158" t="s">
        <v>413</v>
      </c>
      <c r="AJ485" s="11">
        <v>59475.658400589477</v>
      </c>
      <c r="AK485" s="11">
        <v>59475.658400589477</v>
      </c>
    </row>
    <row r="486" spans="1:37" x14ac:dyDescent="0.25">
      <c r="A486" s="1158" t="s">
        <v>414</v>
      </c>
      <c r="B486" s="1158">
        <v>206103</v>
      </c>
      <c r="AJ486" s="11">
        <v>112522.1245262075</v>
      </c>
      <c r="AK486" s="11">
        <v>112522.1245262075</v>
      </c>
    </row>
    <row r="487" spans="1:37" x14ac:dyDescent="0.25">
      <c r="A487" s="1158" t="s">
        <v>415</v>
      </c>
      <c r="B487" s="1158" t="s">
        <v>417</v>
      </c>
      <c r="AJ487" s="11">
        <v>0</v>
      </c>
      <c r="AK487" s="11">
        <v>0</v>
      </c>
    </row>
    <row r="488" spans="1:37" x14ac:dyDescent="0.25">
      <c r="A488" s="1158" t="s">
        <v>418</v>
      </c>
      <c r="B488" s="1158" t="s">
        <v>420</v>
      </c>
      <c r="AJ488" s="11">
        <v>103921.33539774544</v>
      </c>
      <c r="AK488" s="11">
        <v>103921.33539774544</v>
      </c>
    </row>
    <row r="489" spans="1:37" x14ac:dyDescent="0.25">
      <c r="A489" s="1158" t="s">
        <v>421</v>
      </c>
      <c r="B489" s="1158">
        <v>258420</v>
      </c>
      <c r="AJ489" s="11">
        <v>76445.839440420779</v>
      </c>
      <c r="AK489" s="11">
        <v>76445.839440420779</v>
      </c>
    </row>
    <row r="490" spans="1:37" x14ac:dyDescent="0.25">
      <c r="A490" s="1158" t="s">
        <v>423</v>
      </c>
      <c r="B490" s="1158">
        <v>258424</v>
      </c>
      <c r="AJ490" s="11">
        <v>85794.836747254463</v>
      </c>
      <c r="AK490" s="11">
        <v>85794.836747254463</v>
      </c>
    </row>
    <row r="491" spans="1:37" x14ac:dyDescent="0.25">
      <c r="A491" s="1158" t="s">
        <v>1397</v>
      </c>
      <c r="B491" s="1158">
        <v>482634</v>
      </c>
      <c r="AK491" s="11"/>
    </row>
    <row r="492" spans="1:37" x14ac:dyDescent="0.25">
      <c r="A492" s="1158" t="s">
        <v>425</v>
      </c>
      <c r="B492" s="1158" t="s">
        <v>426</v>
      </c>
      <c r="AJ492" s="11">
        <v>6573.569263157895</v>
      </c>
      <c r="AK492" s="11">
        <v>6573.569263157895</v>
      </c>
    </row>
    <row r="493" spans="1:37" x14ac:dyDescent="0.25">
      <c r="A493" s="1158" t="s">
        <v>65</v>
      </c>
      <c r="B493" s="1158">
        <v>3546</v>
      </c>
      <c r="AK493" s="11"/>
    </row>
    <row r="494" spans="1:37" x14ac:dyDescent="0.25">
      <c r="A494" s="1158" t="s">
        <v>8</v>
      </c>
      <c r="B494" s="1158">
        <v>1009</v>
      </c>
      <c r="AK494" s="11"/>
    </row>
    <row r="495" spans="1:37" x14ac:dyDescent="0.25">
      <c r="A495" s="1158" t="s">
        <v>1398</v>
      </c>
      <c r="B495" s="1158">
        <v>476554</v>
      </c>
      <c r="AK495" s="11"/>
    </row>
    <row r="496" spans="1:37" x14ac:dyDescent="0.25">
      <c r="A496" s="1158" t="s">
        <v>66</v>
      </c>
      <c r="B496" s="1158">
        <v>3530</v>
      </c>
      <c r="AK496" s="11"/>
    </row>
    <row r="497" spans="1:37" x14ac:dyDescent="0.25">
      <c r="A497" s="1158" t="s">
        <v>74</v>
      </c>
      <c r="B497" s="1158">
        <v>5412</v>
      </c>
      <c r="AK497" s="11"/>
    </row>
    <row r="498" spans="1:37" x14ac:dyDescent="0.25">
      <c r="A498" s="1158" t="s">
        <v>432</v>
      </c>
      <c r="B498" s="1158" t="s">
        <v>433</v>
      </c>
      <c r="AJ498" s="11">
        <v>135282.49690643989</v>
      </c>
      <c r="AK498" s="11">
        <v>135282.49690643989</v>
      </c>
    </row>
    <row r="499" spans="1:37" x14ac:dyDescent="0.25">
      <c r="A499" s="1158" t="s">
        <v>427</v>
      </c>
      <c r="B499" s="1158" t="s">
        <v>429</v>
      </c>
      <c r="AJ499" s="11">
        <v>66320.439109480169</v>
      </c>
      <c r="AK499" s="11">
        <v>66320.439109480169</v>
      </c>
    </row>
    <row r="500" spans="1:37" x14ac:dyDescent="0.25">
      <c r="A500" s="1158" t="s">
        <v>9</v>
      </c>
      <c r="B500" s="1158">
        <v>1015</v>
      </c>
      <c r="AK500" s="11"/>
    </row>
    <row r="501" spans="1:37" x14ac:dyDescent="0.25">
      <c r="A501" s="1158" t="s">
        <v>430</v>
      </c>
      <c r="B501" s="1158" t="s">
        <v>431</v>
      </c>
      <c r="AJ501" s="11">
        <v>114202.65175793468</v>
      </c>
      <c r="AK501" s="11">
        <v>114202.65175793468</v>
      </c>
    </row>
    <row r="502" spans="1:37" x14ac:dyDescent="0.25">
      <c r="A502" s="1158" t="s">
        <v>434</v>
      </c>
      <c r="B502" s="1158">
        <v>509204</v>
      </c>
      <c r="AJ502" s="11">
        <v>79079.251743614557</v>
      </c>
      <c r="AK502" s="11">
        <v>79079.251743614557</v>
      </c>
    </row>
    <row r="503" spans="1:37" x14ac:dyDescent="0.25">
      <c r="A503" s="1158" t="s">
        <v>67</v>
      </c>
      <c r="B503" s="1158">
        <v>2459</v>
      </c>
      <c r="AK503" s="11"/>
    </row>
    <row r="504" spans="1:37" x14ac:dyDescent="0.25">
      <c r="A504" s="1158" t="s">
        <v>96</v>
      </c>
      <c r="B504" s="1158">
        <v>2007</v>
      </c>
      <c r="AK504" s="11"/>
    </row>
    <row r="505" spans="1:37" x14ac:dyDescent="0.25">
      <c r="A505" s="1158" t="s">
        <v>647</v>
      </c>
      <c r="AJ505" s="11">
        <v>80000</v>
      </c>
      <c r="AK505" s="11">
        <v>80000</v>
      </c>
    </row>
    <row r="506" spans="1:37" x14ac:dyDescent="0.25">
      <c r="AJ506" s="11">
        <f>SUM(AJ229:AJ505)</f>
        <v>5522372.8021795088</v>
      </c>
      <c r="AK506" s="11">
        <f>SUM(AK229:AK505)</f>
        <v>5522372.8021795088</v>
      </c>
    </row>
  </sheetData>
  <sheetProtection password="EF5C" sheet="1" objects="1" scenarios="1" selectLockedCells="1" selectUnlockedCells="1"/>
  <sortState ref="A129:F309">
    <sortCondition ref="A129:A309"/>
  </sortState>
  <printOptions gridLines="1"/>
  <pageMargins left="0.11811023622047245" right="0.11811023622047245" top="0.19685039370078741" bottom="0.19685039370078741" header="0.31496062992125984" footer="0.31496062992125984"/>
  <pageSetup paperSize="8" scale="24" fitToHeight="2" orientation="portrait"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rowBreaks count="1" manualBreakCount="1">
    <brk id="74" max="3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50"/>
  </sheetPr>
  <dimension ref="A1:BC546"/>
  <sheetViews>
    <sheetView zoomScale="80" zoomScaleNormal="90" workbookViewId="0">
      <pane xSplit="4" ySplit="5" topLeftCell="E258" activePane="bottomRight" state="frozen"/>
      <selection activeCell="S139" sqref="S139"/>
      <selection pane="topRight" activeCell="S139" sqref="S139"/>
      <selection pane="bottomLeft" activeCell="S139" sqref="S139"/>
      <selection pane="bottomRight" activeCell="E279" sqref="E279"/>
    </sheetView>
  </sheetViews>
  <sheetFormatPr defaultColWidth="11.109375" defaultRowHeight="13.2" x14ac:dyDescent="0.25"/>
  <cols>
    <col min="1" max="1" width="58.109375" style="439" bestFit="1" customWidth="1"/>
    <col min="2" max="2" width="15.109375" style="428" customWidth="1"/>
    <col min="3" max="3" width="10.88671875" style="429" customWidth="1"/>
    <col min="4" max="4" width="15.6640625" style="428" customWidth="1"/>
    <col min="5" max="5" width="12.33203125" style="430" bestFit="1" customWidth="1"/>
    <col min="6" max="7" width="11.44140625" style="430" customWidth="1"/>
    <col min="8" max="8" width="29.44140625" style="430" customWidth="1"/>
    <col min="9" max="9" width="11.44140625" style="430" customWidth="1"/>
    <col min="10" max="10" width="12.44140625" style="431" customWidth="1"/>
    <col min="11" max="11" width="11.44140625" style="430" customWidth="1"/>
    <col min="12" max="13" width="12.44140625" style="430" customWidth="1"/>
    <col min="14" max="14" width="15.88671875" style="430" customWidth="1"/>
    <col min="15" max="15" width="19.44140625" style="431" customWidth="1"/>
    <col min="16" max="16" width="0.88671875" style="430" customWidth="1"/>
    <col min="17" max="19" width="13.88671875" style="430" customWidth="1"/>
    <col min="20" max="20" width="10.88671875" style="430" customWidth="1"/>
    <col min="21" max="21" width="13.109375" style="431" customWidth="1"/>
    <col min="22" max="22" width="0.88671875" style="430" customWidth="1"/>
    <col min="23" max="25" width="12.5546875" style="430" customWidth="1"/>
    <col min="26" max="26" width="10.44140625" style="430" customWidth="1"/>
    <col min="27" max="27" width="15.33203125" style="432" customWidth="1"/>
    <col min="28" max="28" width="0.88671875" style="428" customWidth="1"/>
    <col min="29" max="29" width="13.6640625" style="433" customWidth="1"/>
    <col min="30" max="30" width="0.88671875" style="428" customWidth="1"/>
    <col min="31" max="31" width="13.6640625" style="433" customWidth="1"/>
    <col min="32" max="32" width="0.88671875" style="428" customWidth="1"/>
    <col min="33" max="33" width="13.6640625" style="433" customWidth="1"/>
    <col min="34" max="34" width="0.88671875" style="428" customWidth="1"/>
    <col min="35" max="36" width="9.109375" style="434" customWidth="1"/>
    <col min="37" max="37" width="11.33203125" style="435" customWidth="1"/>
    <col min="38" max="38" width="0.88671875" style="428" customWidth="1"/>
    <col min="39" max="39" width="10.33203125" style="434" customWidth="1"/>
    <col min="40" max="42" width="9.109375" style="434" customWidth="1"/>
    <col min="43" max="43" width="11.33203125" style="435" customWidth="1"/>
    <col min="44" max="44" width="0.88671875" style="428" customWidth="1"/>
    <col min="45" max="45" width="22.44140625" style="431" customWidth="1"/>
    <col min="46" max="46" width="10.6640625" style="428" customWidth="1"/>
    <col min="47" max="48" width="14.109375" style="436" customWidth="1"/>
    <col min="49" max="49" width="13.5546875" style="436" customWidth="1"/>
    <col min="50" max="50" width="11.109375" style="437" customWidth="1"/>
    <col min="51" max="51" width="11.109375" style="428" customWidth="1"/>
    <col min="52" max="52" width="11.109375" style="438" customWidth="1"/>
    <col min="53" max="60" width="11.109375" style="428" customWidth="1"/>
    <col min="61" max="16384" width="11.109375" style="428"/>
  </cols>
  <sheetData>
    <row r="1" spans="1:55" ht="12.75" x14ac:dyDescent="0.2">
      <c r="A1" s="427" t="s">
        <v>1407</v>
      </c>
      <c r="O1" s="1144" t="s">
        <v>1408</v>
      </c>
      <c r="W1" s="430" t="s">
        <v>1409</v>
      </c>
      <c r="X1" s="430" t="s">
        <v>1409</v>
      </c>
      <c r="AC1" s="1145" t="s">
        <v>1410</v>
      </c>
      <c r="AG1" s="1146" t="s">
        <v>1409</v>
      </c>
      <c r="AM1" s="434" t="s">
        <v>1409</v>
      </c>
      <c r="AN1" s="434" t="s">
        <v>1409</v>
      </c>
      <c r="AO1" s="434" t="s">
        <v>1409</v>
      </c>
    </row>
    <row r="2" spans="1:55" ht="12.75" x14ac:dyDescent="0.2">
      <c r="A2" s="1147" t="s">
        <v>1411</v>
      </c>
      <c r="O2" s="1144" t="s">
        <v>1412</v>
      </c>
      <c r="AC2" s="440" t="s">
        <v>657</v>
      </c>
      <c r="AD2" s="441"/>
      <c r="AE2" s="442"/>
      <c r="AF2" s="441"/>
      <c r="AG2" s="443"/>
    </row>
    <row r="3" spans="1:55" s="444" customFormat="1" ht="12.75" x14ac:dyDescent="0.2">
      <c r="A3" s="427" t="s">
        <v>658</v>
      </c>
      <c r="C3" s="445"/>
      <c r="D3" s="446"/>
      <c r="E3" s="447" t="s">
        <v>659</v>
      </c>
      <c r="F3" s="447"/>
      <c r="G3" s="447"/>
      <c r="H3" s="447"/>
      <c r="I3" s="447"/>
      <c r="J3" s="448"/>
      <c r="K3" s="447"/>
      <c r="L3" s="447"/>
      <c r="M3" s="447"/>
      <c r="N3" s="447"/>
      <c r="O3" s="448"/>
      <c r="P3" s="449"/>
      <c r="Q3" s="450" t="s">
        <v>660</v>
      </c>
      <c r="R3" s="450"/>
      <c r="S3" s="450"/>
      <c r="T3" s="450"/>
      <c r="U3" s="451"/>
      <c r="V3" s="449"/>
      <c r="W3" s="450" t="s">
        <v>661</v>
      </c>
      <c r="X3" s="450"/>
      <c r="Y3" s="450"/>
      <c r="Z3" s="450"/>
      <c r="AA3" s="452"/>
      <c r="AB3" s="453"/>
      <c r="AC3" s="454" t="s">
        <v>142</v>
      </c>
      <c r="AD3" s="453"/>
      <c r="AE3" s="454" t="s">
        <v>662</v>
      </c>
      <c r="AF3" s="453"/>
      <c r="AG3" s="454" t="s">
        <v>189</v>
      </c>
      <c r="AH3" s="453"/>
      <c r="AI3" s="455" t="s">
        <v>663</v>
      </c>
      <c r="AJ3" s="455"/>
      <c r="AK3" s="456"/>
      <c r="AL3" s="453"/>
      <c r="AM3" s="455" t="s">
        <v>187</v>
      </c>
      <c r="AN3" s="455"/>
      <c r="AO3" s="455"/>
      <c r="AP3" s="455"/>
      <c r="AQ3" s="456"/>
      <c r="AR3" s="453"/>
      <c r="AS3" s="457" t="s">
        <v>664</v>
      </c>
      <c r="AT3" s="458"/>
      <c r="AU3" s="459"/>
      <c r="AV3" s="459"/>
      <c r="AW3" s="459"/>
      <c r="AX3" s="460"/>
      <c r="AZ3" s="461"/>
    </row>
    <row r="4" spans="1:55" ht="12.75" x14ac:dyDescent="0.2">
      <c r="D4" s="462"/>
      <c r="E4" s="463"/>
      <c r="F4" s="463"/>
      <c r="G4" s="463"/>
      <c r="H4" s="463"/>
      <c r="I4" s="463"/>
      <c r="J4" s="464"/>
      <c r="K4" s="463"/>
      <c r="L4" s="463"/>
      <c r="M4" s="463"/>
      <c r="N4" s="463"/>
      <c r="O4" s="464"/>
      <c r="P4" s="465"/>
      <c r="Q4" s="1148" t="s">
        <v>1413</v>
      </c>
      <c r="R4" s="463"/>
      <c r="S4" s="463"/>
      <c r="T4" s="463"/>
      <c r="U4" s="464"/>
      <c r="V4" s="465"/>
      <c r="W4" s="1148" t="s">
        <v>1413</v>
      </c>
      <c r="X4" s="463"/>
      <c r="Y4" s="463"/>
      <c r="Z4" s="463"/>
      <c r="AA4" s="466"/>
      <c r="AB4" s="467"/>
      <c r="AC4" s="468"/>
      <c r="AD4" s="467"/>
      <c r="AE4" s="468"/>
      <c r="AF4" s="467"/>
      <c r="AG4" s="468"/>
      <c r="AH4" s="467"/>
      <c r="AI4" s="469"/>
      <c r="AJ4" s="469"/>
      <c r="AK4" s="470"/>
      <c r="AL4" s="467"/>
      <c r="AM4" s="1148" t="s">
        <v>1413</v>
      </c>
      <c r="AN4" s="463"/>
      <c r="AO4" s="469"/>
      <c r="AP4" s="469"/>
      <c r="AQ4" s="470"/>
      <c r="AR4" s="467"/>
      <c r="AS4" s="464"/>
      <c r="AT4" s="471"/>
      <c r="AV4" s="1154" t="s">
        <v>1433</v>
      </c>
    </row>
    <row r="5" spans="1:55" s="484" customFormat="1" ht="51" x14ac:dyDescent="0.2">
      <c r="A5" s="472" t="s">
        <v>665</v>
      </c>
      <c r="B5" s="472" t="s">
        <v>666</v>
      </c>
      <c r="C5" s="473" t="s">
        <v>667</v>
      </c>
      <c r="D5" s="474"/>
      <c r="E5" s="472" t="s">
        <v>668</v>
      </c>
      <c r="F5" s="472" t="s">
        <v>669</v>
      </c>
      <c r="G5" s="475" t="s">
        <v>1414</v>
      </c>
      <c r="H5" s="475" t="s">
        <v>1415</v>
      </c>
      <c r="I5" s="475" t="s">
        <v>670</v>
      </c>
      <c r="J5" s="476" t="s">
        <v>671</v>
      </c>
      <c r="K5" s="472" t="s">
        <v>672</v>
      </c>
      <c r="L5" s="472" t="s">
        <v>673</v>
      </c>
      <c r="M5" s="472" t="s">
        <v>190</v>
      </c>
      <c r="N5" s="477" t="s">
        <v>674</v>
      </c>
      <c r="O5" s="478" t="s">
        <v>675</v>
      </c>
      <c r="P5" s="474"/>
      <c r="Q5" s="472" t="s">
        <v>676</v>
      </c>
      <c r="R5" s="472" t="s">
        <v>677</v>
      </c>
      <c r="S5" s="472" t="s">
        <v>678</v>
      </c>
      <c r="T5" s="472" t="s">
        <v>679</v>
      </c>
      <c r="U5" s="478" t="s">
        <v>680</v>
      </c>
      <c r="V5" s="474"/>
      <c r="W5" s="472" t="s">
        <v>676</v>
      </c>
      <c r="X5" s="472" t="s">
        <v>677</v>
      </c>
      <c r="Y5" s="472" t="s">
        <v>678</v>
      </c>
      <c r="Z5" s="472" t="s">
        <v>679</v>
      </c>
      <c r="AA5" s="479" t="s">
        <v>681</v>
      </c>
      <c r="AB5" s="474"/>
      <c r="AC5" s="480" t="s">
        <v>682</v>
      </c>
      <c r="AD5" s="474"/>
      <c r="AE5" s="480" t="s">
        <v>683</v>
      </c>
      <c r="AF5" s="474"/>
      <c r="AG5" s="480" t="s">
        <v>684</v>
      </c>
      <c r="AH5" s="474"/>
      <c r="AI5" s="472" t="s">
        <v>685</v>
      </c>
      <c r="AJ5" s="472" t="s">
        <v>686</v>
      </c>
      <c r="AK5" s="478" t="s">
        <v>687</v>
      </c>
      <c r="AL5" s="474"/>
      <c r="AM5" s="472" t="s">
        <v>676</v>
      </c>
      <c r="AN5" s="472" t="s">
        <v>677</v>
      </c>
      <c r="AO5" s="472" t="s">
        <v>678</v>
      </c>
      <c r="AP5" s="472" t="s">
        <v>679</v>
      </c>
      <c r="AQ5" s="478" t="s">
        <v>688</v>
      </c>
      <c r="AR5" s="474"/>
      <c r="AS5" s="478" t="s">
        <v>689</v>
      </c>
      <c r="AT5" s="481"/>
      <c r="AU5" s="482" t="s">
        <v>647</v>
      </c>
      <c r="AV5" s="482" t="s">
        <v>1434</v>
      </c>
      <c r="AW5" s="482" t="s">
        <v>690</v>
      </c>
      <c r="AX5" s="483"/>
      <c r="AZ5" s="485"/>
      <c r="BA5" s="484" t="s">
        <v>691</v>
      </c>
      <c r="BC5" s="484" t="s">
        <v>1300</v>
      </c>
    </row>
    <row r="6" spans="1:55" ht="12.75" x14ac:dyDescent="0.2">
      <c r="A6" s="486"/>
      <c r="B6" s="439"/>
      <c r="C6" s="487"/>
      <c r="D6" s="488"/>
      <c r="E6" s="489"/>
      <c r="F6" s="490"/>
      <c r="G6" s="489"/>
      <c r="H6" s="489"/>
      <c r="I6" s="489"/>
      <c r="J6" s="491"/>
      <c r="K6" s="489"/>
      <c r="L6" s="489"/>
      <c r="M6" s="489"/>
      <c r="N6" s="489"/>
      <c r="O6" s="491"/>
      <c r="P6" s="492"/>
      <c r="Q6" s="489"/>
      <c r="R6" s="489"/>
      <c r="S6" s="489"/>
      <c r="T6" s="489"/>
      <c r="U6" s="491"/>
      <c r="V6" s="492"/>
      <c r="W6" s="489"/>
      <c r="X6" s="489"/>
      <c r="Y6" s="489"/>
      <c r="Z6" s="489"/>
      <c r="AA6" s="493"/>
      <c r="AB6" s="488"/>
      <c r="AC6" s="494"/>
      <c r="AD6" s="488"/>
      <c r="AE6" s="495"/>
      <c r="AF6" s="488"/>
      <c r="AG6" s="495"/>
      <c r="AH6" s="488"/>
      <c r="AI6" s="489"/>
      <c r="AJ6" s="489"/>
      <c r="AK6" s="491"/>
      <c r="AL6" s="488"/>
      <c r="AM6" s="489"/>
      <c r="AN6" s="489"/>
      <c r="AO6" s="489"/>
      <c r="AP6" s="489"/>
      <c r="AQ6" s="491"/>
      <c r="AR6" s="488"/>
      <c r="AS6" s="496"/>
      <c r="AT6" s="497"/>
    </row>
    <row r="7" spans="1:55" ht="15" x14ac:dyDescent="0.25">
      <c r="A7" s="486" t="s">
        <v>11</v>
      </c>
      <c r="B7" s="439" t="s">
        <v>191</v>
      </c>
      <c r="C7" s="487">
        <v>2443</v>
      </c>
      <c r="D7" s="488">
        <v>2443</v>
      </c>
      <c r="E7" s="498">
        <v>988</v>
      </c>
      <c r="F7" s="499">
        <f t="shared" ref="F7:F53" si="0">E7*30</f>
        <v>29640</v>
      </c>
      <c r="G7" s="499">
        <v>8910</v>
      </c>
      <c r="H7" s="499">
        <v>8925</v>
      </c>
      <c r="I7" s="499">
        <v>8460</v>
      </c>
      <c r="J7" s="500">
        <f>SUM(G7:I7)</f>
        <v>26295</v>
      </c>
      <c r="K7" s="500">
        <f>F7-J7</f>
        <v>3345</v>
      </c>
      <c r="L7" s="500">
        <f>J7</f>
        <v>26295</v>
      </c>
      <c r="M7" s="501" t="s">
        <v>192</v>
      </c>
      <c r="N7" s="501">
        <f>3.63829965788459/100*103</f>
        <v>3.7474486476211273</v>
      </c>
      <c r="O7" s="502">
        <f t="shared" ref="O7:O53" si="1">ROUND(N7*L7,0)</f>
        <v>98539</v>
      </c>
      <c r="P7" s="492"/>
      <c r="Q7" s="1149">
        <v>10530</v>
      </c>
      <c r="R7" s="1149">
        <v>9660</v>
      </c>
      <c r="S7" s="1149">
        <v>11738.203578947368</v>
      </c>
      <c r="T7" s="501">
        <v>0.2036</v>
      </c>
      <c r="U7" s="502">
        <f>SUM(Q7+R7+S7)*T7</f>
        <v>6500.5822486736843</v>
      </c>
      <c r="V7" s="492"/>
      <c r="W7" s="432">
        <v>360.00000000000006</v>
      </c>
      <c r="X7" s="432">
        <v>0</v>
      </c>
      <c r="Y7" s="432">
        <v>360</v>
      </c>
      <c r="Z7" s="501">
        <v>1.7611399999999999</v>
      </c>
      <c r="AA7" s="503">
        <f>SUM(W7+X7+Y7)*Z7</f>
        <v>1268.0208</v>
      </c>
      <c r="AB7" s="488"/>
      <c r="AC7" s="504"/>
      <c r="AD7" s="505"/>
      <c r="AE7" s="506"/>
      <c r="AF7" s="505"/>
      <c r="AG7" s="507"/>
      <c r="AH7" s="488"/>
      <c r="AI7" s="508"/>
      <c r="AJ7" s="509"/>
      <c r="AK7" s="510">
        <f t="shared" ref="AK7:AK53" si="2">AJ7*AI7</f>
        <v>0</v>
      </c>
      <c r="AL7" s="488"/>
      <c r="AM7" s="1150">
        <v>540</v>
      </c>
      <c r="AN7" s="1150">
        <v>525</v>
      </c>
      <c r="AO7" s="1150">
        <v>540</v>
      </c>
      <c r="AP7" s="501">
        <v>0.2036</v>
      </c>
      <c r="AQ7" s="502">
        <f>SUM(AM7+AN7+AO7)*AP7</f>
        <v>326.77800000000002</v>
      </c>
      <c r="AR7" s="488"/>
      <c r="AS7" s="511">
        <f>SUM(AQ7,AK7,AA7,U7,O7,AC7,AE7,AG7)</f>
        <v>106634.38104867368</v>
      </c>
      <c r="AT7" s="497"/>
      <c r="AU7" s="512"/>
      <c r="AV7" s="512"/>
      <c r="AW7" s="512">
        <f>AU7+AS7+AV7</f>
        <v>106634.38104867368</v>
      </c>
      <c r="AY7" s="513"/>
      <c r="AZ7" s="514"/>
      <c r="BA7" s="428">
        <f t="shared" ref="BA7:BA53" si="3">E7/38</f>
        <v>26</v>
      </c>
    </row>
    <row r="8" spans="1:55" ht="15" x14ac:dyDescent="0.25">
      <c r="A8" s="486" t="s">
        <v>13</v>
      </c>
      <c r="B8" s="439" t="s">
        <v>193</v>
      </c>
      <c r="C8" s="487">
        <v>2629</v>
      </c>
      <c r="D8" s="488">
        <v>2629</v>
      </c>
      <c r="E8" s="516">
        <v>1482</v>
      </c>
      <c r="F8" s="499">
        <f t="shared" si="0"/>
        <v>44460</v>
      </c>
      <c r="G8" s="499">
        <v>13860</v>
      </c>
      <c r="H8" s="499">
        <v>15750</v>
      </c>
      <c r="I8" s="499">
        <v>13860</v>
      </c>
      <c r="J8" s="500">
        <f t="shared" ref="J8:J53" si="4">SUM(G8:I8)</f>
        <v>43470</v>
      </c>
      <c r="K8" s="499">
        <f t="shared" ref="K8:K53" si="5">F8-J8</f>
        <v>990</v>
      </c>
      <c r="L8" s="500">
        <f t="shared" ref="L8:L53" si="6">J8</f>
        <v>43470</v>
      </c>
      <c r="M8" s="499" t="s">
        <v>192</v>
      </c>
      <c r="N8" s="501">
        <f>3.63829965788459/100*103</f>
        <v>3.7474486476211273</v>
      </c>
      <c r="O8" s="517">
        <f t="shared" si="1"/>
        <v>162902</v>
      </c>
      <c r="P8" s="492"/>
      <c r="Q8" s="1149">
        <v>39803.076923076922</v>
      </c>
      <c r="R8" s="1149">
        <v>46624.172185430463</v>
      </c>
      <c r="S8" s="1149">
        <v>39625.384615384617</v>
      </c>
      <c r="T8" s="499">
        <v>0.2036</v>
      </c>
      <c r="U8" s="502">
        <f t="shared" ref="U8:U53" si="7">SUM(Q8+R8+S8)*T8</f>
        <v>25664.316226184412</v>
      </c>
      <c r="V8" s="492"/>
      <c r="W8" s="432">
        <v>0</v>
      </c>
      <c r="X8" s="432">
        <v>208.60927152317882</v>
      </c>
      <c r="Y8" s="432">
        <v>177.69230769230768</v>
      </c>
      <c r="Z8" s="499">
        <v>1.7611399999999999</v>
      </c>
      <c r="AA8" s="503">
        <f t="shared" ref="AA8:AA53" si="8">SUM(W8+X8+Y8)*Z8</f>
        <v>680.33116321956186</v>
      </c>
      <c r="AB8" s="488"/>
      <c r="AC8" s="504"/>
      <c r="AD8" s="505"/>
      <c r="AE8" s="518"/>
      <c r="AF8" s="505"/>
      <c r="AG8" s="519"/>
      <c r="AH8" s="488"/>
      <c r="AI8" s="520"/>
      <c r="AJ8" s="521"/>
      <c r="AK8" s="522">
        <f t="shared" si="2"/>
        <v>0</v>
      </c>
      <c r="AL8" s="488"/>
      <c r="AM8" s="1150">
        <v>11194.615384615385</v>
      </c>
      <c r="AN8" s="1150">
        <v>12829.470198675497</v>
      </c>
      <c r="AO8" s="1150">
        <v>10839.23076923077</v>
      </c>
      <c r="AP8" s="499">
        <v>0.2036</v>
      </c>
      <c r="AQ8" s="502">
        <f t="shared" ref="AQ8:AQ53" si="9">SUM(AM8+AN8+AO8)*AP8</f>
        <v>7098.1712093734086</v>
      </c>
      <c r="AR8" s="488"/>
      <c r="AS8" s="523">
        <f t="shared" ref="AS8:AS53" si="10">SUM(AQ8,AK8,AA8,U8,O8,AC8,AE8,AG8)</f>
        <v>196344.81859877738</v>
      </c>
      <c r="AT8" s="497"/>
      <c r="AU8" s="512"/>
      <c r="AV8" s="512"/>
      <c r="AW8" s="512">
        <f t="shared" ref="AW8:AW53" si="11">AU8+AS8+AV8</f>
        <v>196344.81859877738</v>
      </c>
      <c r="AY8" s="513"/>
      <c r="AZ8" s="514"/>
      <c r="BA8" s="428">
        <f t="shared" si="3"/>
        <v>39</v>
      </c>
    </row>
    <row r="9" spans="1:55" ht="15" x14ac:dyDescent="0.25">
      <c r="A9" s="486" t="s">
        <v>2</v>
      </c>
      <c r="B9" s="439" t="s">
        <v>194</v>
      </c>
      <c r="C9" s="487">
        <v>1014</v>
      </c>
      <c r="D9" s="488">
        <v>1014</v>
      </c>
      <c r="E9" s="516">
        <v>1520</v>
      </c>
      <c r="F9" s="499">
        <f t="shared" si="0"/>
        <v>45600</v>
      </c>
      <c r="G9" s="499">
        <v>9396</v>
      </c>
      <c r="H9" s="499">
        <v>7560</v>
      </c>
      <c r="I9" s="499">
        <v>8280</v>
      </c>
      <c r="J9" s="500">
        <f t="shared" si="4"/>
        <v>25236</v>
      </c>
      <c r="K9" s="499">
        <f t="shared" si="5"/>
        <v>20364</v>
      </c>
      <c r="L9" s="500">
        <f t="shared" si="6"/>
        <v>25236</v>
      </c>
      <c r="M9" s="499" t="s">
        <v>195</v>
      </c>
      <c r="N9" s="501">
        <v>5.5991996578845935</v>
      </c>
      <c r="O9" s="517">
        <f t="shared" si="1"/>
        <v>141301</v>
      </c>
      <c r="P9" s="492"/>
      <c r="Q9" s="1149">
        <v>13261.244147157191</v>
      </c>
      <c r="R9" s="1149">
        <v>9535.9090909090919</v>
      </c>
      <c r="S9" s="1149">
        <v>14051.789473684212</v>
      </c>
      <c r="T9" s="499">
        <v>0.2036</v>
      </c>
      <c r="U9" s="502">
        <f t="shared" si="7"/>
        <v>7502.4447361124012</v>
      </c>
      <c r="V9" s="492"/>
      <c r="W9" s="432">
        <v>314.24749163879596</v>
      </c>
      <c r="X9" s="432">
        <v>214.77272727272725</v>
      </c>
      <c r="Y9" s="432">
        <v>552</v>
      </c>
      <c r="Z9" s="499">
        <v>1.7611399999999999</v>
      </c>
      <c r="AA9" s="503">
        <f t="shared" si="8"/>
        <v>1903.8279483338399</v>
      </c>
      <c r="AB9" s="488"/>
      <c r="AC9" s="504"/>
      <c r="AD9" s="505"/>
      <c r="AE9" s="518"/>
      <c r="AF9" s="505"/>
      <c r="AG9" s="519">
        <v>0</v>
      </c>
      <c r="AH9" s="488"/>
      <c r="AI9" s="520">
        <v>1</v>
      </c>
      <c r="AJ9" s="521">
        <v>100000</v>
      </c>
      <c r="AK9" s="522">
        <f t="shared" si="2"/>
        <v>100000</v>
      </c>
      <c r="AL9" s="488"/>
      <c r="AM9" s="1150">
        <v>2042.6086956521738</v>
      </c>
      <c r="AN9" s="1150">
        <v>1073.8636363636365</v>
      </c>
      <c r="AO9" s="1150">
        <v>2024</v>
      </c>
      <c r="AP9" s="499">
        <v>0.2036</v>
      </c>
      <c r="AQ9" s="502">
        <f t="shared" si="9"/>
        <v>1046.600166798419</v>
      </c>
      <c r="AR9" s="488"/>
      <c r="AS9" s="523">
        <f t="shared" si="10"/>
        <v>251753.87285124467</v>
      </c>
      <c r="AT9" s="497"/>
      <c r="AU9" s="512"/>
      <c r="AV9" s="524">
        <v>9805.7699999999986</v>
      </c>
      <c r="AW9" s="512">
        <f t="shared" si="11"/>
        <v>261559.64285124466</v>
      </c>
      <c r="AY9" s="513"/>
      <c r="AZ9" s="514"/>
      <c r="BA9" s="428">
        <f t="shared" si="3"/>
        <v>40</v>
      </c>
    </row>
    <row r="10" spans="1:55" ht="15" x14ac:dyDescent="0.25">
      <c r="A10" s="486" t="s">
        <v>16</v>
      </c>
      <c r="B10" s="439" t="s">
        <v>196</v>
      </c>
      <c r="C10" s="487">
        <v>2464</v>
      </c>
      <c r="D10" s="488">
        <v>2464</v>
      </c>
      <c r="E10" s="516">
        <v>988</v>
      </c>
      <c r="F10" s="499">
        <f t="shared" si="0"/>
        <v>29640</v>
      </c>
      <c r="G10" s="499">
        <v>6300</v>
      </c>
      <c r="H10" s="499">
        <v>3780</v>
      </c>
      <c r="I10" s="499">
        <v>3420</v>
      </c>
      <c r="J10" s="500">
        <f t="shared" si="4"/>
        <v>13500</v>
      </c>
      <c r="K10" s="499">
        <f t="shared" si="5"/>
        <v>16140</v>
      </c>
      <c r="L10" s="500">
        <f t="shared" si="6"/>
        <v>13500</v>
      </c>
      <c r="M10" s="499" t="s">
        <v>192</v>
      </c>
      <c r="N10" s="501">
        <f t="shared" ref="N10:N20" si="12">3.63829965788459/100*103</f>
        <v>3.7474486476211273</v>
      </c>
      <c r="O10" s="517">
        <f t="shared" si="1"/>
        <v>50591</v>
      </c>
      <c r="P10" s="492"/>
      <c r="Q10" s="1149">
        <v>3603.7037037037035</v>
      </c>
      <c r="R10" s="1149">
        <v>1314.7826086956522</v>
      </c>
      <c r="S10" s="1149">
        <v>2618.7096774193546</v>
      </c>
      <c r="T10" s="499">
        <v>0.2036</v>
      </c>
      <c r="U10" s="502">
        <f t="shared" si="7"/>
        <v>1534.5731035270894</v>
      </c>
      <c r="V10" s="492"/>
      <c r="W10" s="432">
        <v>259.25925925925924</v>
      </c>
      <c r="X10" s="432">
        <v>0</v>
      </c>
      <c r="Y10" s="432">
        <v>220.64516129032256</v>
      </c>
      <c r="Z10" s="499">
        <v>1.7611399999999999</v>
      </c>
      <c r="AA10" s="503">
        <f t="shared" si="8"/>
        <v>845.17887120669047</v>
      </c>
      <c r="AB10" s="488"/>
      <c r="AC10" s="504"/>
      <c r="AD10" s="505"/>
      <c r="AE10" s="518"/>
      <c r="AF10" s="505"/>
      <c r="AG10" s="519"/>
      <c r="AH10" s="488"/>
      <c r="AI10" s="520"/>
      <c r="AJ10" s="521"/>
      <c r="AK10" s="522">
        <f t="shared" si="2"/>
        <v>0</v>
      </c>
      <c r="AL10" s="488"/>
      <c r="AM10" s="1150">
        <v>129.62962962962962</v>
      </c>
      <c r="AN10" s="1150">
        <v>0</v>
      </c>
      <c r="AO10" s="1150">
        <v>0</v>
      </c>
      <c r="AP10" s="499">
        <v>0.2036</v>
      </c>
      <c r="AQ10" s="502">
        <f t="shared" si="9"/>
        <v>26.392592592592592</v>
      </c>
      <c r="AR10" s="488"/>
      <c r="AS10" s="523">
        <f t="shared" si="10"/>
        <v>52997.144567326373</v>
      </c>
      <c r="AT10" s="497"/>
      <c r="AU10" s="512"/>
      <c r="AV10" s="512"/>
      <c r="AW10" s="512">
        <f t="shared" si="11"/>
        <v>52997.144567326373</v>
      </c>
      <c r="AY10" s="513"/>
      <c r="AZ10" s="514"/>
      <c r="BA10" s="428">
        <f t="shared" si="3"/>
        <v>26</v>
      </c>
    </row>
    <row r="11" spans="1:55" ht="15" x14ac:dyDescent="0.25">
      <c r="A11" s="486" t="s">
        <v>17</v>
      </c>
      <c r="B11" s="439" t="s">
        <v>197</v>
      </c>
      <c r="C11" s="487">
        <v>2004</v>
      </c>
      <c r="D11" s="488">
        <v>2004</v>
      </c>
      <c r="E11" s="516">
        <v>1976</v>
      </c>
      <c r="F11" s="499">
        <f t="shared" si="0"/>
        <v>59280</v>
      </c>
      <c r="G11" s="499">
        <v>8460</v>
      </c>
      <c r="H11" s="499">
        <v>4620</v>
      </c>
      <c r="I11" s="499">
        <v>4140</v>
      </c>
      <c r="J11" s="500">
        <f t="shared" si="4"/>
        <v>17220</v>
      </c>
      <c r="K11" s="499">
        <f t="shared" si="5"/>
        <v>42060</v>
      </c>
      <c r="L11" s="500">
        <f t="shared" si="6"/>
        <v>17220</v>
      </c>
      <c r="M11" s="499" t="s">
        <v>192</v>
      </c>
      <c r="N11" s="501">
        <f t="shared" si="12"/>
        <v>3.7474486476211273</v>
      </c>
      <c r="O11" s="517">
        <f t="shared" si="1"/>
        <v>64531</v>
      </c>
      <c r="P11" s="492"/>
      <c r="Q11" s="1149">
        <v>19796.399999999998</v>
      </c>
      <c r="R11" s="1149">
        <v>11550</v>
      </c>
      <c r="S11" s="1149">
        <v>16378.421052631578</v>
      </c>
      <c r="T11" s="499">
        <v>0.2036</v>
      </c>
      <c r="U11" s="502">
        <f t="shared" si="7"/>
        <v>9716.7735663157891</v>
      </c>
      <c r="V11" s="492"/>
      <c r="W11" s="432">
        <v>169.20000000000002</v>
      </c>
      <c r="X11" s="432">
        <v>462</v>
      </c>
      <c r="Y11" s="432">
        <v>414</v>
      </c>
      <c r="Z11" s="499">
        <v>1.7611399999999999</v>
      </c>
      <c r="AA11" s="503">
        <f t="shared" si="8"/>
        <v>1840.743528</v>
      </c>
      <c r="AB11" s="488"/>
      <c r="AC11" s="504"/>
      <c r="AD11" s="505"/>
      <c r="AE11" s="518"/>
      <c r="AF11" s="505"/>
      <c r="AG11" s="519"/>
      <c r="AH11" s="488"/>
      <c r="AI11" s="520"/>
      <c r="AJ11" s="521"/>
      <c r="AK11" s="522">
        <f t="shared" si="2"/>
        <v>0</v>
      </c>
      <c r="AL11" s="488"/>
      <c r="AM11" s="1150">
        <v>676.80000000000007</v>
      </c>
      <c r="AN11" s="1150">
        <v>616</v>
      </c>
      <c r="AO11" s="1150">
        <v>276</v>
      </c>
      <c r="AP11" s="499">
        <v>0.2036</v>
      </c>
      <c r="AQ11" s="502">
        <f t="shared" si="9"/>
        <v>319.40768000000003</v>
      </c>
      <c r="AR11" s="488"/>
      <c r="AS11" s="523">
        <f t="shared" si="10"/>
        <v>76407.92477431579</v>
      </c>
      <c r="AT11" s="497"/>
      <c r="AU11" s="512"/>
      <c r="AV11" s="512"/>
      <c r="AW11" s="512">
        <f t="shared" si="11"/>
        <v>76407.92477431579</v>
      </c>
      <c r="AY11" s="513"/>
      <c r="AZ11" s="514"/>
      <c r="BA11" s="428">
        <f t="shared" si="3"/>
        <v>52</v>
      </c>
    </row>
    <row r="12" spans="1:55" ht="15" x14ac:dyDescent="0.25">
      <c r="A12" s="486" t="s">
        <v>18</v>
      </c>
      <c r="B12" s="439" t="s">
        <v>198</v>
      </c>
      <c r="C12" s="487">
        <v>2405</v>
      </c>
      <c r="D12" s="488">
        <v>2405</v>
      </c>
      <c r="E12" s="516">
        <v>988</v>
      </c>
      <c r="F12" s="499">
        <f t="shared" si="0"/>
        <v>29640</v>
      </c>
      <c r="G12" s="499">
        <v>8460</v>
      </c>
      <c r="H12" s="499">
        <v>2100</v>
      </c>
      <c r="I12" s="499">
        <v>1980</v>
      </c>
      <c r="J12" s="500">
        <f t="shared" si="4"/>
        <v>12540</v>
      </c>
      <c r="K12" s="499">
        <f t="shared" si="5"/>
        <v>17100</v>
      </c>
      <c r="L12" s="500">
        <f t="shared" si="6"/>
        <v>12540</v>
      </c>
      <c r="M12" s="499" t="s">
        <v>192</v>
      </c>
      <c r="N12" s="501">
        <f t="shared" si="12"/>
        <v>3.7474486476211273</v>
      </c>
      <c r="O12" s="517">
        <f t="shared" si="1"/>
        <v>46993</v>
      </c>
      <c r="P12" s="492"/>
      <c r="Q12" s="1149">
        <v>17977.5</v>
      </c>
      <c r="R12" s="1149">
        <v>4486.363636363636</v>
      </c>
      <c r="S12" s="1149">
        <v>4793.6842105263158</v>
      </c>
      <c r="T12" s="499">
        <v>0.2036</v>
      </c>
      <c r="U12" s="502">
        <f t="shared" si="7"/>
        <v>5549.6367416267949</v>
      </c>
      <c r="V12" s="492"/>
      <c r="W12" s="432">
        <v>528.75</v>
      </c>
      <c r="X12" s="432">
        <v>143.18181818181816</v>
      </c>
      <c r="Y12" s="432">
        <v>169.71428571428572</v>
      </c>
      <c r="Z12" s="499">
        <v>1.7611399999999999</v>
      </c>
      <c r="AA12" s="503">
        <f t="shared" si="8"/>
        <v>1482.2566194155843</v>
      </c>
      <c r="AB12" s="488"/>
      <c r="AC12" s="504"/>
      <c r="AD12" s="505"/>
      <c r="AE12" s="518"/>
      <c r="AF12" s="505"/>
      <c r="AG12" s="519"/>
      <c r="AH12" s="488"/>
      <c r="AI12" s="520"/>
      <c r="AJ12" s="521"/>
      <c r="AK12" s="522">
        <f t="shared" si="2"/>
        <v>0</v>
      </c>
      <c r="AL12" s="488"/>
      <c r="AM12" s="1150">
        <v>3701.25</v>
      </c>
      <c r="AN12" s="1150">
        <v>1050</v>
      </c>
      <c r="AO12" s="1150">
        <v>1131.4285714285713</v>
      </c>
      <c r="AP12" s="499">
        <v>0.2036</v>
      </c>
      <c r="AQ12" s="502">
        <f t="shared" si="9"/>
        <v>1197.7133571428571</v>
      </c>
      <c r="AR12" s="488"/>
      <c r="AS12" s="523">
        <f t="shared" si="10"/>
        <v>55222.606718185234</v>
      </c>
      <c r="AT12" s="497"/>
      <c r="AU12" s="512"/>
      <c r="AV12" s="512"/>
      <c r="AW12" s="512">
        <f t="shared" si="11"/>
        <v>55222.606718185234</v>
      </c>
      <c r="AY12" s="513"/>
      <c r="AZ12" s="514"/>
      <c r="BA12" s="428">
        <f t="shared" si="3"/>
        <v>26</v>
      </c>
    </row>
    <row r="13" spans="1:55" ht="15" x14ac:dyDescent="0.25">
      <c r="A13" s="525" t="s">
        <v>692</v>
      </c>
      <c r="B13" s="439" t="s">
        <v>636</v>
      </c>
      <c r="C13" s="526">
        <v>4177</v>
      </c>
      <c r="D13" s="488">
        <v>4177</v>
      </c>
      <c r="E13" s="516">
        <f>26*38</f>
        <v>988</v>
      </c>
      <c r="F13" s="499">
        <f t="shared" si="0"/>
        <v>29640</v>
      </c>
      <c r="G13" s="499">
        <v>720</v>
      </c>
      <c r="H13" s="499">
        <v>1470</v>
      </c>
      <c r="I13" s="499">
        <v>4680</v>
      </c>
      <c r="J13" s="500">
        <f t="shared" si="4"/>
        <v>6870</v>
      </c>
      <c r="K13" s="499">
        <f t="shared" si="5"/>
        <v>22770</v>
      </c>
      <c r="L13" s="500">
        <f t="shared" si="6"/>
        <v>6870</v>
      </c>
      <c r="M13" s="1151" t="s">
        <v>192</v>
      </c>
      <c r="N13" s="501">
        <f t="shared" si="12"/>
        <v>3.7474486476211273</v>
      </c>
      <c r="O13" s="517">
        <f t="shared" si="1"/>
        <v>25745</v>
      </c>
      <c r="P13" s="492"/>
      <c r="Q13" s="1149">
        <v>360</v>
      </c>
      <c r="R13" s="1149">
        <v>2730</v>
      </c>
      <c r="S13" s="1149">
        <v>0</v>
      </c>
      <c r="T13" s="499">
        <v>0.2036</v>
      </c>
      <c r="U13" s="502">
        <f t="shared" si="7"/>
        <v>629.12400000000002</v>
      </c>
      <c r="V13" s="492"/>
      <c r="W13" s="432">
        <v>0</v>
      </c>
      <c r="X13" s="432">
        <v>210</v>
      </c>
      <c r="Y13" s="432">
        <v>0</v>
      </c>
      <c r="Z13" s="499">
        <v>1.7611399999999999</v>
      </c>
      <c r="AA13" s="503">
        <f t="shared" si="8"/>
        <v>369.83940000000001</v>
      </c>
      <c r="AB13" s="488"/>
      <c r="AC13" s="504"/>
      <c r="AD13" s="505"/>
      <c r="AE13" s="518"/>
      <c r="AF13" s="505"/>
      <c r="AG13" s="519"/>
      <c r="AH13" s="488"/>
      <c r="AI13" s="520"/>
      <c r="AJ13" s="521"/>
      <c r="AK13" s="522">
        <f t="shared" si="2"/>
        <v>0</v>
      </c>
      <c r="AL13" s="488"/>
      <c r="AM13" s="1150">
        <v>0</v>
      </c>
      <c r="AN13" s="1150">
        <v>210</v>
      </c>
      <c r="AO13" s="1150">
        <v>0</v>
      </c>
      <c r="AP13" s="499">
        <v>0.2036</v>
      </c>
      <c r="AQ13" s="502">
        <f t="shared" si="9"/>
        <v>42.756</v>
      </c>
      <c r="AR13" s="488"/>
      <c r="AS13" s="523">
        <f t="shared" si="10"/>
        <v>26786.719400000002</v>
      </c>
      <c r="AT13" s="497"/>
      <c r="AU13" s="512"/>
      <c r="AV13" s="512"/>
      <c r="AW13" s="512">
        <f t="shared" si="11"/>
        <v>26786.719400000002</v>
      </c>
      <c r="AY13" s="513"/>
      <c r="AZ13" s="514"/>
      <c r="BA13" s="428">
        <f t="shared" si="3"/>
        <v>26</v>
      </c>
    </row>
    <row r="14" spans="1:55" ht="26.25" x14ac:dyDescent="0.25">
      <c r="A14" s="527" t="s">
        <v>693</v>
      </c>
      <c r="B14" s="439" t="s">
        <v>199</v>
      </c>
      <c r="C14" s="487">
        <v>2011</v>
      </c>
      <c r="D14" s="488">
        <v>2011</v>
      </c>
      <c r="E14" s="516">
        <v>1482</v>
      </c>
      <c r="F14" s="499">
        <f t="shared" si="0"/>
        <v>44460</v>
      </c>
      <c r="G14" s="499">
        <v>5760</v>
      </c>
      <c r="H14" s="499">
        <v>4620</v>
      </c>
      <c r="I14" s="499">
        <v>5400</v>
      </c>
      <c r="J14" s="500">
        <f t="shared" si="4"/>
        <v>15780</v>
      </c>
      <c r="K14" s="499">
        <f t="shared" si="5"/>
        <v>28680</v>
      </c>
      <c r="L14" s="500">
        <f t="shared" si="6"/>
        <v>15780</v>
      </c>
      <c r="M14" s="499" t="s">
        <v>192</v>
      </c>
      <c r="N14" s="501">
        <f t="shared" si="12"/>
        <v>3.7474486476211273</v>
      </c>
      <c r="O14" s="517">
        <f t="shared" si="1"/>
        <v>59135</v>
      </c>
      <c r="P14" s="492"/>
      <c r="Q14" s="1149">
        <v>7580.5181347150256</v>
      </c>
      <c r="R14" s="1149">
        <v>6006</v>
      </c>
      <c r="S14" s="1149">
        <v>6620.625</v>
      </c>
      <c r="T14" s="499">
        <v>0.2036</v>
      </c>
      <c r="U14" s="502">
        <f t="shared" si="7"/>
        <v>4114.1743422279787</v>
      </c>
      <c r="V14" s="492"/>
      <c r="W14" s="432">
        <v>0</v>
      </c>
      <c r="X14" s="432">
        <v>0</v>
      </c>
      <c r="Y14" s="432">
        <v>168.75</v>
      </c>
      <c r="Z14" s="499">
        <v>1.7611399999999999</v>
      </c>
      <c r="AA14" s="503">
        <f t="shared" si="8"/>
        <v>297.19237499999997</v>
      </c>
      <c r="AB14" s="488"/>
      <c r="AC14" s="504"/>
      <c r="AD14" s="505"/>
      <c r="AE14" s="518"/>
      <c r="AF14" s="505"/>
      <c r="AG14" s="519"/>
      <c r="AH14" s="488"/>
      <c r="AI14" s="520"/>
      <c r="AJ14" s="521"/>
      <c r="AK14" s="522">
        <f t="shared" si="2"/>
        <v>0</v>
      </c>
      <c r="AL14" s="488"/>
      <c r="AM14" s="1150">
        <v>1044.5595854922281</v>
      </c>
      <c r="AN14" s="1150">
        <v>924</v>
      </c>
      <c r="AO14" s="1150">
        <v>1012.5</v>
      </c>
      <c r="AP14" s="499">
        <v>0.2036</v>
      </c>
      <c r="AQ14" s="502">
        <f t="shared" si="9"/>
        <v>606.94373160621763</v>
      </c>
      <c r="AR14" s="488"/>
      <c r="AS14" s="523">
        <f t="shared" si="10"/>
        <v>64153.310448834192</v>
      </c>
      <c r="AT14" s="497"/>
      <c r="AU14" s="512"/>
      <c r="AV14" s="512"/>
      <c r="AW14" s="512">
        <f t="shared" si="11"/>
        <v>64153.310448834192</v>
      </c>
      <c r="AY14" s="513"/>
      <c r="AZ14" s="514"/>
      <c r="BA14" s="428">
        <f t="shared" si="3"/>
        <v>39</v>
      </c>
    </row>
    <row r="15" spans="1:55" ht="15" x14ac:dyDescent="0.25">
      <c r="A15" s="528" t="s">
        <v>20</v>
      </c>
      <c r="B15" s="437" t="s">
        <v>200</v>
      </c>
      <c r="C15" s="529">
        <v>5201</v>
      </c>
      <c r="D15" s="488">
        <v>5201</v>
      </c>
      <c r="E15" s="516">
        <v>988</v>
      </c>
      <c r="F15" s="499">
        <f t="shared" si="0"/>
        <v>29640</v>
      </c>
      <c r="G15" s="499">
        <v>9360</v>
      </c>
      <c r="H15" s="499">
        <v>6930</v>
      </c>
      <c r="I15" s="499">
        <v>7200</v>
      </c>
      <c r="J15" s="500">
        <f t="shared" si="4"/>
        <v>23490</v>
      </c>
      <c r="K15" s="499">
        <f t="shared" si="5"/>
        <v>6150</v>
      </c>
      <c r="L15" s="500">
        <f t="shared" si="6"/>
        <v>23490</v>
      </c>
      <c r="M15" s="499" t="s">
        <v>192</v>
      </c>
      <c r="N15" s="501">
        <f t="shared" si="12"/>
        <v>3.7474486476211273</v>
      </c>
      <c r="O15" s="517">
        <f t="shared" si="1"/>
        <v>88028</v>
      </c>
      <c r="P15" s="492"/>
      <c r="Q15" s="1149">
        <v>2598.2815598149373</v>
      </c>
      <c r="R15" s="1149">
        <v>1436.2694300518133</v>
      </c>
      <c r="S15" s="1149">
        <v>2122.105263157895</v>
      </c>
      <c r="T15" s="499">
        <v>0.2036</v>
      </c>
      <c r="U15" s="502">
        <f t="shared" si="7"/>
        <v>1253.4952131158179</v>
      </c>
      <c r="V15" s="492"/>
      <c r="W15" s="432">
        <v>371.18307997356243</v>
      </c>
      <c r="X15" s="432">
        <v>179.53367875647666</v>
      </c>
      <c r="Y15" s="432">
        <v>138.46153846153848</v>
      </c>
      <c r="Z15" s="499">
        <v>1.7611399999999999</v>
      </c>
      <c r="AA15" s="503">
        <f t="shared" si="8"/>
        <v>1213.7394663159748</v>
      </c>
      <c r="AB15" s="488"/>
      <c r="AC15" s="504"/>
      <c r="AD15" s="505"/>
      <c r="AE15" s="518"/>
      <c r="AF15" s="505"/>
      <c r="AG15" s="519"/>
      <c r="AH15" s="488"/>
      <c r="AI15" s="520"/>
      <c r="AJ15" s="521"/>
      <c r="AK15" s="522">
        <f t="shared" si="2"/>
        <v>0</v>
      </c>
      <c r="AL15" s="488"/>
      <c r="AM15" s="1150">
        <v>556.77461996034367</v>
      </c>
      <c r="AN15" s="1150">
        <v>179.53367875647666</v>
      </c>
      <c r="AO15" s="1150">
        <v>0</v>
      </c>
      <c r="AP15" s="499">
        <v>0.2036</v>
      </c>
      <c r="AQ15" s="502">
        <f t="shared" si="9"/>
        <v>149.91236961874463</v>
      </c>
      <c r="AR15" s="488"/>
      <c r="AS15" s="523">
        <f t="shared" si="10"/>
        <v>90645.147049050531</v>
      </c>
      <c r="AT15" s="497"/>
      <c r="AU15" s="512"/>
      <c r="AV15" s="512"/>
      <c r="AW15" s="512">
        <f t="shared" si="11"/>
        <v>90645.147049050531</v>
      </c>
      <c r="AY15" s="513"/>
      <c r="AZ15" s="514"/>
      <c r="BA15" s="428">
        <f t="shared" si="3"/>
        <v>26</v>
      </c>
    </row>
    <row r="16" spans="1:55" ht="15" x14ac:dyDescent="0.25">
      <c r="A16" s="486" t="s">
        <v>96</v>
      </c>
      <c r="B16" s="439" t="s">
        <v>694</v>
      </c>
      <c r="C16" s="487">
        <v>2007</v>
      </c>
      <c r="D16" s="488">
        <v>2007</v>
      </c>
      <c r="E16" s="516">
        <v>1976</v>
      </c>
      <c r="F16" s="499">
        <f t="shared" si="0"/>
        <v>59280</v>
      </c>
      <c r="G16" s="499">
        <v>9000</v>
      </c>
      <c r="H16" s="499">
        <v>9450</v>
      </c>
      <c r="I16" s="499">
        <v>9360</v>
      </c>
      <c r="J16" s="500">
        <f t="shared" si="4"/>
        <v>27810</v>
      </c>
      <c r="K16" s="499">
        <f t="shared" si="5"/>
        <v>31470</v>
      </c>
      <c r="L16" s="500">
        <f t="shared" si="6"/>
        <v>27810</v>
      </c>
      <c r="M16" s="499" t="s">
        <v>192</v>
      </c>
      <c r="N16" s="501">
        <f t="shared" si="12"/>
        <v>3.7474486476211273</v>
      </c>
      <c r="O16" s="517">
        <f t="shared" si="1"/>
        <v>104217</v>
      </c>
      <c r="P16" s="492"/>
      <c r="Q16" s="1149">
        <v>21400</v>
      </c>
      <c r="R16" s="1149">
        <v>23756.25</v>
      </c>
      <c r="S16" s="1149">
        <v>18006.980609418286</v>
      </c>
      <c r="T16" s="499">
        <v>0.2036</v>
      </c>
      <c r="U16" s="502">
        <f t="shared" si="7"/>
        <v>12860.033752077563</v>
      </c>
      <c r="V16" s="492"/>
      <c r="W16" s="432">
        <v>200</v>
      </c>
      <c r="X16" s="432">
        <v>525</v>
      </c>
      <c r="Y16" s="432">
        <v>985.26315789473676</v>
      </c>
      <c r="Z16" s="499">
        <v>1.7611399999999999</v>
      </c>
      <c r="AA16" s="503">
        <f t="shared" si="8"/>
        <v>3012.0128578947365</v>
      </c>
      <c r="AB16" s="488"/>
      <c r="AC16" s="504"/>
      <c r="AD16" s="505"/>
      <c r="AE16" s="518"/>
      <c r="AF16" s="505"/>
      <c r="AG16" s="519"/>
      <c r="AH16" s="488"/>
      <c r="AI16" s="520"/>
      <c r="AJ16" s="521"/>
      <c r="AK16" s="522">
        <f t="shared" si="2"/>
        <v>0</v>
      </c>
      <c r="AL16" s="488"/>
      <c r="AM16" s="1150">
        <v>2000</v>
      </c>
      <c r="AN16" s="1150">
        <v>2231.25</v>
      </c>
      <c r="AO16" s="1150">
        <v>1231.578947368421</v>
      </c>
      <c r="AP16" s="499">
        <v>0.2036</v>
      </c>
      <c r="AQ16" s="502">
        <f t="shared" si="9"/>
        <v>1112.2319736842105</v>
      </c>
      <c r="AR16" s="488"/>
      <c r="AS16" s="523">
        <f>SUM(AQ16,AK16,AA16,U16,O16,AC16,AE16,AG16)</f>
        <v>121201.2785836565</v>
      </c>
      <c r="AT16" s="497"/>
      <c r="AU16" s="512"/>
      <c r="AV16" s="512"/>
      <c r="AW16" s="512">
        <f t="shared" si="11"/>
        <v>121201.2785836565</v>
      </c>
      <c r="AY16" s="513"/>
      <c r="AZ16" s="514"/>
      <c r="BA16" s="428">
        <f t="shared" si="3"/>
        <v>52</v>
      </c>
    </row>
    <row r="17" spans="1:53" ht="15" x14ac:dyDescent="0.25">
      <c r="A17" s="486" t="s">
        <v>21</v>
      </c>
      <c r="B17" s="439" t="s">
        <v>201</v>
      </c>
      <c r="C17" s="487">
        <v>2433</v>
      </c>
      <c r="D17" s="488">
        <v>2433</v>
      </c>
      <c r="E17" s="516">
        <v>988</v>
      </c>
      <c r="F17" s="499">
        <f t="shared" si="0"/>
        <v>29640</v>
      </c>
      <c r="G17" s="499">
        <v>9360</v>
      </c>
      <c r="H17" s="499">
        <v>8820</v>
      </c>
      <c r="I17" s="499">
        <v>8640</v>
      </c>
      <c r="J17" s="500">
        <f t="shared" si="4"/>
        <v>26820</v>
      </c>
      <c r="K17" s="499">
        <f t="shared" si="5"/>
        <v>2820</v>
      </c>
      <c r="L17" s="500">
        <f t="shared" si="6"/>
        <v>26820</v>
      </c>
      <c r="M17" s="499" t="s">
        <v>192</v>
      </c>
      <c r="N17" s="501">
        <f t="shared" si="12"/>
        <v>3.7474486476211273</v>
      </c>
      <c r="O17" s="517">
        <f t="shared" si="1"/>
        <v>100507</v>
      </c>
      <c r="P17" s="492"/>
      <c r="Q17" s="1149">
        <v>11347.644787644787</v>
      </c>
      <c r="R17" s="1149">
        <v>10624.09090909091</v>
      </c>
      <c r="S17" s="1149">
        <v>9896.6477732793519</v>
      </c>
      <c r="T17" s="499">
        <v>0.2036</v>
      </c>
      <c r="U17" s="502">
        <f t="shared" si="7"/>
        <v>6488.4028744950638</v>
      </c>
      <c r="V17" s="492"/>
      <c r="W17" s="432">
        <v>180.6949806949807</v>
      </c>
      <c r="X17" s="432">
        <v>200.45454545454547</v>
      </c>
      <c r="Y17" s="432">
        <v>664.61538461538464</v>
      </c>
      <c r="Z17" s="499">
        <v>1.7611399999999999</v>
      </c>
      <c r="AA17" s="503">
        <f t="shared" si="8"/>
        <v>1841.7384149445149</v>
      </c>
      <c r="AB17" s="488"/>
      <c r="AC17" s="504"/>
      <c r="AD17" s="505"/>
      <c r="AE17" s="518"/>
      <c r="AF17" s="505"/>
      <c r="AG17" s="519"/>
      <c r="AH17" s="488"/>
      <c r="AI17" s="520"/>
      <c r="AJ17" s="521"/>
      <c r="AK17" s="522">
        <f t="shared" si="2"/>
        <v>0</v>
      </c>
      <c r="AL17" s="488"/>
      <c r="AM17" s="1150">
        <v>722.7799227799228</v>
      </c>
      <c r="AN17" s="1150">
        <v>400.90909090909093</v>
      </c>
      <c r="AO17" s="1150">
        <v>166.15384615384616</v>
      </c>
      <c r="AP17" s="499">
        <v>0.2036</v>
      </c>
      <c r="AQ17" s="502">
        <f t="shared" si="9"/>
        <v>262.61200626400631</v>
      </c>
      <c r="AR17" s="488"/>
      <c r="AS17" s="523">
        <f t="shared" si="10"/>
        <v>109099.75329570359</v>
      </c>
      <c r="AT17" s="497"/>
      <c r="AU17" s="512"/>
      <c r="AV17" s="512"/>
      <c r="AW17" s="512">
        <f t="shared" si="11"/>
        <v>109099.75329570359</v>
      </c>
      <c r="AY17" s="513"/>
      <c r="AZ17" s="514"/>
      <c r="BA17" s="428">
        <f t="shared" si="3"/>
        <v>26</v>
      </c>
    </row>
    <row r="18" spans="1:53" ht="15" x14ac:dyDescent="0.25">
      <c r="A18" s="486" t="s">
        <v>188</v>
      </c>
      <c r="B18" s="439" t="s">
        <v>202</v>
      </c>
      <c r="C18" s="487">
        <v>2447</v>
      </c>
      <c r="D18" s="488">
        <v>2447</v>
      </c>
      <c r="E18" s="516">
        <v>988</v>
      </c>
      <c r="F18" s="499">
        <f t="shared" si="0"/>
        <v>29640</v>
      </c>
      <c r="G18" s="499">
        <v>10800</v>
      </c>
      <c r="H18" s="499">
        <v>9450</v>
      </c>
      <c r="I18" s="499">
        <v>10800</v>
      </c>
      <c r="J18" s="500">
        <f t="shared" si="4"/>
        <v>31050</v>
      </c>
      <c r="K18" s="499">
        <f t="shared" si="5"/>
        <v>-1410</v>
      </c>
      <c r="L18" s="500">
        <f t="shared" si="6"/>
        <v>31050</v>
      </c>
      <c r="M18" s="499" t="s">
        <v>192</v>
      </c>
      <c r="N18" s="501">
        <f t="shared" si="12"/>
        <v>3.7474486476211273</v>
      </c>
      <c r="O18" s="517">
        <f t="shared" si="1"/>
        <v>116358</v>
      </c>
      <c r="P18" s="492"/>
      <c r="Q18" s="1149">
        <v>11160.000000000002</v>
      </c>
      <c r="R18" s="1149">
        <v>9847.894736842105</v>
      </c>
      <c r="S18" s="1149">
        <v>15811.578947368418</v>
      </c>
      <c r="T18" s="499">
        <v>0.2036</v>
      </c>
      <c r="U18" s="502">
        <f t="shared" si="7"/>
        <v>7496.444842105263</v>
      </c>
      <c r="V18" s="492"/>
      <c r="W18" s="432">
        <v>0</v>
      </c>
      <c r="X18" s="432">
        <v>0</v>
      </c>
      <c r="Y18" s="432">
        <v>0</v>
      </c>
      <c r="Z18" s="499">
        <v>1.7611399999999999</v>
      </c>
      <c r="AA18" s="503">
        <f t="shared" si="8"/>
        <v>0</v>
      </c>
      <c r="AB18" s="488"/>
      <c r="AC18" s="504"/>
      <c r="AD18" s="505"/>
      <c r="AE18" s="518"/>
      <c r="AF18" s="505"/>
      <c r="AG18" s="519"/>
      <c r="AH18" s="488"/>
      <c r="AI18" s="520"/>
      <c r="AJ18" s="521"/>
      <c r="AK18" s="522">
        <f t="shared" si="2"/>
        <v>0</v>
      </c>
      <c r="AL18" s="488"/>
      <c r="AM18" s="1150">
        <v>900</v>
      </c>
      <c r="AN18" s="1150">
        <v>0</v>
      </c>
      <c r="AO18" s="1150">
        <v>720</v>
      </c>
      <c r="AP18" s="499">
        <v>0.2036</v>
      </c>
      <c r="AQ18" s="502">
        <f t="shared" si="9"/>
        <v>329.83199999999999</v>
      </c>
      <c r="AR18" s="488"/>
      <c r="AS18" s="523">
        <f t="shared" si="10"/>
        <v>124184.27684210526</v>
      </c>
      <c r="AT18" s="497"/>
      <c r="AU18" s="512"/>
      <c r="AV18" s="512"/>
      <c r="AW18" s="512">
        <f t="shared" si="11"/>
        <v>124184.27684210526</v>
      </c>
      <c r="AY18" s="513"/>
      <c r="AZ18" s="514"/>
      <c r="BA18" s="428">
        <f t="shared" si="3"/>
        <v>26</v>
      </c>
    </row>
    <row r="19" spans="1:53" ht="15" x14ac:dyDescent="0.25">
      <c r="A19" s="486" t="s">
        <v>23</v>
      </c>
      <c r="B19" s="439" t="s">
        <v>203</v>
      </c>
      <c r="C19" s="487">
        <v>2512</v>
      </c>
      <c r="D19" s="488">
        <v>2512</v>
      </c>
      <c r="E19" s="516">
        <v>570</v>
      </c>
      <c r="F19" s="499">
        <f t="shared" si="0"/>
        <v>17100</v>
      </c>
      <c r="G19" s="499">
        <v>6120</v>
      </c>
      <c r="H19" s="499">
        <v>4200</v>
      </c>
      <c r="I19" s="499">
        <v>4500</v>
      </c>
      <c r="J19" s="500">
        <f t="shared" si="4"/>
        <v>14820</v>
      </c>
      <c r="K19" s="499">
        <f t="shared" si="5"/>
        <v>2280</v>
      </c>
      <c r="L19" s="500">
        <f t="shared" si="6"/>
        <v>14820</v>
      </c>
      <c r="M19" s="499" t="s">
        <v>192</v>
      </c>
      <c r="N19" s="501">
        <f t="shared" si="12"/>
        <v>3.7474486476211273</v>
      </c>
      <c r="O19" s="517">
        <f t="shared" si="1"/>
        <v>55537</v>
      </c>
      <c r="P19" s="492"/>
      <c r="Q19" s="1149">
        <v>307.53768844221105</v>
      </c>
      <c r="R19" s="1149">
        <v>164.0625</v>
      </c>
      <c r="S19" s="1149">
        <v>1441.1618669314798</v>
      </c>
      <c r="T19" s="499">
        <v>0.2036</v>
      </c>
      <c r="U19" s="502">
        <f t="shared" si="7"/>
        <v>389.43835447408344</v>
      </c>
      <c r="V19" s="492"/>
      <c r="W19" s="432">
        <v>0</v>
      </c>
      <c r="X19" s="432">
        <v>0</v>
      </c>
      <c r="Y19" s="432">
        <v>0</v>
      </c>
      <c r="Z19" s="499">
        <v>1.7611399999999999</v>
      </c>
      <c r="AA19" s="503">
        <f t="shared" si="8"/>
        <v>0</v>
      </c>
      <c r="AB19" s="488"/>
      <c r="AC19" s="504"/>
      <c r="AD19" s="505"/>
      <c r="AE19" s="518"/>
      <c r="AF19" s="505"/>
      <c r="AG19" s="519"/>
      <c r="AH19" s="488"/>
      <c r="AI19" s="520"/>
      <c r="AJ19" s="521"/>
      <c r="AK19" s="522">
        <f t="shared" si="2"/>
        <v>0</v>
      </c>
      <c r="AL19" s="488"/>
      <c r="AM19" s="1150">
        <v>2306.5326633165832</v>
      </c>
      <c r="AN19" s="1150">
        <v>820.3125</v>
      </c>
      <c r="AO19" s="1150">
        <v>1273.5849056603772</v>
      </c>
      <c r="AP19" s="499">
        <v>0.2036</v>
      </c>
      <c r="AQ19" s="502">
        <f t="shared" si="9"/>
        <v>895.92756204370926</v>
      </c>
      <c r="AR19" s="488"/>
      <c r="AS19" s="523">
        <f t="shared" si="10"/>
        <v>56822.365916517796</v>
      </c>
      <c r="AT19" s="497"/>
      <c r="AU19" s="512"/>
      <c r="AV19" s="512"/>
      <c r="AW19" s="512">
        <f t="shared" si="11"/>
        <v>56822.365916517796</v>
      </c>
      <c r="AY19" s="513"/>
      <c r="AZ19" s="514"/>
      <c r="BA19" s="428">
        <f t="shared" si="3"/>
        <v>15</v>
      </c>
    </row>
    <row r="20" spans="1:53" ht="15" x14ac:dyDescent="0.25">
      <c r="A20" s="486" t="s">
        <v>24</v>
      </c>
      <c r="B20" s="439" t="s">
        <v>204</v>
      </c>
      <c r="C20" s="487">
        <v>2456</v>
      </c>
      <c r="D20" s="488">
        <v>2456</v>
      </c>
      <c r="E20" s="516">
        <v>988</v>
      </c>
      <c r="F20" s="499">
        <f t="shared" si="0"/>
        <v>29640</v>
      </c>
      <c r="G20" s="499">
        <v>6120</v>
      </c>
      <c r="H20" s="499">
        <v>5460</v>
      </c>
      <c r="I20" s="499">
        <v>5400</v>
      </c>
      <c r="J20" s="500">
        <f t="shared" si="4"/>
        <v>16980</v>
      </c>
      <c r="K20" s="499">
        <f t="shared" si="5"/>
        <v>12660</v>
      </c>
      <c r="L20" s="500">
        <f t="shared" si="6"/>
        <v>16980</v>
      </c>
      <c r="M20" s="499" t="s">
        <v>192</v>
      </c>
      <c r="N20" s="501">
        <f t="shared" si="12"/>
        <v>3.7474486476211273</v>
      </c>
      <c r="O20" s="517">
        <f t="shared" si="1"/>
        <v>63632</v>
      </c>
      <c r="P20" s="492"/>
      <c r="Q20" s="1149">
        <v>2667.6923076923076</v>
      </c>
      <c r="R20" s="1149">
        <v>3003.0000000000005</v>
      </c>
      <c r="S20" s="1149">
        <v>2479.7368421052633</v>
      </c>
      <c r="T20" s="499">
        <v>0.2036</v>
      </c>
      <c r="U20" s="502">
        <f t="shared" si="7"/>
        <v>1659.4273748987857</v>
      </c>
      <c r="V20" s="492"/>
      <c r="W20" s="432">
        <v>156.92307692307691</v>
      </c>
      <c r="X20" s="432">
        <v>0</v>
      </c>
      <c r="Y20" s="432">
        <v>135</v>
      </c>
      <c r="Z20" s="499">
        <v>1.7611399999999999</v>
      </c>
      <c r="AA20" s="503">
        <f t="shared" si="8"/>
        <v>514.11740769230767</v>
      </c>
      <c r="AB20" s="488"/>
      <c r="AC20" s="504"/>
      <c r="AD20" s="505"/>
      <c r="AE20" s="518"/>
      <c r="AF20" s="505"/>
      <c r="AG20" s="519"/>
      <c r="AH20" s="488"/>
      <c r="AI20" s="520"/>
      <c r="AJ20" s="521"/>
      <c r="AK20" s="522">
        <f t="shared" si="2"/>
        <v>0</v>
      </c>
      <c r="AL20" s="488"/>
      <c r="AM20" s="1150">
        <v>1883.0769230769231</v>
      </c>
      <c r="AN20" s="1150">
        <v>1365</v>
      </c>
      <c r="AO20" s="1150">
        <v>2835</v>
      </c>
      <c r="AP20" s="499">
        <v>0.2036</v>
      </c>
      <c r="AQ20" s="502">
        <f t="shared" si="9"/>
        <v>1238.5144615384615</v>
      </c>
      <c r="AR20" s="488"/>
      <c r="AS20" s="523">
        <f t="shared" si="10"/>
        <v>67044.059244129559</v>
      </c>
      <c r="AT20" s="497"/>
      <c r="AU20" s="512"/>
      <c r="AV20" s="512"/>
      <c r="AW20" s="512">
        <f t="shared" si="11"/>
        <v>67044.059244129559</v>
      </c>
      <c r="AY20" s="513"/>
      <c r="AZ20" s="514"/>
      <c r="BA20" s="428">
        <f t="shared" si="3"/>
        <v>26</v>
      </c>
    </row>
    <row r="21" spans="1:53" ht="15" x14ac:dyDescent="0.25">
      <c r="A21" s="486" t="s">
        <v>25</v>
      </c>
      <c r="B21" s="439" t="s">
        <v>206</v>
      </c>
      <c r="C21" s="487">
        <v>2449</v>
      </c>
      <c r="D21" s="488">
        <v>2449</v>
      </c>
      <c r="E21" s="516">
        <v>1482</v>
      </c>
      <c r="F21" s="499">
        <f t="shared" si="0"/>
        <v>44460</v>
      </c>
      <c r="G21" s="499">
        <v>14040</v>
      </c>
      <c r="H21" s="499">
        <v>16380</v>
      </c>
      <c r="I21" s="499">
        <v>14040</v>
      </c>
      <c r="J21" s="500">
        <f t="shared" si="4"/>
        <v>44460</v>
      </c>
      <c r="K21" s="499">
        <f t="shared" si="5"/>
        <v>0</v>
      </c>
      <c r="L21" s="500">
        <f t="shared" si="6"/>
        <v>44460</v>
      </c>
      <c r="M21" s="499" t="s">
        <v>192</v>
      </c>
      <c r="N21" s="501">
        <f>3.63829965788459/100*103</f>
        <v>3.7474486476211273</v>
      </c>
      <c r="O21" s="517">
        <f t="shared" si="1"/>
        <v>166612</v>
      </c>
      <c r="P21" s="492"/>
      <c r="Q21" s="1149">
        <v>7920</v>
      </c>
      <c r="R21" s="1149">
        <v>7925.8064516129034</v>
      </c>
      <c r="S21" s="1149">
        <v>8680.2323991797693</v>
      </c>
      <c r="T21" s="499">
        <v>0.2036</v>
      </c>
      <c r="U21" s="502">
        <f t="shared" si="7"/>
        <v>4993.5015100213886</v>
      </c>
      <c r="V21" s="492"/>
      <c r="W21" s="432">
        <v>360</v>
      </c>
      <c r="X21" s="432">
        <v>264.19354838709677</v>
      </c>
      <c r="Y21" s="432">
        <v>0</v>
      </c>
      <c r="Z21" s="499">
        <v>1.7611399999999999</v>
      </c>
      <c r="AA21" s="503">
        <f t="shared" si="8"/>
        <v>1099.2922258064516</v>
      </c>
      <c r="AB21" s="488"/>
      <c r="AC21" s="504"/>
      <c r="AD21" s="505"/>
      <c r="AE21" s="518"/>
      <c r="AF21" s="505"/>
      <c r="AG21" s="519"/>
      <c r="AH21" s="488"/>
      <c r="AI21" s="520"/>
      <c r="AJ21" s="521"/>
      <c r="AK21" s="522">
        <f t="shared" si="2"/>
        <v>0</v>
      </c>
      <c r="AL21" s="488"/>
      <c r="AM21" s="1150">
        <v>0</v>
      </c>
      <c r="AN21" s="1150">
        <v>792.58064516129025</v>
      </c>
      <c r="AO21" s="1150">
        <v>0</v>
      </c>
      <c r="AP21" s="499">
        <v>0.2036</v>
      </c>
      <c r="AQ21" s="502">
        <f t="shared" si="9"/>
        <v>161.3694193548387</v>
      </c>
      <c r="AR21" s="488"/>
      <c r="AS21" s="523">
        <f t="shared" si="10"/>
        <v>172866.16315518267</v>
      </c>
      <c r="AT21" s="497"/>
      <c r="AU21" s="512"/>
      <c r="AV21" s="512"/>
      <c r="AW21" s="512">
        <f t="shared" si="11"/>
        <v>172866.16315518267</v>
      </c>
      <c r="AY21" s="513"/>
      <c r="AZ21" s="514"/>
      <c r="BA21" s="428">
        <f t="shared" si="3"/>
        <v>39</v>
      </c>
    </row>
    <row r="22" spans="1:53" ht="15" x14ac:dyDescent="0.25">
      <c r="A22" s="486" t="s">
        <v>4</v>
      </c>
      <c r="B22" s="439" t="s">
        <v>207</v>
      </c>
      <c r="C22" s="487">
        <v>1006</v>
      </c>
      <c r="D22" s="488">
        <v>1006</v>
      </c>
      <c r="E22" s="516">
        <v>1976</v>
      </c>
      <c r="F22" s="499">
        <f t="shared" si="0"/>
        <v>59280</v>
      </c>
      <c r="G22" s="499">
        <v>11520</v>
      </c>
      <c r="H22" s="499">
        <v>8400</v>
      </c>
      <c r="I22" s="499">
        <v>9360</v>
      </c>
      <c r="J22" s="500">
        <f t="shared" si="4"/>
        <v>29280</v>
      </c>
      <c r="K22" s="499">
        <f t="shared" si="5"/>
        <v>30000</v>
      </c>
      <c r="L22" s="500">
        <f t="shared" si="6"/>
        <v>29280</v>
      </c>
      <c r="M22" s="499" t="s">
        <v>195</v>
      </c>
      <c r="N22" s="501">
        <v>5.5991996578845935</v>
      </c>
      <c r="O22" s="517">
        <f t="shared" si="1"/>
        <v>163945</v>
      </c>
      <c r="P22" s="492"/>
      <c r="Q22" s="1149">
        <v>8640</v>
      </c>
      <c r="R22" s="1149">
        <v>7360.8247422680415</v>
      </c>
      <c r="S22" s="1149">
        <v>16776.428997020852</v>
      </c>
      <c r="T22" s="499">
        <v>0.2036</v>
      </c>
      <c r="U22" s="502">
        <f t="shared" si="7"/>
        <v>6673.4488613192188</v>
      </c>
      <c r="V22" s="492"/>
      <c r="W22" s="432">
        <v>0</v>
      </c>
      <c r="X22" s="432">
        <v>0</v>
      </c>
      <c r="Y22" s="432">
        <v>176.60377358490567</v>
      </c>
      <c r="Z22" s="499">
        <v>1.7611399999999999</v>
      </c>
      <c r="AA22" s="503">
        <f t="shared" si="8"/>
        <v>311.02396981132074</v>
      </c>
      <c r="AB22" s="488"/>
      <c r="AC22" s="504">
        <v>142055</v>
      </c>
      <c r="AD22" s="505"/>
      <c r="AE22" s="518"/>
      <c r="AF22" s="505"/>
      <c r="AG22" s="519">
        <v>900.98</v>
      </c>
      <c r="AH22" s="488"/>
      <c r="AI22" s="520">
        <v>1</v>
      </c>
      <c r="AJ22" s="521">
        <v>100000</v>
      </c>
      <c r="AK22" s="522">
        <f t="shared" si="2"/>
        <v>100000</v>
      </c>
      <c r="AL22" s="488"/>
      <c r="AM22" s="1150">
        <v>1214.4578313253012</v>
      </c>
      <c r="AN22" s="1150">
        <v>1298.9690721649486</v>
      </c>
      <c r="AO22" s="1150">
        <v>953.66037735849056</v>
      </c>
      <c r="AP22" s="499">
        <v>0.2036</v>
      </c>
      <c r="AQ22" s="502">
        <f t="shared" si="9"/>
        <v>705.89897038080358</v>
      </c>
      <c r="AR22" s="488"/>
      <c r="AS22" s="523">
        <f t="shared" si="10"/>
        <v>414591.35180151131</v>
      </c>
      <c r="AT22" s="497"/>
      <c r="AU22" s="512"/>
      <c r="AV22" s="524">
        <v>11565.779999999999</v>
      </c>
      <c r="AW22" s="512">
        <f t="shared" si="11"/>
        <v>426157.13180151128</v>
      </c>
      <c r="AY22" s="513"/>
      <c r="AZ22" s="514"/>
      <c r="BA22" s="428">
        <f t="shared" si="3"/>
        <v>52</v>
      </c>
    </row>
    <row r="23" spans="1:53" ht="15" x14ac:dyDescent="0.25">
      <c r="A23" s="486" t="s">
        <v>27</v>
      </c>
      <c r="B23" s="439" t="s">
        <v>208</v>
      </c>
      <c r="C23" s="487">
        <v>2467</v>
      </c>
      <c r="D23" s="488">
        <v>2467</v>
      </c>
      <c r="E23" s="516">
        <v>988</v>
      </c>
      <c r="F23" s="499">
        <f t="shared" si="0"/>
        <v>29640</v>
      </c>
      <c r="G23" s="499">
        <v>9360</v>
      </c>
      <c r="H23" s="499">
        <v>7350</v>
      </c>
      <c r="I23" s="499">
        <v>6840</v>
      </c>
      <c r="J23" s="500">
        <f t="shared" si="4"/>
        <v>23550</v>
      </c>
      <c r="K23" s="499">
        <f t="shared" si="5"/>
        <v>6090</v>
      </c>
      <c r="L23" s="500">
        <f t="shared" si="6"/>
        <v>23550</v>
      </c>
      <c r="M23" s="499" t="s">
        <v>192</v>
      </c>
      <c r="N23" s="501">
        <f t="shared" ref="N23:N29" si="13">3.63829965788459/100*103</f>
        <v>3.7474486476211273</v>
      </c>
      <c r="O23" s="517">
        <f t="shared" si="1"/>
        <v>88252</v>
      </c>
      <c r="P23" s="492"/>
      <c r="Q23" s="1149">
        <v>8342.608695652174</v>
      </c>
      <c r="R23" s="1149">
        <v>7079.0725326991678</v>
      </c>
      <c r="S23" s="1149">
        <v>8326.6813186813179</v>
      </c>
      <c r="T23" s="499">
        <v>0.2036</v>
      </c>
      <c r="U23" s="502">
        <f t="shared" si="7"/>
        <v>4835.1666145758491</v>
      </c>
      <c r="V23" s="492"/>
      <c r="W23" s="432">
        <v>0</v>
      </c>
      <c r="X23" s="432">
        <v>0</v>
      </c>
      <c r="Y23" s="432">
        <v>150.32967032967034</v>
      </c>
      <c r="Z23" s="499">
        <v>1.7611399999999999</v>
      </c>
      <c r="AA23" s="503">
        <f t="shared" si="8"/>
        <v>264.75159560439562</v>
      </c>
      <c r="AB23" s="488"/>
      <c r="AC23" s="504"/>
      <c r="AD23" s="505"/>
      <c r="AE23" s="518"/>
      <c r="AF23" s="505"/>
      <c r="AG23" s="519"/>
      <c r="AH23" s="488"/>
      <c r="AI23" s="520"/>
      <c r="AJ23" s="521"/>
      <c r="AK23" s="522">
        <f t="shared" si="2"/>
        <v>0</v>
      </c>
      <c r="AL23" s="488"/>
      <c r="AM23" s="1150">
        <v>203.47826086956522</v>
      </c>
      <c r="AN23" s="1150">
        <v>262.18787158145062</v>
      </c>
      <c r="AO23" s="1150">
        <v>90.197802197802204</v>
      </c>
      <c r="AP23" s="499">
        <v>0.2036</v>
      </c>
      <c r="AQ23" s="502">
        <f t="shared" si="9"/>
        <v>113.17389709449935</v>
      </c>
      <c r="AR23" s="488"/>
      <c r="AS23" s="523">
        <f t="shared" si="10"/>
        <v>93465.092107274744</v>
      </c>
      <c r="AT23" s="497"/>
      <c r="AU23" s="512"/>
      <c r="AV23" s="512"/>
      <c r="AW23" s="512">
        <f t="shared" si="11"/>
        <v>93465.092107274744</v>
      </c>
      <c r="AY23" s="513"/>
      <c r="AZ23" s="514"/>
      <c r="BA23" s="428">
        <f t="shared" si="3"/>
        <v>26</v>
      </c>
    </row>
    <row r="24" spans="1:53" ht="15" x14ac:dyDescent="0.25">
      <c r="A24" s="528" t="s">
        <v>30</v>
      </c>
      <c r="B24" s="437" t="s">
        <v>209</v>
      </c>
      <c r="C24" s="529">
        <v>2451</v>
      </c>
      <c r="D24" s="488">
        <v>2451</v>
      </c>
      <c r="E24" s="516">
        <v>988</v>
      </c>
      <c r="F24" s="499">
        <f t="shared" si="0"/>
        <v>29640</v>
      </c>
      <c r="G24" s="499">
        <v>9360</v>
      </c>
      <c r="H24" s="499">
        <v>10920</v>
      </c>
      <c r="I24" s="499">
        <v>9360</v>
      </c>
      <c r="J24" s="500">
        <f t="shared" si="4"/>
        <v>29640</v>
      </c>
      <c r="K24" s="499">
        <f t="shared" si="5"/>
        <v>0</v>
      </c>
      <c r="L24" s="500">
        <f t="shared" si="6"/>
        <v>29640</v>
      </c>
      <c r="M24" s="499" t="s">
        <v>192</v>
      </c>
      <c r="N24" s="501">
        <f t="shared" si="13"/>
        <v>3.7474486476211273</v>
      </c>
      <c r="O24" s="517">
        <f t="shared" si="1"/>
        <v>111074</v>
      </c>
      <c r="P24" s="492"/>
      <c r="Q24" s="1149">
        <v>6264.5669291338581</v>
      </c>
      <c r="R24" s="1149">
        <v>5670.0000000000009</v>
      </c>
      <c r="S24" s="1149">
        <v>7571.3684210526326</v>
      </c>
      <c r="T24" s="499">
        <v>0.2036</v>
      </c>
      <c r="U24" s="502">
        <f t="shared" si="7"/>
        <v>3971.4084372979701</v>
      </c>
      <c r="V24" s="492"/>
      <c r="W24" s="432">
        <v>0</v>
      </c>
      <c r="X24" s="432">
        <v>420</v>
      </c>
      <c r="Y24" s="432">
        <v>0</v>
      </c>
      <c r="Z24" s="499">
        <v>1.7611399999999999</v>
      </c>
      <c r="AA24" s="503">
        <f t="shared" si="8"/>
        <v>739.67880000000002</v>
      </c>
      <c r="AB24" s="488"/>
      <c r="AC24" s="504"/>
      <c r="AD24" s="505"/>
      <c r="AE24" s="518"/>
      <c r="AF24" s="505"/>
      <c r="AG24" s="519"/>
      <c r="AH24" s="488"/>
      <c r="AI24" s="520"/>
      <c r="AJ24" s="521"/>
      <c r="AK24" s="522">
        <f t="shared" si="2"/>
        <v>0</v>
      </c>
      <c r="AL24" s="488"/>
      <c r="AM24" s="1150">
        <v>0</v>
      </c>
      <c r="AN24" s="1150">
        <v>0</v>
      </c>
      <c r="AO24" s="1150">
        <v>180</v>
      </c>
      <c r="AP24" s="499">
        <v>0.2036</v>
      </c>
      <c r="AQ24" s="502">
        <f t="shared" si="9"/>
        <v>36.648000000000003</v>
      </c>
      <c r="AR24" s="488"/>
      <c r="AS24" s="523">
        <f t="shared" si="10"/>
        <v>115821.73523729797</v>
      </c>
      <c r="AT24" s="497"/>
      <c r="AU24" s="512"/>
      <c r="AV24" s="512"/>
      <c r="AW24" s="512">
        <f t="shared" si="11"/>
        <v>115821.73523729797</v>
      </c>
      <c r="AY24" s="513"/>
      <c r="AZ24" s="514"/>
      <c r="BA24" s="428">
        <f t="shared" si="3"/>
        <v>26</v>
      </c>
    </row>
    <row r="25" spans="1:53" ht="15" x14ac:dyDescent="0.25">
      <c r="A25" s="486" t="s">
        <v>32</v>
      </c>
      <c r="B25" s="439" t="s">
        <v>210</v>
      </c>
      <c r="C25" s="487">
        <v>2619</v>
      </c>
      <c r="D25" s="488">
        <v>2619</v>
      </c>
      <c r="E25" s="516">
        <v>1482</v>
      </c>
      <c r="F25" s="499">
        <f t="shared" si="0"/>
        <v>44460</v>
      </c>
      <c r="G25" s="499">
        <v>9000</v>
      </c>
      <c r="H25" s="499">
        <v>6720</v>
      </c>
      <c r="I25" s="499">
        <v>6300</v>
      </c>
      <c r="J25" s="500">
        <f t="shared" si="4"/>
        <v>22020</v>
      </c>
      <c r="K25" s="499">
        <f t="shared" si="5"/>
        <v>22440</v>
      </c>
      <c r="L25" s="500">
        <f t="shared" si="6"/>
        <v>22020</v>
      </c>
      <c r="M25" s="499" t="s">
        <v>192</v>
      </c>
      <c r="N25" s="501">
        <f t="shared" si="13"/>
        <v>3.7474486476211273</v>
      </c>
      <c r="O25" s="517">
        <f t="shared" si="1"/>
        <v>82519</v>
      </c>
      <c r="P25" s="492"/>
      <c r="Q25" s="1149">
        <v>25500</v>
      </c>
      <c r="R25" s="1149">
        <v>17992.258064516129</v>
      </c>
      <c r="S25" s="1149">
        <v>20918.486842105263</v>
      </c>
      <c r="T25" s="499">
        <v>0.2036</v>
      </c>
      <c r="U25" s="502">
        <f t="shared" si="7"/>
        <v>13114.027662988115</v>
      </c>
      <c r="V25" s="492"/>
      <c r="W25" s="432">
        <v>545.4545454545455</v>
      </c>
      <c r="X25" s="432">
        <v>216.7741935483871</v>
      </c>
      <c r="Y25" s="432">
        <v>787.5</v>
      </c>
      <c r="Z25" s="499">
        <v>1.7611399999999999</v>
      </c>
      <c r="AA25" s="503">
        <f t="shared" si="8"/>
        <v>2729.2892714076247</v>
      </c>
      <c r="AB25" s="488"/>
      <c r="AC25" s="504"/>
      <c r="AD25" s="505"/>
      <c r="AE25" s="518"/>
      <c r="AF25" s="505"/>
      <c r="AG25" s="519"/>
      <c r="AH25" s="488"/>
      <c r="AI25" s="520"/>
      <c r="AJ25" s="521"/>
      <c r="AK25" s="522">
        <f t="shared" si="2"/>
        <v>0</v>
      </c>
      <c r="AL25" s="488"/>
      <c r="AM25" s="1150">
        <v>1227.2727272727273</v>
      </c>
      <c r="AN25" s="1150">
        <v>867.09677419354841</v>
      </c>
      <c r="AO25" s="1150">
        <v>2887.5</v>
      </c>
      <c r="AP25" s="499">
        <v>0.2036</v>
      </c>
      <c r="AQ25" s="502">
        <f t="shared" si="9"/>
        <v>1014.3086304985337</v>
      </c>
      <c r="AR25" s="488"/>
      <c r="AS25" s="523">
        <f t="shared" si="10"/>
        <v>99376.625564894275</v>
      </c>
      <c r="AT25" s="497"/>
      <c r="AU25" s="512"/>
      <c r="AV25" s="512"/>
      <c r="AW25" s="512">
        <f t="shared" si="11"/>
        <v>99376.625564894275</v>
      </c>
      <c r="AY25" s="513"/>
      <c r="AZ25" s="514"/>
      <c r="BA25" s="428">
        <f t="shared" si="3"/>
        <v>39</v>
      </c>
    </row>
    <row r="26" spans="1:53" ht="15" x14ac:dyDescent="0.25">
      <c r="A26" s="486" t="s">
        <v>33</v>
      </c>
      <c r="B26" s="439" t="s">
        <v>211</v>
      </c>
      <c r="C26" s="487">
        <v>2518</v>
      </c>
      <c r="D26" s="488">
        <v>2518</v>
      </c>
      <c r="E26" s="516">
        <v>1482</v>
      </c>
      <c r="F26" s="499">
        <f t="shared" si="0"/>
        <v>44460</v>
      </c>
      <c r="G26" s="499">
        <v>2700</v>
      </c>
      <c r="H26" s="499">
        <v>1260</v>
      </c>
      <c r="I26" s="499">
        <v>1080</v>
      </c>
      <c r="J26" s="500">
        <f t="shared" si="4"/>
        <v>5040</v>
      </c>
      <c r="K26" s="499">
        <f t="shared" si="5"/>
        <v>39420</v>
      </c>
      <c r="L26" s="500">
        <f t="shared" si="6"/>
        <v>5040</v>
      </c>
      <c r="M26" s="499" t="s">
        <v>192</v>
      </c>
      <c r="N26" s="501">
        <f t="shared" si="13"/>
        <v>3.7474486476211273</v>
      </c>
      <c r="O26" s="517">
        <f t="shared" si="1"/>
        <v>18887</v>
      </c>
      <c r="P26" s="492"/>
      <c r="Q26" s="1149">
        <v>4628.5714285714284</v>
      </c>
      <c r="R26" s="1149">
        <v>2749.090909090909</v>
      </c>
      <c r="S26" s="1149">
        <v>6217.105263157895</v>
      </c>
      <c r="T26" s="499">
        <v>0.2036</v>
      </c>
      <c r="U26" s="502">
        <f t="shared" si="7"/>
        <v>2767.8946835269994</v>
      </c>
      <c r="V26" s="492"/>
      <c r="W26" s="432">
        <v>257.14285714285711</v>
      </c>
      <c r="X26" s="432">
        <v>229.09090909090909</v>
      </c>
      <c r="Y26" s="432">
        <v>405</v>
      </c>
      <c r="Z26" s="499">
        <v>1.7611399999999999</v>
      </c>
      <c r="AA26" s="503">
        <f t="shared" si="8"/>
        <v>1569.5874350649351</v>
      </c>
      <c r="AB26" s="488"/>
      <c r="AC26" s="504"/>
      <c r="AD26" s="505"/>
      <c r="AE26" s="518"/>
      <c r="AF26" s="505"/>
      <c r="AG26" s="519"/>
      <c r="AH26" s="488"/>
      <c r="AI26" s="520"/>
      <c r="AJ26" s="521"/>
      <c r="AK26" s="522">
        <f t="shared" si="2"/>
        <v>0</v>
      </c>
      <c r="AL26" s="488"/>
      <c r="AM26" s="1150">
        <v>1028.5714285714284</v>
      </c>
      <c r="AN26" s="1150">
        <v>458.18181818181819</v>
      </c>
      <c r="AO26" s="1150">
        <v>1620</v>
      </c>
      <c r="AP26" s="499">
        <v>0.2036</v>
      </c>
      <c r="AQ26" s="502">
        <f t="shared" si="9"/>
        <v>632.534961038961</v>
      </c>
      <c r="AR26" s="488"/>
      <c r="AS26" s="523">
        <f t="shared" si="10"/>
        <v>23857.017079630896</v>
      </c>
      <c r="AT26" s="497"/>
      <c r="AU26" s="512"/>
      <c r="AV26" s="512"/>
      <c r="AW26" s="512">
        <f t="shared" si="11"/>
        <v>23857.017079630896</v>
      </c>
      <c r="AY26" s="513"/>
      <c r="AZ26" s="514"/>
      <c r="BA26" s="428">
        <f t="shared" si="3"/>
        <v>39</v>
      </c>
    </row>
    <row r="27" spans="1:53" ht="15" x14ac:dyDescent="0.25">
      <c r="A27" s="486" t="s">
        <v>695</v>
      </c>
      <c r="B27" s="439" t="s">
        <v>696</v>
      </c>
      <c r="C27" s="487">
        <v>2010</v>
      </c>
      <c r="D27" s="488">
        <v>2010</v>
      </c>
      <c r="E27" s="516">
        <v>988</v>
      </c>
      <c r="F27" s="499">
        <f t="shared" si="0"/>
        <v>29640</v>
      </c>
      <c r="G27" s="499">
        <v>9360</v>
      </c>
      <c r="H27" s="499">
        <v>7140</v>
      </c>
      <c r="I27" s="499">
        <v>6120</v>
      </c>
      <c r="J27" s="500">
        <f t="shared" si="4"/>
        <v>22620</v>
      </c>
      <c r="K27" s="499">
        <f t="shared" si="5"/>
        <v>7020</v>
      </c>
      <c r="L27" s="500">
        <f t="shared" si="6"/>
        <v>22620</v>
      </c>
      <c r="M27" s="499" t="s">
        <v>192</v>
      </c>
      <c r="N27" s="501">
        <f t="shared" si="13"/>
        <v>3.7474486476211273</v>
      </c>
      <c r="O27" s="517">
        <f t="shared" si="1"/>
        <v>84767</v>
      </c>
      <c r="P27" s="492"/>
      <c r="Q27" s="1149">
        <v>22201.73913043478</v>
      </c>
      <c r="R27" s="1149">
        <v>14554.615384615383</v>
      </c>
      <c r="S27" s="1149">
        <v>14448.08711433757</v>
      </c>
      <c r="T27" s="499">
        <v>0.2036</v>
      </c>
      <c r="U27" s="502">
        <f t="shared" si="7"/>
        <v>10425.224315743342</v>
      </c>
      <c r="V27" s="492"/>
      <c r="W27" s="432">
        <v>678.26086956521738</v>
      </c>
      <c r="X27" s="432">
        <v>549.23076923076928</v>
      </c>
      <c r="Y27" s="432">
        <v>422.06896551724139</v>
      </c>
      <c r="Z27" s="499">
        <v>1.7611399999999999</v>
      </c>
      <c r="AA27" s="503">
        <f t="shared" si="8"/>
        <v>2905.1071626801981</v>
      </c>
      <c r="AB27" s="488"/>
      <c r="AC27" s="504"/>
      <c r="AD27" s="505"/>
      <c r="AE27" s="518"/>
      <c r="AF27" s="505"/>
      <c r="AG27" s="519"/>
      <c r="AH27" s="488"/>
      <c r="AI27" s="520"/>
      <c r="AJ27" s="521"/>
      <c r="AK27" s="522">
        <f t="shared" si="2"/>
        <v>0</v>
      </c>
      <c r="AL27" s="488"/>
      <c r="AM27" s="1150">
        <v>3843.478260869565</v>
      </c>
      <c r="AN27" s="1150">
        <v>823.84615384615392</v>
      </c>
      <c r="AO27" s="1150">
        <v>4389.5172413793107</v>
      </c>
      <c r="AP27" s="499">
        <v>0.2036</v>
      </c>
      <c r="AQ27" s="502">
        <f t="shared" si="9"/>
        <v>1843.9729611809482</v>
      </c>
      <c r="AR27" s="488"/>
      <c r="AS27" s="523">
        <f t="shared" si="10"/>
        <v>99941.304439604486</v>
      </c>
      <c r="AT27" s="497"/>
      <c r="AU27" s="512"/>
      <c r="AV27" s="512"/>
      <c r="AW27" s="512">
        <f t="shared" si="11"/>
        <v>99941.304439604486</v>
      </c>
      <c r="AY27" s="513"/>
      <c r="AZ27" s="514"/>
      <c r="BA27" s="428">
        <f t="shared" si="3"/>
        <v>26</v>
      </c>
    </row>
    <row r="28" spans="1:53" ht="15" x14ac:dyDescent="0.25">
      <c r="A28" s="486" t="s">
        <v>35</v>
      </c>
      <c r="B28" s="439" t="s">
        <v>212</v>
      </c>
      <c r="C28" s="487">
        <v>2002</v>
      </c>
      <c r="D28" s="488">
        <v>2002</v>
      </c>
      <c r="E28" s="516">
        <v>988</v>
      </c>
      <c r="F28" s="499">
        <f t="shared" si="0"/>
        <v>29640</v>
      </c>
      <c r="G28" s="499">
        <v>9360</v>
      </c>
      <c r="H28" s="499">
        <v>6720</v>
      </c>
      <c r="I28" s="499">
        <v>9000</v>
      </c>
      <c r="J28" s="500">
        <f t="shared" si="4"/>
        <v>25080</v>
      </c>
      <c r="K28" s="499">
        <f t="shared" si="5"/>
        <v>4560</v>
      </c>
      <c r="L28" s="500">
        <f t="shared" si="6"/>
        <v>25080</v>
      </c>
      <c r="M28" s="499" t="s">
        <v>192</v>
      </c>
      <c r="N28" s="501">
        <f t="shared" si="13"/>
        <v>3.7474486476211273</v>
      </c>
      <c r="O28" s="517">
        <f t="shared" si="1"/>
        <v>93986</v>
      </c>
      <c r="P28" s="492"/>
      <c r="Q28" s="1149">
        <v>550.58823529411768</v>
      </c>
      <c r="R28" s="1149">
        <v>630</v>
      </c>
      <c r="S28" s="1149">
        <v>779.6052631578948</v>
      </c>
      <c r="T28" s="499">
        <v>0.2036</v>
      </c>
      <c r="U28" s="502">
        <f t="shared" si="7"/>
        <v>399.09539628482975</v>
      </c>
      <c r="V28" s="492"/>
      <c r="W28" s="432">
        <v>550.58823529411768</v>
      </c>
      <c r="X28" s="432">
        <v>210</v>
      </c>
      <c r="Y28" s="432">
        <v>187.5</v>
      </c>
      <c r="Z28" s="499">
        <v>1.7611399999999999</v>
      </c>
      <c r="AA28" s="503">
        <f t="shared" si="8"/>
        <v>1669.7161147058823</v>
      </c>
      <c r="AB28" s="488"/>
      <c r="AC28" s="504"/>
      <c r="AD28" s="505"/>
      <c r="AE28" s="518"/>
      <c r="AF28" s="505"/>
      <c r="AG28" s="519"/>
      <c r="AH28" s="488"/>
      <c r="AI28" s="520"/>
      <c r="AJ28" s="521"/>
      <c r="AK28" s="522">
        <f t="shared" si="2"/>
        <v>0</v>
      </c>
      <c r="AL28" s="488"/>
      <c r="AM28" s="1150">
        <v>2752.9411764705883</v>
      </c>
      <c r="AN28" s="1150">
        <v>1470</v>
      </c>
      <c r="AO28" s="1150">
        <v>375</v>
      </c>
      <c r="AP28" s="499">
        <v>0.2036</v>
      </c>
      <c r="AQ28" s="502">
        <f t="shared" si="9"/>
        <v>936.14082352941182</v>
      </c>
      <c r="AR28" s="488"/>
      <c r="AS28" s="523">
        <f t="shared" si="10"/>
        <v>96990.952334520131</v>
      </c>
      <c r="AT28" s="497"/>
      <c r="AU28" s="512"/>
      <c r="AV28" s="512"/>
      <c r="AW28" s="512">
        <f t="shared" si="11"/>
        <v>96990.952334520131</v>
      </c>
      <c r="AY28" s="513"/>
      <c r="AZ28" s="514"/>
      <c r="BA28" s="428">
        <f t="shared" si="3"/>
        <v>26</v>
      </c>
    </row>
    <row r="29" spans="1:53" ht="15" x14ac:dyDescent="0.25">
      <c r="A29" s="486" t="s">
        <v>36</v>
      </c>
      <c r="B29" s="439" t="s">
        <v>213</v>
      </c>
      <c r="C29" s="487">
        <v>3544</v>
      </c>
      <c r="D29" s="488">
        <v>3544</v>
      </c>
      <c r="E29" s="516">
        <v>1140</v>
      </c>
      <c r="F29" s="499">
        <f t="shared" si="0"/>
        <v>34200</v>
      </c>
      <c r="G29" s="499">
        <v>10800</v>
      </c>
      <c r="H29" s="499">
        <v>9450</v>
      </c>
      <c r="I29" s="499">
        <v>10800</v>
      </c>
      <c r="J29" s="500">
        <f t="shared" si="4"/>
        <v>31050</v>
      </c>
      <c r="K29" s="499">
        <f t="shared" si="5"/>
        <v>3150</v>
      </c>
      <c r="L29" s="500">
        <f t="shared" si="6"/>
        <v>31050</v>
      </c>
      <c r="M29" s="499" t="s">
        <v>192</v>
      </c>
      <c r="N29" s="501">
        <f t="shared" si="13"/>
        <v>3.7474486476211273</v>
      </c>
      <c r="O29" s="517">
        <f t="shared" si="1"/>
        <v>116358</v>
      </c>
      <c r="P29" s="492"/>
      <c r="Q29" s="1149">
        <v>29880</v>
      </c>
      <c r="R29" s="1149">
        <v>26501.08695652174</v>
      </c>
      <c r="S29" s="1149">
        <v>33559.57894736842</v>
      </c>
      <c r="T29" s="499">
        <v>0.2036</v>
      </c>
      <c r="U29" s="502">
        <f t="shared" si="7"/>
        <v>18311.919578032037</v>
      </c>
      <c r="V29" s="492"/>
      <c r="W29" s="432">
        <v>180</v>
      </c>
      <c r="X29" s="432">
        <v>0</v>
      </c>
      <c r="Y29" s="432">
        <v>216</v>
      </c>
      <c r="Z29" s="499">
        <v>1.7611399999999999</v>
      </c>
      <c r="AA29" s="503">
        <f t="shared" si="8"/>
        <v>697.41143999999997</v>
      </c>
      <c r="AB29" s="488"/>
      <c r="AC29" s="504"/>
      <c r="AD29" s="505"/>
      <c r="AE29" s="518"/>
      <c r="AF29" s="505"/>
      <c r="AG29" s="519"/>
      <c r="AH29" s="488"/>
      <c r="AI29" s="520"/>
      <c r="AJ29" s="521"/>
      <c r="AK29" s="522">
        <f t="shared" si="2"/>
        <v>0</v>
      </c>
      <c r="AL29" s="488"/>
      <c r="AM29" s="1150">
        <v>9720</v>
      </c>
      <c r="AN29" s="1150">
        <v>8833.6956521739139</v>
      </c>
      <c r="AO29" s="1150">
        <v>10152</v>
      </c>
      <c r="AP29" s="499">
        <v>0.2036</v>
      </c>
      <c r="AQ29" s="502">
        <f t="shared" si="9"/>
        <v>5844.4796347826086</v>
      </c>
      <c r="AR29" s="488"/>
      <c r="AS29" s="523">
        <f t="shared" si="10"/>
        <v>141211.81065281463</v>
      </c>
      <c r="AT29" s="497"/>
      <c r="AU29" s="512"/>
      <c r="AV29" s="512"/>
      <c r="AW29" s="512">
        <f t="shared" si="11"/>
        <v>141211.81065281463</v>
      </c>
      <c r="AY29" s="513"/>
      <c r="AZ29" s="514"/>
      <c r="BA29" s="428">
        <f t="shared" si="3"/>
        <v>30</v>
      </c>
    </row>
    <row r="30" spans="1:53" ht="15" x14ac:dyDescent="0.25">
      <c r="A30" s="486" t="s">
        <v>5</v>
      </c>
      <c r="B30" s="439" t="s">
        <v>214</v>
      </c>
      <c r="C30" s="487">
        <v>1008</v>
      </c>
      <c r="D30" s="488">
        <v>1008</v>
      </c>
      <c r="E30" s="516">
        <v>1520</v>
      </c>
      <c r="F30" s="499">
        <f t="shared" si="0"/>
        <v>45600</v>
      </c>
      <c r="G30" s="499">
        <v>14400</v>
      </c>
      <c r="H30" s="499">
        <v>16590</v>
      </c>
      <c r="I30" s="499">
        <v>14400</v>
      </c>
      <c r="J30" s="500">
        <f t="shared" si="4"/>
        <v>45390</v>
      </c>
      <c r="K30" s="499">
        <f t="shared" si="5"/>
        <v>210</v>
      </c>
      <c r="L30" s="500">
        <f t="shared" si="6"/>
        <v>45390</v>
      </c>
      <c r="M30" s="499" t="s">
        <v>195</v>
      </c>
      <c r="N30" s="501">
        <v>5.5991996578845935</v>
      </c>
      <c r="O30" s="517">
        <f t="shared" si="1"/>
        <v>254148</v>
      </c>
      <c r="P30" s="492"/>
      <c r="Q30" s="1149">
        <v>37731.645569620254</v>
      </c>
      <c r="R30" s="1149">
        <v>46388.598726114651</v>
      </c>
      <c r="S30" s="1149">
        <v>40187.368421052626</v>
      </c>
      <c r="T30" s="499">
        <v>0.2036</v>
      </c>
      <c r="U30" s="502">
        <f t="shared" si="7"/>
        <v>25309.029949137945</v>
      </c>
      <c r="V30" s="492"/>
      <c r="W30" s="432">
        <v>1093.6708860759495</v>
      </c>
      <c r="X30" s="432">
        <v>1268.0254777070063</v>
      </c>
      <c r="Y30" s="432">
        <v>180</v>
      </c>
      <c r="Z30" s="499">
        <v>1.7611399999999999</v>
      </c>
      <c r="AA30" s="503">
        <f t="shared" si="8"/>
        <v>4476.2831341127148</v>
      </c>
      <c r="AB30" s="488"/>
      <c r="AC30" s="504"/>
      <c r="AD30" s="505"/>
      <c r="AE30" s="518"/>
      <c r="AF30" s="505"/>
      <c r="AG30" s="519">
        <v>20271.9375</v>
      </c>
      <c r="AH30" s="488"/>
      <c r="AI30" s="520">
        <v>1</v>
      </c>
      <c r="AJ30" s="521">
        <v>100000</v>
      </c>
      <c r="AK30" s="522">
        <f t="shared" si="2"/>
        <v>100000</v>
      </c>
      <c r="AL30" s="488"/>
      <c r="AM30" s="1150">
        <v>10754.430379746835</v>
      </c>
      <c r="AN30" s="1150">
        <v>0</v>
      </c>
      <c r="AO30" s="1150">
        <v>8100</v>
      </c>
      <c r="AP30" s="499">
        <v>0.2036</v>
      </c>
      <c r="AQ30" s="502">
        <f t="shared" si="9"/>
        <v>3838.7620253164555</v>
      </c>
      <c r="AR30" s="488"/>
      <c r="AS30" s="523">
        <f t="shared" si="10"/>
        <v>408044.01260856714</v>
      </c>
      <c r="AT30" s="497"/>
      <c r="AU30" s="512"/>
      <c r="AV30" s="524">
        <f>4670.58-123.5</f>
        <v>4547.08</v>
      </c>
      <c r="AW30" s="512">
        <f t="shared" si="11"/>
        <v>412591.09260856715</v>
      </c>
      <c r="AY30" s="513"/>
      <c r="AZ30" s="514"/>
      <c r="BA30" s="428">
        <f t="shared" si="3"/>
        <v>40</v>
      </c>
    </row>
    <row r="31" spans="1:53" ht="15" x14ac:dyDescent="0.25">
      <c r="A31" s="486" t="s">
        <v>697</v>
      </c>
      <c r="B31" s="439" t="s">
        <v>215</v>
      </c>
      <c r="C31" s="487">
        <v>2006</v>
      </c>
      <c r="D31" s="488">
        <v>2006</v>
      </c>
      <c r="E31" s="516">
        <v>988</v>
      </c>
      <c r="F31" s="499">
        <f t="shared" si="0"/>
        <v>29640</v>
      </c>
      <c r="G31" s="499">
        <v>9360</v>
      </c>
      <c r="H31" s="499">
        <v>8610</v>
      </c>
      <c r="I31" s="499">
        <v>9180</v>
      </c>
      <c r="J31" s="500">
        <f t="shared" si="4"/>
        <v>27150</v>
      </c>
      <c r="K31" s="499">
        <f t="shared" si="5"/>
        <v>2490</v>
      </c>
      <c r="L31" s="500">
        <f t="shared" si="6"/>
        <v>27150</v>
      </c>
      <c r="M31" s="499" t="s">
        <v>192</v>
      </c>
      <c r="N31" s="501">
        <f t="shared" ref="N31:N32" si="14">3.63829965788459/100*103</f>
        <v>3.7474486476211273</v>
      </c>
      <c r="O31" s="517">
        <f t="shared" si="1"/>
        <v>101743</v>
      </c>
      <c r="P31" s="492"/>
      <c r="Q31" s="1149">
        <v>195.81589958158995</v>
      </c>
      <c r="R31" s="1149">
        <v>0</v>
      </c>
      <c r="S31" s="1149">
        <v>1325.7852631578949</v>
      </c>
      <c r="T31" s="499">
        <v>0.2036</v>
      </c>
      <c r="U31" s="502">
        <f t="shared" si="7"/>
        <v>309.79799673375913</v>
      </c>
      <c r="V31" s="492"/>
      <c r="W31" s="432">
        <v>391.63179916317989</v>
      </c>
      <c r="X31" s="432">
        <v>0</v>
      </c>
      <c r="Y31" s="432">
        <v>0</v>
      </c>
      <c r="Z31" s="499">
        <v>1.7611399999999999</v>
      </c>
      <c r="AA31" s="503">
        <f t="shared" si="8"/>
        <v>689.71842677824259</v>
      </c>
      <c r="AB31" s="488"/>
      <c r="AC31" s="504"/>
      <c r="AD31" s="505"/>
      <c r="AE31" s="518"/>
      <c r="AF31" s="505"/>
      <c r="AG31" s="519"/>
      <c r="AH31" s="488"/>
      <c r="AI31" s="520"/>
      <c r="AJ31" s="521"/>
      <c r="AK31" s="522">
        <f t="shared" si="2"/>
        <v>0</v>
      </c>
      <c r="AL31" s="488"/>
      <c r="AM31" s="1150">
        <v>1762.3430962343095</v>
      </c>
      <c r="AN31" s="1150">
        <v>1283.2211538461538</v>
      </c>
      <c r="AO31" s="1150">
        <v>367.2</v>
      </c>
      <c r="AP31" s="499">
        <v>0.2036</v>
      </c>
      <c r="AQ31" s="502">
        <f t="shared" si="9"/>
        <v>694.83880131638227</v>
      </c>
      <c r="AR31" s="488"/>
      <c r="AS31" s="523">
        <f t="shared" si="10"/>
        <v>103437.35522482838</v>
      </c>
      <c r="AT31" s="497"/>
      <c r="AU31" s="512"/>
      <c r="AV31" s="512"/>
      <c r="AW31" s="512">
        <f t="shared" si="11"/>
        <v>103437.35522482838</v>
      </c>
      <c r="AY31" s="513"/>
      <c r="AZ31" s="514"/>
      <c r="BA31" s="428">
        <f t="shared" si="3"/>
        <v>26</v>
      </c>
    </row>
    <row r="32" spans="1:53" ht="15" x14ac:dyDescent="0.25">
      <c r="A32" s="486" t="s">
        <v>37</v>
      </c>
      <c r="B32" s="439" t="s">
        <v>216</v>
      </c>
      <c r="C32" s="487">
        <v>2434</v>
      </c>
      <c r="D32" s="488">
        <v>2434</v>
      </c>
      <c r="E32" s="516">
        <v>1976</v>
      </c>
      <c r="F32" s="499">
        <f t="shared" si="0"/>
        <v>59280</v>
      </c>
      <c r="G32" s="499">
        <v>18720</v>
      </c>
      <c r="H32" s="499">
        <v>16800</v>
      </c>
      <c r="I32" s="499">
        <v>16560</v>
      </c>
      <c r="J32" s="500">
        <f t="shared" si="4"/>
        <v>52080</v>
      </c>
      <c r="K32" s="499">
        <f t="shared" si="5"/>
        <v>7200</v>
      </c>
      <c r="L32" s="500">
        <f t="shared" si="6"/>
        <v>52080</v>
      </c>
      <c r="M32" s="499" t="s">
        <v>192</v>
      </c>
      <c r="N32" s="501">
        <f t="shared" si="14"/>
        <v>3.7474486476211273</v>
      </c>
      <c r="O32" s="517">
        <f t="shared" si="1"/>
        <v>195167</v>
      </c>
      <c r="P32" s="492"/>
      <c r="Q32" s="1149">
        <v>38434.782608695648</v>
      </c>
      <c r="R32" s="1149">
        <v>36265.682656826568</v>
      </c>
      <c r="S32" s="1149">
        <v>32597.052631578947</v>
      </c>
      <c r="T32" s="499">
        <v>0.2036</v>
      </c>
      <c r="U32" s="502">
        <f t="shared" si="7"/>
        <v>21845.774643849796</v>
      </c>
      <c r="V32" s="492"/>
      <c r="W32" s="432">
        <v>361.73913043478257</v>
      </c>
      <c r="X32" s="432">
        <v>206.64206642066421</v>
      </c>
      <c r="Y32" s="432">
        <v>522.9473684210526</v>
      </c>
      <c r="Z32" s="499">
        <v>1.7611399999999999</v>
      </c>
      <c r="AA32" s="503">
        <f t="shared" si="8"/>
        <v>1921.9823894510541</v>
      </c>
      <c r="AB32" s="488"/>
      <c r="AC32" s="504"/>
      <c r="AD32" s="505"/>
      <c r="AE32" s="518"/>
      <c r="AF32" s="505"/>
      <c r="AG32" s="519"/>
      <c r="AH32" s="488"/>
      <c r="AI32" s="520"/>
      <c r="AJ32" s="521"/>
      <c r="AK32" s="522">
        <f t="shared" si="2"/>
        <v>0</v>
      </c>
      <c r="AL32" s="488"/>
      <c r="AM32" s="1150">
        <v>1356.5217391304348</v>
      </c>
      <c r="AN32" s="1150">
        <v>1446.4944649446495</v>
      </c>
      <c r="AO32" s="1150">
        <v>1394.5263157894738</v>
      </c>
      <c r="AP32" s="499">
        <v>0.2036</v>
      </c>
      <c r="AQ32" s="502">
        <f t="shared" si="9"/>
        <v>854.619657044424</v>
      </c>
      <c r="AR32" s="488"/>
      <c r="AS32" s="523">
        <f t="shared" si="10"/>
        <v>219789.37669034526</v>
      </c>
      <c r="AT32" s="497"/>
      <c r="AU32" s="512"/>
      <c r="AV32" s="512"/>
      <c r="AW32" s="512">
        <f t="shared" si="11"/>
        <v>219789.37669034526</v>
      </c>
      <c r="AY32" s="513"/>
      <c r="AZ32" s="514"/>
      <c r="BA32" s="428">
        <f t="shared" si="3"/>
        <v>52</v>
      </c>
    </row>
    <row r="33" spans="1:53" ht="15" x14ac:dyDescent="0.25">
      <c r="A33" s="486" t="s">
        <v>6</v>
      </c>
      <c r="B33" s="439" t="s">
        <v>217</v>
      </c>
      <c r="C33" s="487">
        <v>1005</v>
      </c>
      <c r="D33" s="488">
        <v>1005</v>
      </c>
      <c r="E33" s="516">
        <v>1976</v>
      </c>
      <c r="F33" s="499">
        <f t="shared" si="0"/>
        <v>59280</v>
      </c>
      <c r="G33" s="499">
        <v>18720</v>
      </c>
      <c r="H33" s="499">
        <v>15750</v>
      </c>
      <c r="I33" s="499">
        <v>18720</v>
      </c>
      <c r="J33" s="500">
        <f t="shared" si="4"/>
        <v>53190</v>
      </c>
      <c r="K33" s="499">
        <f t="shared" si="5"/>
        <v>6090</v>
      </c>
      <c r="L33" s="500">
        <f t="shared" si="6"/>
        <v>53190</v>
      </c>
      <c r="M33" s="499" t="s">
        <v>195</v>
      </c>
      <c r="N33" s="501">
        <v>5.5991996578845935</v>
      </c>
      <c r="O33" s="517">
        <f t="shared" si="1"/>
        <v>297821</v>
      </c>
      <c r="P33" s="492"/>
      <c r="Q33" s="1149">
        <v>53100</v>
      </c>
      <c r="R33" s="1149">
        <v>46140.84507042254</v>
      </c>
      <c r="S33" s="1149">
        <v>46534.73684210526</v>
      </c>
      <c r="T33" s="499">
        <v>0.2036</v>
      </c>
      <c r="U33" s="502">
        <f t="shared" si="7"/>
        <v>29679.908477390658</v>
      </c>
      <c r="V33" s="492"/>
      <c r="W33" s="432">
        <v>1620</v>
      </c>
      <c r="X33" s="432">
        <v>1109.1549295774648</v>
      </c>
      <c r="Y33" s="432">
        <v>1260</v>
      </c>
      <c r="Z33" s="499">
        <v>1.7611399999999999</v>
      </c>
      <c r="AA33" s="503">
        <f t="shared" si="8"/>
        <v>7025.4603126760558</v>
      </c>
      <c r="AB33" s="488"/>
      <c r="AC33" s="504">
        <v>110000</v>
      </c>
      <c r="AD33" s="505"/>
      <c r="AE33" s="518"/>
      <c r="AF33" s="505"/>
      <c r="AG33" s="519">
        <v>900.98</v>
      </c>
      <c r="AH33" s="488"/>
      <c r="AI33" s="520">
        <v>1</v>
      </c>
      <c r="AJ33" s="521">
        <v>100000</v>
      </c>
      <c r="AK33" s="522">
        <f t="shared" si="2"/>
        <v>100000</v>
      </c>
      <c r="AL33" s="488"/>
      <c r="AM33" s="1150">
        <v>6300.0000000000009</v>
      </c>
      <c r="AN33" s="1150">
        <v>2883.8028169014087</v>
      </c>
      <c r="AO33" s="1150">
        <v>4860</v>
      </c>
      <c r="AP33" s="499">
        <v>0.2036</v>
      </c>
      <c r="AQ33" s="502">
        <f t="shared" si="9"/>
        <v>2859.3182535211272</v>
      </c>
      <c r="AR33" s="488"/>
      <c r="AS33" s="523">
        <f t="shared" si="10"/>
        <v>548286.66704358777</v>
      </c>
      <c r="AT33" s="497"/>
      <c r="AU33" s="512"/>
      <c r="AV33" s="524">
        <v>14834.369999999999</v>
      </c>
      <c r="AW33" s="512">
        <f t="shared" si="11"/>
        <v>563121.03704358777</v>
      </c>
      <c r="AY33" s="513"/>
      <c r="AZ33" s="514"/>
      <c r="BA33" s="428">
        <f t="shared" si="3"/>
        <v>52</v>
      </c>
    </row>
    <row r="34" spans="1:53" ht="15" x14ac:dyDescent="0.25">
      <c r="A34" s="486" t="s">
        <v>40</v>
      </c>
      <c r="B34" s="439" t="s">
        <v>218</v>
      </c>
      <c r="C34" s="487">
        <v>2452</v>
      </c>
      <c r="D34" s="488">
        <v>2452</v>
      </c>
      <c r="E34" s="516">
        <v>988</v>
      </c>
      <c r="F34" s="499">
        <f t="shared" si="0"/>
        <v>29640</v>
      </c>
      <c r="G34" s="499">
        <v>6300</v>
      </c>
      <c r="H34" s="499">
        <v>2940</v>
      </c>
      <c r="I34" s="499">
        <v>3060</v>
      </c>
      <c r="J34" s="500">
        <f t="shared" si="4"/>
        <v>12300</v>
      </c>
      <c r="K34" s="499">
        <f t="shared" si="5"/>
        <v>17340</v>
      </c>
      <c r="L34" s="500">
        <f t="shared" si="6"/>
        <v>12300</v>
      </c>
      <c r="M34" s="499" t="s">
        <v>192</v>
      </c>
      <c r="N34" s="501">
        <f t="shared" ref="N34:N48" si="15">3.63829965788459/100*103</f>
        <v>3.7474486476211273</v>
      </c>
      <c r="O34" s="517">
        <f t="shared" si="1"/>
        <v>46094</v>
      </c>
      <c r="P34" s="492"/>
      <c r="Q34" s="1149">
        <v>5154.545454545455</v>
      </c>
      <c r="R34" s="1149">
        <v>2352</v>
      </c>
      <c r="S34" s="1149">
        <v>7042.9554655870452</v>
      </c>
      <c r="T34" s="499">
        <v>0.2036</v>
      </c>
      <c r="U34" s="502">
        <f t="shared" si="7"/>
        <v>2962.2783873389772</v>
      </c>
      <c r="V34" s="492"/>
      <c r="W34" s="432">
        <v>286.36363636363637</v>
      </c>
      <c r="X34" s="432">
        <v>117.60000000000001</v>
      </c>
      <c r="Y34" s="432">
        <v>117.69230769230769</v>
      </c>
      <c r="Z34" s="499">
        <v>1.7611399999999999</v>
      </c>
      <c r="AA34" s="503">
        <f t="shared" si="8"/>
        <v>918.70914931468542</v>
      </c>
      <c r="AB34" s="488"/>
      <c r="AC34" s="504"/>
      <c r="AD34" s="505"/>
      <c r="AE34" s="518"/>
      <c r="AF34" s="505"/>
      <c r="AG34" s="519"/>
      <c r="AH34" s="488"/>
      <c r="AI34" s="520"/>
      <c r="AJ34" s="521"/>
      <c r="AK34" s="522">
        <f t="shared" si="2"/>
        <v>0</v>
      </c>
      <c r="AL34" s="488"/>
      <c r="AM34" s="1150">
        <v>572.72727272727275</v>
      </c>
      <c r="AN34" s="1150">
        <v>117.60000000000001</v>
      </c>
      <c r="AO34" s="1150">
        <v>470.76923076923077</v>
      </c>
      <c r="AP34" s="499">
        <v>0.2036</v>
      </c>
      <c r="AQ34" s="502">
        <f t="shared" si="9"/>
        <v>236.39924811188814</v>
      </c>
      <c r="AR34" s="488"/>
      <c r="AS34" s="523">
        <f t="shared" si="10"/>
        <v>50211.386784765549</v>
      </c>
      <c r="AT34" s="497"/>
      <c r="AU34" s="512"/>
      <c r="AV34" s="512"/>
      <c r="AW34" s="512">
        <f t="shared" si="11"/>
        <v>50211.386784765549</v>
      </c>
      <c r="AY34" s="513"/>
      <c r="AZ34" s="514"/>
      <c r="BA34" s="428">
        <f t="shared" si="3"/>
        <v>26</v>
      </c>
    </row>
    <row r="35" spans="1:53" ht="15" x14ac:dyDescent="0.25">
      <c r="A35" s="528" t="s">
        <v>43</v>
      </c>
      <c r="B35" s="437" t="s">
        <v>219</v>
      </c>
      <c r="C35" s="529">
        <v>2420</v>
      </c>
      <c r="D35" s="488">
        <v>2420</v>
      </c>
      <c r="E35" s="516">
        <v>1976</v>
      </c>
      <c r="F35" s="499">
        <f t="shared" si="0"/>
        <v>59280</v>
      </c>
      <c r="G35" s="499">
        <v>18720</v>
      </c>
      <c r="H35" s="499">
        <v>10500</v>
      </c>
      <c r="I35" s="499">
        <v>13140</v>
      </c>
      <c r="J35" s="500">
        <f t="shared" si="4"/>
        <v>42360</v>
      </c>
      <c r="K35" s="499">
        <f t="shared" si="5"/>
        <v>16920</v>
      </c>
      <c r="L35" s="500">
        <f t="shared" si="6"/>
        <v>42360</v>
      </c>
      <c r="M35" s="499" t="s">
        <v>192</v>
      </c>
      <c r="N35" s="501">
        <f t="shared" si="15"/>
        <v>3.7474486476211273</v>
      </c>
      <c r="O35" s="517">
        <f t="shared" si="1"/>
        <v>158742</v>
      </c>
      <c r="P35" s="492"/>
      <c r="Q35" s="1149">
        <v>55165.313496280556</v>
      </c>
      <c r="R35" s="1149">
        <v>31015.384615384617</v>
      </c>
      <c r="S35" s="1149">
        <v>36145.415345592897</v>
      </c>
      <c r="T35" s="499">
        <v>0.2036</v>
      </c>
      <c r="U35" s="502">
        <f t="shared" si="7"/>
        <v>24905.596699897742</v>
      </c>
      <c r="V35" s="492"/>
      <c r="W35" s="432">
        <v>795.74920297555798</v>
      </c>
      <c r="X35" s="432">
        <v>484.61538461538464</v>
      </c>
      <c r="Y35" s="432">
        <v>1108.1927710843372</v>
      </c>
      <c r="Z35" s="499">
        <v>1.7611399999999999</v>
      </c>
      <c r="AA35" s="503">
        <f t="shared" si="8"/>
        <v>4206.5839066573817</v>
      </c>
      <c r="AB35" s="488"/>
      <c r="AC35" s="504"/>
      <c r="AD35" s="505"/>
      <c r="AE35" s="518"/>
      <c r="AF35" s="505"/>
      <c r="AG35" s="519"/>
      <c r="AH35" s="488"/>
      <c r="AI35" s="520"/>
      <c r="AJ35" s="521"/>
      <c r="AK35" s="522">
        <f t="shared" si="2"/>
        <v>0</v>
      </c>
      <c r="AL35" s="488"/>
      <c r="AM35" s="1150">
        <v>7579.5111583421885</v>
      </c>
      <c r="AN35" s="1150">
        <v>4280.7692307692305</v>
      </c>
      <c r="AO35" s="1150">
        <v>4591.0843373493981</v>
      </c>
      <c r="AP35" s="499">
        <v>0.2036</v>
      </c>
      <c r="AQ35" s="502">
        <f t="shared" si="9"/>
        <v>3349.4978583074226</v>
      </c>
      <c r="AR35" s="488"/>
      <c r="AS35" s="523">
        <f t="shared" si="10"/>
        <v>191203.67846486255</v>
      </c>
      <c r="AT35" s="497"/>
      <c r="AU35" s="512"/>
      <c r="AV35" s="512"/>
      <c r="AW35" s="512">
        <f t="shared" si="11"/>
        <v>191203.67846486255</v>
      </c>
      <c r="AY35" s="513"/>
      <c r="AZ35" s="514"/>
      <c r="BA35" s="428">
        <f t="shared" si="3"/>
        <v>52</v>
      </c>
    </row>
    <row r="36" spans="1:53" ht="15" x14ac:dyDescent="0.25">
      <c r="A36" s="486" t="s">
        <v>623</v>
      </c>
      <c r="B36" s="439" t="s">
        <v>220</v>
      </c>
      <c r="C36" s="487">
        <v>2473</v>
      </c>
      <c r="D36" s="488">
        <v>2473</v>
      </c>
      <c r="E36" s="516">
        <v>1482</v>
      </c>
      <c r="F36" s="499">
        <f t="shared" si="0"/>
        <v>44460</v>
      </c>
      <c r="G36" s="499">
        <v>14040</v>
      </c>
      <c r="H36" s="499">
        <v>15750</v>
      </c>
      <c r="I36" s="499">
        <v>13680</v>
      </c>
      <c r="J36" s="500">
        <f t="shared" si="4"/>
        <v>43470</v>
      </c>
      <c r="K36" s="499">
        <f t="shared" si="5"/>
        <v>990</v>
      </c>
      <c r="L36" s="500">
        <f t="shared" si="6"/>
        <v>43470</v>
      </c>
      <c r="M36" s="499" t="s">
        <v>192</v>
      </c>
      <c r="N36" s="501">
        <f t="shared" si="15"/>
        <v>3.7474486476211273</v>
      </c>
      <c r="O36" s="517">
        <f t="shared" si="1"/>
        <v>162902</v>
      </c>
      <c r="P36" s="492"/>
      <c r="Q36" s="1149">
        <v>16775.064935064933</v>
      </c>
      <c r="R36" s="1149">
        <v>19611.290322580644</v>
      </c>
      <c r="S36" s="1149">
        <v>21705.600000000002</v>
      </c>
      <c r="T36" s="499">
        <v>0.2036</v>
      </c>
      <c r="U36" s="502">
        <f t="shared" si="7"/>
        <v>11827.522090456639</v>
      </c>
      <c r="V36" s="492"/>
      <c r="W36" s="432">
        <v>547.01298701298697</v>
      </c>
      <c r="X36" s="432">
        <v>609.67741935483878</v>
      </c>
      <c r="Y36" s="432">
        <v>182.4</v>
      </c>
      <c r="Z36" s="499">
        <v>1.7611399999999999</v>
      </c>
      <c r="AA36" s="503">
        <f t="shared" si="8"/>
        <v>2358.3256782706326</v>
      </c>
      <c r="AB36" s="488"/>
      <c r="AC36" s="504"/>
      <c r="AD36" s="505"/>
      <c r="AE36" s="518"/>
      <c r="AF36" s="505"/>
      <c r="AG36" s="519"/>
      <c r="AH36" s="488"/>
      <c r="AI36" s="520"/>
      <c r="AJ36" s="521"/>
      <c r="AK36" s="522">
        <f t="shared" si="2"/>
        <v>0</v>
      </c>
      <c r="AL36" s="488"/>
      <c r="AM36" s="1150">
        <v>729.35064935064941</v>
      </c>
      <c r="AN36" s="1150">
        <v>406.45161290322579</v>
      </c>
      <c r="AO36" s="1150">
        <v>547.20000000000005</v>
      </c>
      <c r="AP36" s="499">
        <v>0.2036</v>
      </c>
      <c r="AQ36" s="502">
        <f t="shared" si="9"/>
        <v>342.65926059488902</v>
      </c>
      <c r="AR36" s="488"/>
      <c r="AS36" s="523">
        <f t="shared" si="10"/>
        <v>177430.50702932215</v>
      </c>
      <c r="AT36" s="497"/>
      <c r="AU36" s="512"/>
      <c r="AV36" s="512"/>
      <c r="AW36" s="512">
        <f t="shared" si="11"/>
        <v>177430.50702932215</v>
      </c>
      <c r="AY36" s="513"/>
      <c r="AZ36" s="514"/>
      <c r="BA36" s="428">
        <f t="shared" si="3"/>
        <v>39</v>
      </c>
    </row>
    <row r="37" spans="1:53" ht="15" x14ac:dyDescent="0.25">
      <c r="A37" s="486" t="s">
        <v>45</v>
      </c>
      <c r="B37" s="439" t="s">
        <v>221</v>
      </c>
      <c r="C37" s="487">
        <v>2003</v>
      </c>
      <c r="D37" s="488">
        <v>2003</v>
      </c>
      <c r="E37" s="516">
        <v>988</v>
      </c>
      <c r="F37" s="499">
        <f t="shared" si="0"/>
        <v>29640</v>
      </c>
      <c r="G37" s="499">
        <v>9000</v>
      </c>
      <c r="H37" s="499">
        <v>7350</v>
      </c>
      <c r="I37" s="499">
        <v>8100</v>
      </c>
      <c r="J37" s="500">
        <f t="shared" si="4"/>
        <v>24450</v>
      </c>
      <c r="K37" s="499">
        <f t="shared" si="5"/>
        <v>5190</v>
      </c>
      <c r="L37" s="500">
        <f t="shared" si="6"/>
        <v>24450</v>
      </c>
      <c r="M37" s="499" t="s">
        <v>192</v>
      </c>
      <c r="N37" s="501">
        <f t="shared" si="15"/>
        <v>3.7474486476211273</v>
      </c>
      <c r="O37" s="517">
        <f t="shared" si="1"/>
        <v>91625</v>
      </c>
      <c r="P37" s="492"/>
      <c r="Q37" s="1149">
        <v>519.23076923076928</v>
      </c>
      <c r="R37" s="1149">
        <v>420</v>
      </c>
      <c r="S37" s="1149">
        <v>475.50607287449384</v>
      </c>
      <c r="T37" s="499">
        <v>0.2036</v>
      </c>
      <c r="U37" s="502">
        <f t="shared" si="7"/>
        <v>288.04042105263159</v>
      </c>
      <c r="V37" s="492"/>
      <c r="W37" s="432">
        <v>0</v>
      </c>
      <c r="X37" s="432">
        <v>0</v>
      </c>
      <c r="Y37" s="432">
        <v>0</v>
      </c>
      <c r="Z37" s="499">
        <v>1.7611399999999999</v>
      </c>
      <c r="AA37" s="503">
        <f t="shared" si="8"/>
        <v>0</v>
      </c>
      <c r="AB37" s="488"/>
      <c r="AC37" s="504"/>
      <c r="AD37" s="505"/>
      <c r="AE37" s="518"/>
      <c r="AF37" s="505"/>
      <c r="AG37" s="519"/>
      <c r="AH37" s="488"/>
      <c r="AI37" s="520"/>
      <c r="AJ37" s="521"/>
      <c r="AK37" s="522">
        <f t="shared" si="2"/>
        <v>0</v>
      </c>
      <c r="AL37" s="488"/>
      <c r="AM37" s="1150">
        <v>346.15384615384619</v>
      </c>
      <c r="AN37" s="1150">
        <v>1260</v>
      </c>
      <c r="AO37" s="1150">
        <v>0</v>
      </c>
      <c r="AP37" s="499">
        <v>0.2036</v>
      </c>
      <c r="AQ37" s="502">
        <f t="shared" si="9"/>
        <v>327.01292307692307</v>
      </c>
      <c r="AR37" s="488"/>
      <c r="AS37" s="523">
        <f t="shared" si="10"/>
        <v>92240.053344129556</v>
      </c>
      <c r="AT37" s="497"/>
      <c r="AU37" s="512"/>
      <c r="AV37" s="512"/>
      <c r="AW37" s="512">
        <f t="shared" si="11"/>
        <v>92240.053344129556</v>
      </c>
      <c r="AY37" s="513"/>
      <c r="AZ37" s="514"/>
      <c r="BA37" s="428">
        <f t="shared" si="3"/>
        <v>26</v>
      </c>
    </row>
    <row r="38" spans="1:53" ht="15" x14ac:dyDescent="0.25">
      <c r="A38" s="530" t="s">
        <v>102</v>
      </c>
      <c r="B38" s="439" t="s">
        <v>222</v>
      </c>
      <c r="C38" s="487">
        <v>2462</v>
      </c>
      <c r="D38" s="488">
        <v>2462</v>
      </c>
      <c r="E38" s="516">
        <v>988</v>
      </c>
      <c r="F38" s="499">
        <f t="shared" si="0"/>
        <v>29640</v>
      </c>
      <c r="G38" s="499">
        <v>9360</v>
      </c>
      <c r="H38" s="499">
        <v>7350</v>
      </c>
      <c r="I38" s="499">
        <v>8100</v>
      </c>
      <c r="J38" s="500">
        <f t="shared" si="4"/>
        <v>24810</v>
      </c>
      <c r="K38" s="499">
        <f t="shared" si="5"/>
        <v>4830</v>
      </c>
      <c r="L38" s="500">
        <f t="shared" si="6"/>
        <v>24810</v>
      </c>
      <c r="M38" s="499" t="s">
        <v>192</v>
      </c>
      <c r="N38" s="501">
        <f t="shared" si="15"/>
        <v>3.7474486476211273</v>
      </c>
      <c r="O38" s="517">
        <f t="shared" si="1"/>
        <v>92974</v>
      </c>
      <c r="P38" s="492"/>
      <c r="Q38" s="1149">
        <v>3240</v>
      </c>
      <c r="R38" s="1149">
        <v>4767.5675675675675</v>
      </c>
      <c r="S38" s="1149">
        <v>3231.4736842105267</v>
      </c>
      <c r="T38" s="499">
        <v>0.2036</v>
      </c>
      <c r="U38" s="502">
        <f t="shared" si="7"/>
        <v>2288.26879886202</v>
      </c>
      <c r="V38" s="492"/>
      <c r="W38" s="432">
        <v>0</v>
      </c>
      <c r="X38" s="432">
        <v>0</v>
      </c>
      <c r="Y38" s="432">
        <v>202.5</v>
      </c>
      <c r="Z38" s="499">
        <v>1.7611399999999999</v>
      </c>
      <c r="AA38" s="503">
        <f t="shared" si="8"/>
        <v>356.63085000000001</v>
      </c>
      <c r="AB38" s="488"/>
      <c r="AC38" s="504"/>
      <c r="AD38" s="505"/>
      <c r="AE38" s="518"/>
      <c r="AF38" s="505"/>
      <c r="AG38" s="519"/>
      <c r="AH38" s="488"/>
      <c r="AI38" s="520"/>
      <c r="AJ38" s="521"/>
      <c r="AK38" s="522">
        <f t="shared" si="2"/>
        <v>0</v>
      </c>
      <c r="AL38" s="488"/>
      <c r="AM38" s="1150">
        <v>1800</v>
      </c>
      <c r="AN38" s="1150">
        <v>1390.5405405405406</v>
      </c>
      <c r="AO38" s="1150">
        <v>2632.5</v>
      </c>
      <c r="AP38" s="499">
        <v>0.2036</v>
      </c>
      <c r="AQ38" s="502">
        <f t="shared" si="9"/>
        <v>1185.5710540540542</v>
      </c>
      <c r="AR38" s="488"/>
      <c r="AS38" s="523">
        <f t="shared" si="10"/>
        <v>96804.470702916078</v>
      </c>
      <c r="AT38" s="497"/>
      <c r="AU38" s="512"/>
      <c r="AV38" s="512"/>
      <c r="AW38" s="512">
        <f t="shared" si="11"/>
        <v>96804.470702916078</v>
      </c>
      <c r="AY38" s="513"/>
      <c r="AZ38" s="514"/>
      <c r="BA38" s="428">
        <f t="shared" si="3"/>
        <v>26</v>
      </c>
    </row>
    <row r="39" spans="1:53" ht="15" x14ac:dyDescent="0.25">
      <c r="A39" s="528" t="s">
        <v>51</v>
      </c>
      <c r="B39" s="531" t="s">
        <v>223</v>
      </c>
      <c r="C39" s="532">
        <v>2505</v>
      </c>
      <c r="D39" s="488">
        <v>2505</v>
      </c>
      <c r="E39" s="516">
        <v>1900</v>
      </c>
      <c r="F39" s="499">
        <f t="shared" si="0"/>
        <v>57000</v>
      </c>
      <c r="G39" s="499">
        <v>17280</v>
      </c>
      <c r="H39" s="499">
        <v>10500</v>
      </c>
      <c r="I39" s="499">
        <v>11700</v>
      </c>
      <c r="J39" s="500">
        <f t="shared" si="4"/>
        <v>39480</v>
      </c>
      <c r="K39" s="499">
        <f t="shared" si="5"/>
        <v>17520</v>
      </c>
      <c r="L39" s="500">
        <f t="shared" si="6"/>
        <v>39480</v>
      </c>
      <c r="M39" s="499" t="s">
        <v>192</v>
      </c>
      <c r="N39" s="501">
        <f t="shared" si="15"/>
        <v>3.7474486476211273</v>
      </c>
      <c r="O39" s="517">
        <f t="shared" si="1"/>
        <v>147949</v>
      </c>
      <c r="P39" s="492"/>
      <c r="Q39" s="1149">
        <v>25346.636155606408</v>
      </c>
      <c r="R39" s="1149">
        <v>16450</v>
      </c>
      <c r="S39" s="1149">
        <v>32028.63157894737</v>
      </c>
      <c r="T39" s="499">
        <v>0.2036</v>
      </c>
      <c r="U39" s="502">
        <f t="shared" si="7"/>
        <v>15030.82451075515</v>
      </c>
      <c r="V39" s="492"/>
      <c r="W39" s="432">
        <v>197.7116704805492</v>
      </c>
      <c r="X39" s="432">
        <v>175</v>
      </c>
      <c r="Y39" s="432">
        <v>540</v>
      </c>
      <c r="Z39" s="499">
        <v>1.7611399999999999</v>
      </c>
      <c r="AA39" s="503">
        <f t="shared" si="8"/>
        <v>1607.4130313501144</v>
      </c>
      <c r="AB39" s="488"/>
      <c r="AC39" s="504"/>
      <c r="AD39" s="505"/>
      <c r="AE39" s="518"/>
      <c r="AF39" s="505"/>
      <c r="AG39" s="519"/>
      <c r="AH39" s="488"/>
      <c r="AI39" s="520"/>
      <c r="AJ39" s="521"/>
      <c r="AK39" s="522">
        <f t="shared" si="2"/>
        <v>0</v>
      </c>
      <c r="AL39" s="488"/>
      <c r="AM39" s="1150">
        <v>7117.6201372997712</v>
      </c>
      <c r="AN39" s="1150">
        <v>4200</v>
      </c>
      <c r="AO39" s="1150">
        <v>5580</v>
      </c>
      <c r="AP39" s="499">
        <v>0.2036</v>
      </c>
      <c r="AQ39" s="502">
        <f t="shared" si="9"/>
        <v>3440.3554599542335</v>
      </c>
      <c r="AR39" s="488"/>
      <c r="AS39" s="523">
        <f t="shared" si="10"/>
        <v>168027.5930020595</v>
      </c>
      <c r="AT39" s="497"/>
      <c r="AU39" s="512"/>
      <c r="AV39" s="512"/>
      <c r="AW39" s="512">
        <f t="shared" si="11"/>
        <v>168027.5930020595</v>
      </c>
      <c r="AY39" s="513"/>
      <c r="AZ39" s="514"/>
      <c r="BA39" s="428">
        <f t="shared" si="3"/>
        <v>50</v>
      </c>
    </row>
    <row r="40" spans="1:53" ht="15" x14ac:dyDescent="0.25">
      <c r="A40" s="486" t="s">
        <v>52</v>
      </c>
      <c r="B40" s="439" t="s">
        <v>224</v>
      </c>
      <c r="C40" s="487">
        <v>2000</v>
      </c>
      <c r="D40" s="488">
        <v>2000</v>
      </c>
      <c r="E40" s="516">
        <v>988</v>
      </c>
      <c r="F40" s="499">
        <f t="shared" si="0"/>
        <v>29640</v>
      </c>
      <c r="G40" s="499">
        <v>7920</v>
      </c>
      <c r="H40" s="499">
        <v>6300</v>
      </c>
      <c r="I40" s="499">
        <v>5400</v>
      </c>
      <c r="J40" s="500">
        <f t="shared" si="4"/>
        <v>19620</v>
      </c>
      <c r="K40" s="499">
        <f t="shared" si="5"/>
        <v>10020</v>
      </c>
      <c r="L40" s="500">
        <f t="shared" si="6"/>
        <v>19620</v>
      </c>
      <c r="M40" s="499" t="s">
        <v>192</v>
      </c>
      <c r="N40" s="501">
        <f t="shared" si="15"/>
        <v>3.7474486476211273</v>
      </c>
      <c r="O40" s="517">
        <f t="shared" si="1"/>
        <v>73525</v>
      </c>
      <c r="P40" s="492"/>
      <c r="Q40" s="1149">
        <v>8460</v>
      </c>
      <c r="R40" s="1149">
        <v>6300</v>
      </c>
      <c r="S40" s="1149">
        <v>4102.4423076923076</v>
      </c>
      <c r="T40" s="499">
        <v>0.2036</v>
      </c>
      <c r="U40" s="502">
        <f t="shared" si="7"/>
        <v>3840.393253846154</v>
      </c>
      <c r="V40" s="492"/>
      <c r="W40" s="432">
        <v>180</v>
      </c>
      <c r="X40" s="432">
        <v>0</v>
      </c>
      <c r="Y40" s="432">
        <v>93.461538461538467</v>
      </c>
      <c r="Z40" s="499">
        <v>1.7611399999999999</v>
      </c>
      <c r="AA40" s="503">
        <f t="shared" si="8"/>
        <v>481.60405384615382</v>
      </c>
      <c r="AB40" s="488"/>
      <c r="AC40" s="504"/>
      <c r="AD40" s="505"/>
      <c r="AE40" s="518"/>
      <c r="AF40" s="505"/>
      <c r="AG40" s="519"/>
      <c r="AH40" s="488"/>
      <c r="AI40" s="520"/>
      <c r="AJ40" s="521"/>
      <c r="AK40" s="522">
        <f t="shared" si="2"/>
        <v>0</v>
      </c>
      <c r="AL40" s="488"/>
      <c r="AM40" s="1150">
        <v>1260</v>
      </c>
      <c r="AN40" s="1150">
        <v>1260</v>
      </c>
      <c r="AO40" s="1150">
        <v>467.30769230769238</v>
      </c>
      <c r="AP40" s="499">
        <v>0.2036</v>
      </c>
      <c r="AQ40" s="502">
        <f t="shared" si="9"/>
        <v>608.2158461538462</v>
      </c>
      <c r="AR40" s="488"/>
      <c r="AS40" s="523">
        <f t="shared" si="10"/>
        <v>78455.213153846154</v>
      </c>
      <c r="AT40" s="497"/>
      <c r="AU40" s="512"/>
      <c r="AV40" s="512"/>
      <c r="AW40" s="512">
        <f t="shared" si="11"/>
        <v>78455.213153846154</v>
      </c>
      <c r="AY40" s="513"/>
      <c r="AZ40" s="514"/>
      <c r="BA40" s="428">
        <f t="shared" si="3"/>
        <v>26</v>
      </c>
    </row>
    <row r="41" spans="1:53" ht="15" x14ac:dyDescent="0.25">
      <c r="A41" s="486" t="s">
        <v>54</v>
      </c>
      <c r="B41" s="439" t="s">
        <v>225</v>
      </c>
      <c r="C41" s="487">
        <v>2001</v>
      </c>
      <c r="D41" s="488">
        <v>2001</v>
      </c>
      <c r="E41" s="516">
        <v>1976</v>
      </c>
      <c r="F41" s="499">
        <f t="shared" si="0"/>
        <v>59280</v>
      </c>
      <c r="G41" s="499">
        <v>13500</v>
      </c>
      <c r="H41" s="499">
        <v>11760</v>
      </c>
      <c r="I41" s="499">
        <v>10800</v>
      </c>
      <c r="J41" s="500">
        <f t="shared" si="4"/>
        <v>36060</v>
      </c>
      <c r="K41" s="499">
        <f t="shared" si="5"/>
        <v>23220</v>
      </c>
      <c r="L41" s="500">
        <f t="shared" si="6"/>
        <v>36060</v>
      </c>
      <c r="M41" s="499" t="s">
        <v>192</v>
      </c>
      <c r="N41" s="501">
        <f t="shared" si="15"/>
        <v>3.7474486476211273</v>
      </c>
      <c r="O41" s="517">
        <f t="shared" si="1"/>
        <v>135133</v>
      </c>
      <c r="P41" s="492"/>
      <c r="Q41" s="1149">
        <v>28125.000000000004</v>
      </c>
      <c r="R41" s="1149">
        <v>22313.846153846152</v>
      </c>
      <c r="S41" s="1149">
        <v>26973.68421052632</v>
      </c>
      <c r="T41" s="499">
        <v>0.2036</v>
      </c>
      <c r="U41" s="502">
        <f t="shared" si="7"/>
        <v>15761.191182186236</v>
      </c>
      <c r="V41" s="492"/>
      <c r="W41" s="432">
        <v>937.5</v>
      </c>
      <c r="X41" s="432">
        <v>301.53846153846155</v>
      </c>
      <c r="Y41" s="432">
        <v>800</v>
      </c>
      <c r="Z41" s="499">
        <v>1.7611399999999999</v>
      </c>
      <c r="AA41" s="503">
        <f t="shared" si="8"/>
        <v>3591.0321961538457</v>
      </c>
      <c r="AB41" s="488"/>
      <c r="AC41" s="504"/>
      <c r="AD41" s="505"/>
      <c r="AE41" s="518"/>
      <c r="AF41" s="505"/>
      <c r="AG41" s="519"/>
      <c r="AH41" s="488"/>
      <c r="AI41" s="520"/>
      <c r="AJ41" s="521"/>
      <c r="AK41" s="522">
        <f t="shared" si="2"/>
        <v>0</v>
      </c>
      <c r="AL41" s="488"/>
      <c r="AM41" s="1150">
        <v>0</v>
      </c>
      <c r="AN41" s="1150">
        <v>0</v>
      </c>
      <c r="AO41" s="1150">
        <v>600</v>
      </c>
      <c r="AP41" s="499">
        <v>0.2036</v>
      </c>
      <c r="AQ41" s="502">
        <f t="shared" si="9"/>
        <v>122.16</v>
      </c>
      <c r="AR41" s="488"/>
      <c r="AS41" s="523">
        <f t="shared" si="10"/>
        <v>154607.38337834008</v>
      </c>
      <c r="AT41" s="497"/>
      <c r="AU41" s="512"/>
      <c r="AV41" s="512"/>
      <c r="AW41" s="512">
        <f t="shared" si="11"/>
        <v>154607.38337834008</v>
      </c>
      <c r="AY41" s="513"/>
      <c r="AZ41" s="514"/>
      <c r="BA41" s="428">
        <f t="shared" si="3"/>
        <v>52</v>
      </c>
    </row>
    <row r="42" spans="1:53" ht="15" x14ac:dyDescent="0.25">
      <c r="A42" s="486" t="s">
        <v>55</v>
      </c>
      <c r="B42" s="439" t="s">
        <v>226</v>
      </c>
      <c r="C42" s="487">
        <v>2429</v>
      </c>
      <c r="D42" s="488">
        <v>2429</v>
      </c>
      <c r="E42" s="516">
        <v>1482</v>
      </c>
      <c r="F42" s="499">
        <f t="shared" si="0"/>
        <v>44460</v>
      </c>
      <c r="G42" s="499">
        <v>8388</v>
      </c>
      <c r="H42" s="499">
        <v>6300</v>
      </c>
      <c r="I42" s="499">
        <v>6480</v>
      </c>
      <c r="J42" s="500">
        <f t="shared" si="4"/>
        <v>21168</v>
      </c>
      <c r="K42" s="499">
        <f t="shared" si="5"/>
        <v>23292</v>
      </c>
      <c r="L42" s="500">
        <f t="shared" si="6"/>
        <v>21168</v>
      </c>
      <c r="M42" s="499" t="s">
        <v>192</v>
      </c>
      <c r="N42" s="501">
        <f t="shared" si="15"/>
        <v>3.7474486476211273</v>
      </c>
      <c r="O42" s="517">
        <f t="shared" si="1"/>
        <v>79326</v>
      </c>
      <c r="P42" s="492"/>
      <c r="Q42" s="1149">
        <v>22551.344262295082</v>
      </c>
      <c r="R42" s="1149">
        <v>16845.652173913044</v>
      </c>
      <c r="S42" s="1149">
        <v>16711.578947368424</v>
      </c>
      <c r="T42" s="499">
        <v>0.2036</v>
      </c>
      <c r="U42" s="502">
        <f t="shared" si="7"/>
        <v>11423.705948096185</v>
      </c>
      <c r="V42" s="492"/>
      <c r="W42" s="432">
        <v>137.50819672131149</v>
      </c>
      <c r="X42" s="432">
        <v>0</v>
      </c>
      <c r="Y42" s="432">
        <v>108</v>
      </c>
      <c r="Z42" s="499">
        <v>1.7611399999999999</v>
      </c>
      <c r="AA42" s="503">
        <f t="shared" si="8"/>
        <v>432.37430557377053</v>
      </c>
      <c r="AB42" s="488"/>
      <c r="AC42" s="504"/>
      <c r="AD42" s="505"/>
      <c r="AE42" s="518"/>
      <c r="AF42" s="505"/>
      <c r="AG42" s="519"/>
      <c r="AH42" s="488"/>
      <c r="AI42" s="520"/>
      <c r="AJ42" s="521"/>
      <c r="AK42" s="522">
        <f t="shared" si="2"/>
        <v>0</v>
      </c>
      <c r="AL42" s="488"/>
      <c r="AM42" s="1150">
        <v>6600.3934426229507</v>
      </c>
      <c r="AN42" s="1150">
        <v>4473.913043478261</v>
      </c>
      <c r="AO42" s="1150">
        <v>4644</v>
      </c>
      <c r="AP42" s="499">
        <v>0.2036</v>
      </c>
      <c r="AQ42" s="502">
        <f t="shared" si="9"/>
        <v>3200.2472005702066</v>
      </c>
      <c r="AR42" s="488"/>
      <c r="AS42" s="523">
        <f t="shared" si="10"/>
        <v>94382.327454240163</v>
      </c>
      <c r="AT42" s="497"/>
      <c r="AU42" s="512"/>
      <c r="AV42" s="512"/>
      <c r="AW42" s="512">
        <f t="shared" si="11"/>
        <v>94382.327454240163</v>
      </c>
      <c r="AY42" s="513"/>
      <c r="AZ42" s="514"/>
      <c r="BA42" s="428">
        <f t="shared" si="3"/>
        <v>39</v>
      </c>
    </row>
    <row r="43" spans="1:53" ht="15" x14ac:dyDescent="0.25">
      <c r="A43" s="486" t="s">
        <v>56</v>
      </c>
      <c r="B43" s="439" t="s">
        <v>227</v>
      </c>
      <c r="C43" s="487">
        <v>2444</v>
      </c>
      <c r="D43" s="488">
        <v>2444</v>
      </c>
      <c r="E43" s="516">
        <v>988</v>
      </c>
      <c r="F43" s="499">
        <f t="shared" si="0"/>
        <v>29640</v>
      </c>
      <c r="G43" s="499">
        <v>9360</v>
      </c>
      <c r="H43" s="499">
        <v>10920</v>
      </c>
      <c r="I43" s="499">
        <v>9360</v>
      </c>
      <c r="J43" s="500">
        <f t="shared" si="4"/>
        <v>29640</v>
      </c>
      <c r="K43" s="499">
        <f t="shared" si="5"/>
        <v>0</v>
      </c>
      <c r="L43" s="500">
        <f t="shared" si="6"/>
        <v>29640</v>
      </c>
      <c r="M43" s="499" t="s">
        <v>192</v>
      </c>
      <c r="N43" s="501">
        <f t="shared" si="15"/>
        <v>3.7474486476211273</v>
      </c>
      <c r="O43" s="517">
        <f t="shared" si="1"/>
        <v>111074</v>
      </c>
      <c r="P43" s="492"/>
      <c r="Q43" s="1149">
        <v>17985.882352941178</v>
      </c>
      <c r="R43" s="1149">
        <v>18345.599999999999</v>
      </c>
      <c r="S43" s="1149">
        <v>14269.263157894738</v>
      </c>
      <c r="T43" s="499">
        <v>0.2036</v>
      </c>
      <c r="U43" s="502">
        <f t="shared" si="7"/>
        <v>10302.311786006194</v>
      </c>
      <c r="V43" s="492"/>
      <c r="W43" s="432">
        <v>183.52941176470588</v>
      </c>
      <c r="X43" s="432">
        <v>218.4</v>
      </c>
      <c r="Y43" s="432">
        <v>180</v>
      </c>
      <c r="Z43" s="499">
        <v>1.7611399999999999</v>
      </c>
      <c r="AA43" s="503">
        <f t="shared" si="8"/>
        <v>1024.8591642352942</v>
      </c>
      <c r="AB43" s="488"/>
      <c r="AC43" s="504"/>
      <c r="AD43" s="505"/>
      <c r="AE43" s="518"/>
      <c r="AF43" s="505"/>
      <c r="AG43" s="519"/>
      <c r="AH43" s="488"/>
      <c r="AI43" s="520"/>
      <c r="AJ43" s="521"/>
      <c r="AK43" s="522">
        <f t="shared" si="2"/>
        <v>0</v>
      </c>
      <c r="AL43" s="488"/>
      <c r="AM43" s="1150">
        <v>917.64705882352939</v>
      </c>
      <c r="AN43" s="1150">
        <v>1310.3999999999999</v>
      </c>
      <c r="AO43" s="1150">
        <v>1440</v>
      </c>
      <c r="AP43" s="499">
        <v>0.2036</v>
      </c>
      <c r="AQ43" s="502">
        <f t="shared" si="9"/>
        <v>746.81438117647065</v>
      </c>
      <c r="AR43" s="488"/>
      <c r="AS43" s="523">
        <f t="shared" si="10"/>
        <v>123147.98533141796</v>
      </c>
      <c r="AT43" s="497"/>
      <c r="AU43" s="512"/>
      <c r="AV43" s="512"/>
      <c r="AW43" s="512">
        <f t="shared" si="11"/>
        <v>123147.98533141796</v>
      </c>
      <c r="AY43" s="513"/>
      <c r="AZ43" s="514"/>
      <c r="BA43" s="428">
        <f t="shared" si="3"/>
        <v>26</v>
      </c>
    </row>
    <row r="44" spans="1:53" ht="15" x14ac:dyDescent="0.25">
      <c r="A44" s="486" t="s">
        <v>441</v>
      </c>
      <c r="B44" s="439" t="s">
        <v>228</v>
      </c>
      <c r="C44" s="487">
        <v>2430</v>
      </c>
      <c r="D44" s="488">
        <v>2430</v>
      </c>
      <c r="E44" s="516">
        <v>988</v>
      </c>
      <c r="F44" s="499">
        <f t="shared" si="0"/>
        <v>29640</v>
      </c>
      <c r="G44" s="499">
        <v>1980</v>
      </c>
      <c r="H44" s="499">
        <v>840</v>
      </c>
      <c r="I44" s="499">
        <v>900</v>
      </c>
      <c r="J44" s="500">
        <f t="shared" si="4"/>
        <v>3720</v>
      </c>
      <c r="K44" s="499">
        <f t="shared" si="5"/>
        <v>25920</v>
      </c>
      <c r="L44" s="500">
        <f t="shared" si="6"/>
        <v>3720</v>
      </c>
      <c r="M44" s="499" t="s">
        <v>192</v>
      </c>
      <c r="N44" s="501">
        <f t="shared" si="15"/>
        <v>3.7474486476211273</v>
      </c>
      <c r="O44" s="517">
        <f t="shared" si="1"/>
        <v>13941</v>
      </c>
      <c r="P44" s="492"/>
      <c r="Q44" s="1149">
        <v>5681.7391304347821</v>
      </c>
      <c r="R44" s="1149">
        <v>2268</v>
      </c>
      <c r="S44" s="1149">
        <v>5515.5789473684217</v>
      </c>
      <c r="T44" s="499">
        <v>0.2036</v>
      </c>
      <c r="U44" s="502">
        <f t="shared" si="7"/>
        <v>2741.5387606407321</v>
      </c>
      <c r="V44" s="492"/>
      <c r="W44" s="432">
        <v>172.17391304347825</v>
      </c>
      <c r="X44" s="432">
        <v>84</v>
      </c>
      <c r="Y44" s="432">
        <v>90</v>
      </c>
      <c r="Z44" s="499">
        <v>1.7611399999999999</v>
      </c>
      <c r="AA44" s="503">
        <f t="shared" si="8"/>
        <v>609.66072521739125</v>
      </c>
      <c r="AB44" s="488"/>
      <c r="AC44" s="504"/>
      <c r="AD44" s="505"/>
      <c r="AE44" s="518"/>
      <c r="AF44" s="505"/>
      <c r="AG44" s="519"/>
      <c r="AH44" s="488"/>
      <c r="AI44" s="520"/>
      <c r="AJ44" s="521"/>
      <c r="AK44" s="522">
        <f t="shared" si="2"/>
        <v>0</v>
      </c>
      <c r="AL44" s="488"/>
      <c r="AM44" s="1150">
        <v>774.78260869565224</v>
      </c>
      <c r="AN44" s="1150">
        <v>168</v>
      </c>
      <c r="AO44" s="1150">
        <v>1080</v>
      </c>
      <c r="AP44" s="499">
        <v>0.2036</v>
      </c>
      <c r="AQ44" s="502">
        <f t="shared" si="9"/>
        <v>411.83853913043481</v>
      </c>
      <c r="AR44" s="488"/>
      <c r="AS44" s="523">
        <f t="shared" si="10"/>
        <v>17704.038024988557</v>
      </c>
      <c r="AT44" s="497"/>
      <c r="AU44" s="512"/>
      <c r="AV44" s="512"/>
      <c r="AW44" s="512">
        <f t="shared" si="11"/>
        <v>17704.038024988557</v>
      </c>
      <c r="AY44" s="513"/>
      <c r="AZ44" s="514"/>
      <c r="BA44" s="428">
        <f t="shared" si="3"/>
        <v>26</v>
      </c>
    </row>
    <row r="45" spans="1:53" ht="15" x14ac:dyDescent="0.25">
      <c r="A45" s="486" t="s">
        <v>60</v>
      </c>
      <c r="B45" s="439" t="s">
        <v>229</v>
      </c>
      <c r="C45" s="487">
        <v>3543</v>
      </c>
      <c r="D45" s="488">
        <v>3543</v>
      </c>
      <c r="E45" s="516">
        <v>1482</v>
      </c>
      <c r="F45" s="499">
        <f t="shared" si="0"/>
        <v>44460</v>
      </c>
      <c r="G45" s="499">
        <v>7380</v>
      </c>
      <c r="H45" s="499">
        <v>4200</v>
      </c>
      <c r="I45" s="499">
        <v>4500</v>
      </c>
      <c r="J45" s="500">
        <f t="shared" si="4"/>
        <v>16080</v>
      </c>
      <c r="K45" s="499">
        <f t="shared" si="5"/>
        <v>28380</v>
      </c>
      <c r="L45" s="500">
        <f t="shared" si="6"/>
        <v>16080</v>
      </c>
      <c r="M45" s="499" t="s">
        <v>192</v>
      </c>
      <c r="N45" s="501">
        <f t="shared" si="15"/>
        <v>3.7474486476211273</v>
      </c>
      <c r="O45" s="517">
        <f t="shared" si="1"/>
        <v>60259</v>
      </c>
      <c r="P45" s="492"/>
      <c r="Q45" s="1149">
        <v>5506.3212435233163</v>
      </c>
      <c r="R45" s="1149">
        <v>3266.6666666666665</v>
      </c>
      <c r="S45" s="1149">
        <v>7896.9924812030094</v>
      </c>
      <c r="T45" s="499">
        <v>0.2036</v>
      </c>
      <c r="U45" s="502">
        <f t="shared" si="7"/>
        <v>3394.0080076876134</v>
      </c>
      <c r="V45" s="492"/>
      <c r="W45" s="432">
        <v>0</v>
      </c>
      <c r="X45" s="432">
        <v>0</v>
      </c>
      <c r="Y45" s="432">
        <v>0</v>
      </c>
      <c r="Z45" s="499">
        <v>1.7611399999999999</v>
      </c>
      <c r="AA45" s="503">
        <f t="shared" si="8"/>
        <v>0</v>
      </c>
      <c r="AB45" s="488"/>
      <c r="AC45" s="504"/>
      <c r="AD45" s="505"/>
      <c r="AE45" s="518"/>
      <c r="AF45" s="505"/>
      <c r="AG45" s="519"/>
      <c r="AH45" s="488"/>
      <c r="AI45" s="520"/>
      <c r="AJ45" s="521"/>
      <c r="AK45" s="522">
        <f t="shared" si="2"/>
        <v>0</v>
      </c>
      <c r="AL45" s="488"/>
      <c r="AM45" s="1150">
        <v>1147.1502590673574</v>
      </c>
      <c r="AN45" s="1150">
        <v>933.33333333333326</v>
      </c>
      <c r="AO45" s="1150">
        <v>2357.1428571428573</v>
      </c>
      <c r="AP45" s="499">
        <v>0.2036</v>
      </c>
      <c r="AQ45" s="502">
        <f t="shared" si="9"/>
        <v>903.50074512706635</v>
      </c>
      <c r="AR45" s="488"/>
      <c r="AS45" s="523">
        <f t="shared" si="10"/>
        <v>64556.508752814683</v>
      </c>
      <c r="AT45" s="497"/>
      <c r="AU45" s="512"/>
      <c r="AV45" s="512"/>
      <c r="AW45" s="512">
        <f t="shared" si="11"/>
        <v>64556.508752814683</v>
      </c>
      <c r="AY45" s="513"/>
      <c r="AZ45" s="514"/>
      <c r="BA45" s="428">
        <f t="shared" si="3"/>
        <v>39</v>
      </c>
    </row>
    <row r="46" spans="1:53" ht="15" x14ac:dyDescent="0.25">
      <c r="A46" s="486" t="s">
        <v>61</v>
      </c>
      <c r="B46" s="439" t="s">
        <v>230</v>
      </c>
      <c r="C46" s="487">
        <v>3158</v>
      </c>
      <c r="D46" s="488">
        <v>3158</v>
      </c>
      <c r="E46" s="516">
        <v>1482</v>
      </c>
      <c r="F46" s="499">
        <f t="shared" si="0"/>
        <v>44460</v>
      </c>
      <c r="G46" s="499">
        <v>11520</v>
      </c>
      <c r="H46" s="499">
        <v>6090</v>
      </c>
      <c r="I46" s="499">
        <v>5940</v>
      </c>
      <c r="J46" s="500">
        <f t="shared" si="4"/>
        <v>23550</v>
      </c>
      <c r="K46" s="499">
        <f t="shared" si="5"/>
        <v>20910</v>
      </c>
      <c r="L46" s="500">
        <f t="shared" si="6"/>
        <v>23550</v>
      </c>
      <c r="M46" s="499" t="s">
        <v>192</v>
      </c>
      <c r="N46" s="501">
        <f t="shared" si="15"/>
        <v>3.7474486476211273</v>
      </c>
      <c r="O46" s="517">
        <f t="shared" si="1"/>
        <v>88252</v>
      </c>
      <c r="P46" s="492"/>
      <c r="Q46" s="1149">
        <v>24320</v>
      </c>
      <c r="R46" s="1149">
        <v>13508.271604938271</v>
      </c>
      <c r="S46" s="1149">
        <v>23186.842105263157</v>
      </c>
      <c r="T46" s="499">
        <v>0.2036</v>
      </c>
      <c r="U46" s="502">
        <f t="shared" si="7"/>
        <v>12422.677151397012</v>
      </c>
      <c r="V46" s="492"/>
      <c r="W46" s="432">
        <v>731.42857142857133</v>
      </c>
      <c r="X46" s="432">
        <v>250.61728395061729</v>
      </c>
      <c r="Y46" s="432">
        <v>424.28571428571428</v>
      </c>
      <c r="Z46" s="499">
        <v>1.7611399999999999</v>
      </c>
      <c r="AA46" s="503">
        <f t="shared" si="8"/>
        <v>2476.7467805996471</v>
      </c>
      <c r="AB46" s="488"/>
      <c r="AC46" s="504"/>
      <c r="AD46" s="505"/>
      <c r="AE46" s="518"/>
      <c r="AF46" s="505"/>
      <c r="AG46" s="519"/>
      <c r="AH46" s="488"/>
      <c r="AI46" s="520"/>
      <c r="AJ46" s="521"/>
      <c r="AK46" s="522">
        <f t="shared" si="2"/>
        <v>0</v>
      </c>
      <c r="AL46" s="488"/>
      <c r="AM46" s="1150">
        <v>10057.142857142857</v>
      </c>
      <c r="AN46" s="1150">
        <v>5714.0740740740739</v>
      </c>
      <c r="AO46" s="1150">
        <v>7495.7142857142853</v>
      </c>
      <c r="AP46" s="499">
        <v>0.2036</v>
      </c>
      <c r="AQ46" s="502">
        <f t="shared" si="9"/>
        <v>4737.1471957671956</v>
      </c>
      <c r="AR46" s="488"/>
      <c r="AS46" s="523">
        <f t="shared" si="10"/>
        <v>107888.57112776386</v>
      </c>
      <c r="AT46" s="497"/>
      <c r="AU46" s="512"/>
      <c r="AV46" s="512"/>
      <c r="AW46" s="512">
        <f t="shared" si="11"/>
        <v>107888.57112776386</v>
      </c>
      <c r="AY46" s="513"/>
      <c r="AZ46" s="514"/>
      <c r="BA46" s="428">
        <f t="shared" si="3"/>
        <v>39</v>
      </c>
    </row>
    <row r="47" spans="1:53" ht="15" x14ac:dyDescent="0.25">
      <c r="A47" s="486" t="s">
        <v>63</v>
      </c>
      <c r="B47" s="439" t="s">
        <v>231</v>
      </c>
      <c r="C47" s="487">
        <v>3526</v>
      </c>
      <c r="D47" s="488">
        <v>3526</v>
      </c>
      <c r="E47" s="516">
        <v>760</v>
      </c>
      <c r="F47" s="499">
        <f t="shared" si="0"/>
        <v>22800</v>
      </c>
      <c r="G47" s="499">
        <v>4680</v>
      </c>
      <c r="H47" s="499">
        <v>5460</v>
      </c>
      <c r="I47" s="499">
        <v>4680</v>
      </c>
      <c r="J47" s="500">
        <f t="shared" si="4"/>
        <v>14820</v>
      </c>
      <c r="K47" s="499">
        <f t="shared" si="5"/>
        <v>7980</v>
      </c>
      <c r="L47" s="500">
        <f t="shared" si="6"/>
        <v>14820</v>
      </c>
      <c r="M47" s="499" t="s">
        <v>192</v>
      </c>
      <c r="N47" s="501">
        <f t="shared" si="15"/>
        <v>3.7474486476211273</v>
      </c>
      <c r="O47" s="517">
        <f t="shared" si="1"/>
        <v>55537</v>
      </c>
      <c r="P47" s="492"/>
      <c r="Q47" s="1149">
        <v>13177.894736842105</v>
      </c>
      <c r="R47" s="1149">
        <v>16380</v>
      </c>
      <c r="S47" s="1149">
        <v>14600.580762250456</v>
      </c>
      <c r="T47" s="499">
        <v>0.2036</v>
      </c>
      <c r="U47" s="502">
        <f t="shared" si="7"/>
        <v>8990.6656116152462</v>
      </c>
      <c r="V47" s="492"/>
      <c r="W47" s="432">
        <v>123.1578947368421</v>
      </c>
      <c r="X47" s="432">
        <v>0</v>
      </c>
      <c r="Y47" s="432">
        <v>0</v>
      </c>
      <c r="Z47" s="499">
        <v>1.7611399999999999</v>
      </c>
      <c r="AA47" s="503">
        <f t="shared" si="8"/>
        <v>216.89829473684208</v>
      </c>
      <c r="AB47" s="488"/>
      <c r="AC47" s="504"/>
      <c r="AD47" s="505"/>
      <c r="AE47" s="518"/>
      <c r="AF47" s="505"/>
      <c r="AG47" s="519"/>
      <c r="AH47" s="488"/>
      <c r="AI47" s="520"/>
      <c r="AJ47" s="521"/>
      <c r="AK47" s="522">
        <f t="shared" si="2"/>
        <v>0</v>
      </c>
      <c r="AL47" s="488"/>
      <c r="AM47" s="1150">
        <v>2832.6315789473683</v>
      </c>
      <c r="AN47" s="1150">
        <v>3943.3333333333335</v>
      </c>
      <c r="AO47" s="1150">
        <v>3873.1034482758619</v>
      </c>
      <c r="AP47" s="499">
        <v>0.2036</v>
      </c>
      <c r="AQ47" s="502">
        <f t="shared" si="9"/>
        <v>2168.1503182093165</v>
      </c>
      <c r="AR47" s="488"/>
      <c r="AS47" s="523">
        <f t="shared" si="10"/>
        <v>66912.714224561409</v>
      </c>
      <c r="AT47" s="497"/>
      <c r="AU47" s="512"/>
      <c r="AV47" s="512"/>
      <c r="AW47" s="512">
        <f t="shared" si="11"/>
        <v>66912.714224561409</v>
      </c>
      <c r="AY47" s="513"/>
      <c r="AZ47" s="514"/>
      <c r="BA47" s="428">
        <f t="shared" si="3"/>
        <v>20</v>
      </c>
    </row>
    <row r="48" spans="1:53" ht="15" x14ac:dyDescent="0.25">
      <c r="A48" s="486" t="s">
        <v>633</v>
      </c>
      <c r="B48" s="439" t="s">
        <v>232</v>
      </c>
      <c r="C48" s="487">
        <v>3528</v>
      </c>
      <c r="D48" s="488">
        <v>3528</v>
      </c>
      <c r="E48" s="516">
        <v>1976</v>
      </c>
      <c r="F48" s="499">
        <f t="shared" si="0"/>
        <v>59280</v>
      </c>
      <c r="G48" s="499">
        <v>6480</v>
      </c>
      <c r="H48" s="499">
        <v>3780</v>
      </c>
      <c r="I48" s="499">
        <v>3780</v>
      </c>
      <c r="J48" s="500">
        <f t="shared" si="4"/>
        <v>14040</v>
      </c>
      <c r="K48" s="499">
        <f t="shared" si="5"/>
        <v>45240</v>
      </c>
      <c r="L48" s="500">
        <f t="shared" si="6"/>
        <v>14040</v>
      </c>
      <c r="M48" s="499" t="s">
        <v>192</v>
      </c>
      <c r="N48" s="501">
        <f t="shared" si="15"/>
        <v>3.7474486476211273</v>
      </c>
      <c r="O48" s="517">
        <f t="shared" si="1"/>
        <v>52614</v>
      </c>
      <c r="P48" s="492"/>
      <c r="Q48" s="1149">
        <v>6480</v>
      </c>
      <c r="R48" s="1149">
        <v>3471.4285714285716</v>
      </c>
      <c r="S48" s="1149">
        <v>6336.0000000000009</v>
      </c>
      <c r="T48" s="499">
        <v>0.2036</v>
      </c>
      <c r="U48" s="502">
        <f t="shared" si="7"/>
        <v>3316.1204571428575</v>
      </c>
      <c r="V48" s="492"/>
      <c r="W48" s="432">
        <v>176.08695652173913</v>
      </c>
      <c r="X48" s="432">
        <v>0</v>
      </c>
      <c r="Y48" s="432">
        <v>360</v>
      </c>
      <c r="Z48" s="499">
        <v>1.7611399999999999</v>
      </c>
      <c r="AA48" s="503">
        <f t="shared" si="8"/>
        <v>944.12418260869561</v>
      </c>
      <c r="AB48" s="488"/>
      <c r="AC48" s="504"/>
      <c r="AD48" s="505"/>
      <c r="AE48" s="518"/>
      <c r="AF48" s="505"/>
      <c r="AG48" s="519"/>
      <c r="AH48" s="488"/>
      <c r="AI48" s="520"/>
      <c r="AJ48" s="521"/>
      <c r="AK48" s="522">
        <f t="shared" si="2"/>
        <v>0</v>
      </c>
      <c r="AL48" s="488"/>
      <c r="AM48" s="1150">
        <v>1936.9565217391305</v>
      </c>
      <c r="AN48" s="1150">
        <v>1620</v>
      </c>
      <c r="AO48" s="1150">
        <v>1800</v>
      </c>
      <c r="AP48" s="499">
        <v>0.2036</v>
      </c>
      <c r="AQ48" s="502">
        <f t="shared" si="9"/>
        <v>1090.6763478260868</v>
      </c>
      <c r="AR48" s="488"/>
      <c r="AS48" s="523">
        <f t="shared" si="10"/>
        <v>57964.920987577643</v>
      </c>
      <c r="AT48" s="497"/>
      <c r="AU48" s="512"/>
      <c r="AV48" s="512"/>
      <c r="AW48" s="512">
        <f t="shared" si="11"/>
        <v>57964.920987577643</v>
      </c>
      <c r="AY48" s="513"/>
      <c r="AZ48" s="514"/>
      <c r="BA48" s="428">
        <f t="shared" si="3"/>
        <v>52</v>
      </c>
    </row>
    <row r="49" spans="1:54" ht="15" x14ac:dyDescent="0.25">
      <c r="A49" s="486" t="s">
        <v>7</v>
      </c>
      <c r="B49" s="439" t="s">
        <v>233</v>
      </c>
      <c r="C49" s="487">
        <v>1010</v>
      </c>
      <c r="D49" s="488">
        <v>1010</v>
      </c>
      <c r="E49" s="516">
        <v>1520</v>
      </c>
      <c r="F49" s="499">
        <f t="shared" si="0"/>
        <v>45600</v>
      </c>
      <c r="G49" s="499">
        <v>12240</v>
      </c>
      <c r="H49" s="499">
        <v>8820</v>
      </c>
      <c r="I49" s="499">
        <v>9000</v>
      </c>
      <c r="J49" s="500">
        <f t="shared" si="4"/>
        <v>30060</v>
      </c>
      <c r="K49" s="499">
        <f t="shared" si="5"/>
        <v>15540</v>
      </c>
      <c r="L49" s="500">
        <f t="shared" si="6"/>
        <v>30060</v>
      </c>
      <c r="M49" s="499" t="s">
        <v>195</v>
      </c>
      <c r="N49" s="501">
        <v>5.5991996578845935</v>
      </c>
      <c r="O49" s="517">
        <f t="shared" si="1"/>
        <v>168312</v>
      </c>
      <c r="P49" s="492"/>
      <c r="Q49" s="1149">
        <v>18185.142857142859</v>
      </c>
      <c r="R49" s="1149">
        <v>12348</v>
      </c>
      <c r="S49" s="1149">
        <v>32979.18660287081</v>
      </c>
      <c r="T49" s="499">
        <v>0.2036</v>
      </c>
      <c r="U49" s="502">
        <f t="shared" si="7"/>
        <v>12931.110278058784</v>
      </c>
      <c r="V49" s="492"/>
      <c r="W49" s="432">
        <v>874.28571428571422</v>
      </c>
      <c r="X49" s="432">
        <v>661.5</v>
      </c>
      <c r="Y49" s="432">
        <v>204.54545454545456</v>
      </c>
      <c r="Z49" s="499">
        <v>1.7611399999999999</v>
      </c>
      <c r="AA49" s="503">
        <f t="shared" si="8"/>
        <v>3064.9668346753242</v>
      </c>
      <c r="AB49" s="488"/>
      <c r="AC49" s="504"/>
      <c r="AD49" s="505"/>
      <c r="AE49" s="518"/>
      <c r="AF49" s="505"/>
      <c r="AG49" s="519">
        <v>9760.5625</v>
      </c>
      <c r="AH49" s="488"/>
      <c r="AI49" s="520">
        <v>1</v>
      </c>
      <c r="AJ49" s="521">
        <v>100000</v>
      </c>
      <c r="AK49" s="522">
        <f t="shared" si="2"/>
        <v>100000</v>
      </c>
      <c r="AL49" s="488"/>
      <c r="AM49" s="1150">
        <v>10666.285714285714</v>
      </c>
      <c r="AN49" s="1150">
        <v>7276.5</v>
      </c>
      <c r="AO49" s="1150">
        <v>12068.181818181818</v>
      </c>
      <c r="AP49" s="499">
        <v>0.2036</v>
      </c>
      <c r="AQ49" s="502">
        <f t="shared" si="9"/>
        <v>6110.2329896103902</v>
      </c>
      <c r="AR49" s="488"/>
      <c r="AS49" s="523">
        <f t="shared" si="10"/>
        <v>300178.87260234449</v>
      </c>
      <c r="AT49" s="497"/>
      <c r="AU49" s="512"/>
      <c r="AV49" s="524">
        <f>4424.76-18</f>
        <v>4406.76</v>
      </c>
      <c r="AW49" s="512">
        <f t="shared" si="11"/>
        <v>304585.6326023445</v>
      </c>
      <c r="AY49" s="513"/>
      <c r="AZ49" s="514"/>
      <c r="BA49" s="428">
        <f t="shared" si="3"/>
        <v>40</v>
      </c>
    </row>
    <row r="50" spans="1:54" ht="15" x14ac:dyDescent="0.25">
      <c r="A50" s="486" t="s">
        <v>65</v>
      </c>
      <c r="B50" s="439" t="s">
        <v>234</v>
      </c>
      <c r="C50" s="487">
        <v>3546</v>
      </c>
      <c r="D50" s="488">
        <v>3546</v>
      </c>
      <c r="E50" s="516">
        <v>1482</v>
      </c>
      <c r="F50" s="499">
        <f t="shared" si="0"/>
        <v>44460</v>
      </c>
      <c r="G50" s="499">
        <v>11700</v>
      </c>
      <c r="H50" s="499">
        <v>10500</v>
      </c>
      <c r="I50" s="499">
        <v>10800</v>
      </c>
      <c r="J50" s="500">
        <f t="shared" si="4"/>
        <v>33000</v>
      </c>
      <c r="K50" s="499">
        <f t="shared" si="5"/>
        <v>11460</v>
      </c>
      <c r="L50" s="500">
        <f t="shared" si="6"/>
        <v>33000</v>
      </c>
      <c r="M50" s="499" t="s">
        <v>192</v>
      </c>
      <c r="N50" s="501">
        <f>3.63829965788459/100*103</f>
        <v>3.7474486476211273</v>
      </c>
      <c r="O50" s="517">
        <f t="shared" si="1"/>
        <v>123666</v>
      </c>
      <c r="P50" s="492"/>
      <c r="Q50" s="1149">
        <v>30561.818181818184</v>
      </c>
      <c r="R50" s="1149">
        <v>28318.181818181816</v>
      </c>
      <c r="S50" s="1149">
        <v>23837.246963562753</v>
      </c>
      <c r="T50" s="499">
        <v>0.2036</v>
      </c>
      <c r="U50" s="502">
        <f t="shared" si="7"/>
        <v>16841.231481781375</v>
      </c>
      <c r="V50" s="492"/>
      <c r="W50" s="432">
        <v>283.63636363636363</v>
      </c>
      <c r="X50" s="432">
        <v>212.12121212121215</v>
      </c>
      <c r="Y50" s="432">
        <v>415.38461538461542</v>
      </c>
      <c r="Z50" s="499">
        <v>1.7611399999999999</v>
      </c>
      <c r="AA50" s="503">
        <f t="shared" si="8"/>
        <v>1604.6489585081586</v>
      </c>
      <c r="AB50" s="488"/>
      <c r="AC50" s="504"/>
      <c r="AD50" s="505"/>
      <c r="AE50" s="518"/>
      <c r="AF50" s="505"/>
      <c r="AG50" s="519"/>
      <c r="AH50" s="488"/>
      <c r="AI50" s="520"/>
      <c r="AJ50" s="521"/>
      <c r="AK50" s="522">
        <f t="shared" si="2"/>
        <v>0</v>
      </c>
      <c r="AL50" s="488"/>
      <c r="AM50" s="1150">
        <v>5530.909090909091</v>
      </c>
      <c r="AN50" s="1150">
        <v>6151.515151515151</v>
      </c>
      <c r="AO50" s="1150">
        <v>5815.3846153846152</v>
      </c>
      <c r="AP50" s="499">
        <v>0.2036</v>
      </c>
      <c r="AQ50" s="502">
        <f t="shared" si="9"/>
        <v>3562.5538834498834</v>
      </c>
      <c r="AR50" s="488"/>
      <c r="AS50" s="523">
        <f t="shared" si="10"/>
        <v>145674.43432373941</v>
      </c>
      <c r="AT50" s="497"/>
      <c r="AU50" s="512"/>
      <c r="AV50" s="512"/>
      <c r="AW50" s="512">
        <f t="shared" si="11"/>
        <v>145674.43432373941</v>
      </c>
      <c r="AY50" s="513"/>
      <c r="AZ50" s="514"/>
      <c r="BA50" s="428">
        <f t="shared" si="3"/>
        <v>39</v>
      </c>
    </row>
    <row r="51" spans="1:54" ht="15" x14ac:dyDescent="0.25">
      <c r="A51" s="486" t="s">
        <v>8</v>
      </c>
      <c r="B51" s="439" t="s">
        <v>235</v>
      </c>
      <c r="C51" s="487">
        <v>1009</v>
      </c>
      <c r="D51" s="488">
        <v>1009</v>
      </c>
      <c r="E51" s="516">
        <v>1520</v>
      </c>
      <c r="F51" s="499">
        <f t="shared" si="0"/>
        <v>45600</v>
      </c>
      <c r="G51" s="499">
        <v>14400</v>
      </c>
      <c r="H51" s="499">
        <v>16380</v>
      </c>
      <c r="I51" s="499">
        <v>14400</v>
      </c>
      <c r="J51" s="500">
        <f t="shared" si="4"/>
        <v>45180</v>
      </c>
      <c r="K51" s="499">
        <f t="shared" si="5"/>
        <v>420</v>
      </c>
      <c r="L51" s="500">
        <f t="shared" si="6"/>
        <v>45180</v>
      </c>
      <c r="M51" s="499" t="s">
        <v>195</v>
      </c>
      <c r="N51" s="501">
        <v>5.5991996578845935</v>
      </c>
      <c r="O51" s="517">
        <f t="shared" si="1"/>
        <v>252972</v>
      </c>
      <c r="P51" s="492"/>
      <c r="Q51" s="1149">
        <v>37440</v>
      </c>
      <c r="R51" s="1149">
        <v>40685.806451612902</v>
      </c>
      <c r="S51" s="1149">
        <v>40137.0007934409</v>
      </c>
      <c r="T51" s="499">
        <v>0.2036</v>
      </c>
      <c r="U51" s="502">
        <f t="shared" si="7"/>
        <v>24078.307555092957</v>
      </c>
      <c r="V51" s="492"/>
      <c r="W51" s="432">
        <v>360</v>
      </c>
      <c r="X51" s="432">
        <v>211.35483870967741</v>
      </c>
      <c r="Y51" s="432">
        <v>180.90452261306532</v>
      </c>
      <c r="Z51" s="499">
        <v>1.7611399999999999</v>
      </c>
      <c r="AA51" s="503">
        <f t="shared" si="8"/>
        <v>1324.834051599935</v>
      </c>
      <c r="AB51" s="488"/>
      <c r="AC51" s="504"/>
      <c r="AD51" s="505"/>
      <c r="AE51" s="518"/>
      <c r="AF51" s="505"/>
      <c r="AG51" s="519">
        <v>9760.5625</v>
      </c>
      <c r="AH51" s="488"/>
      <c r="AI51" s="520">
        <v>1</v>
      </c>
      <c r="AJ51" s="521">
        <v>100000</v>
      </c>
      <c r="AK51" s="522">
        <f t="shared" si="2"/>
        <v>100000</v>
      </c>
      <c r="AL51" s="488"/>
      <c r="AM51" s="1150">
        <v>8100</v>
      </c>
      <c r="AN51" s="1150">
        <v>0</v>
      </c>
      <c r="AO51" s="1150">
        <v>6440.2010050251256</v>
      </c>
      <c r="AP51" s="499">
        <v>0.2036</v>
      </c>
      <c r="AQ51" s="502">
        <f t="shared" si="9"/>
        <v>2960.3849246231157</v>
      </c>
      <c r="AR51" s="488"/>
      <c r="AS51" s="523">
        <f t="shared" si="10"/>
        <v>391096.08903131599</v>
      </c>
      <c r="AT51" s="497"/>
      <c r="AU51" s="512"/>
      <c r="AV51" s="524">
        <f>8112.06-33</f>
        <v>8079.06</v>
      </c>
      <c r="AW51" s="512">
        <f t="shared" si="11"/>
        <v>399175.14903131599</v>
      </c>
      <c r="AY51" s="513">
        <f>AW51-AV51</f>
        <v>391096.08903131599</v>
      </c>
      <c r="AZ51" s="514"/>
      <c r="BA51" s="428">
        <f t="shared" si="3"/>
        <v>40</v>
      </c>
    </row>
    <row r="52" spans="1:54" ht="15" x14ac:dyDescent="0.25">
      <c r="A52" s="486" t="s">
        <v>66</v>
      </c>
      <c r="B52" s="439" t="s">
        <v>236</v>
      </c>
      <c r="C52" s="487">
        <v>3530</v>
      </c>
      <c r="D52" s="488">
        <v>3530</v>
      </c>
      <c r="E52" s="516">
        <v>988</v>
      </c>
      <c r="F52" s="499">
        <f t="shared" si="0"/>
        <v>29640</v>
      </c>
      <c r="G52" s="499">
        <v>9180</v>
      </c>
      <c r="H52" s="499">
        <v>10920</v>
      </c>
      <c r="I52" s="499">
        <v>9360</v>
      </c>
      <c r="J52" s="500">
        <f t="shared" si="4"/>
        <v>29460</v>
      </c>
      <c r="K52" s="499">
        <f t="shared" si="5"/>
        <v>180</v>
      </c>
      <c r="L52" s="500">
        <f t="shared" si="6"/>
        <v>29460</v>
      </c>
      <c r="M52" s="499" t="s">
        <v>192</v>
      </c>
      <c r="N52" s="501">
        <f>3.63829965788459/100*103</f>
        <v>3.7474486476211273</v>
      </c>
      <c r="O52" s="517">
        <f>ROUND(N52*L52,0)</f>
        <v>110400</v>
      </c>
      <c r="P52" s="492"/>
      <c r="Q52" s="1149">
        <v>1080</v>
      </c>
      <c r="R52" s="1149">
        <v>0</v>
      </c>
      <c r="S52" s="1149">
        <v>965.9442724458205</v>
      </c>
      <c r="T52" s="499">
        <v>0.2036</v>
      </c>
      <c r="U52" s="502">
        <f t="shared" si="7"/>
        <v>416.55425386996905</v>
      </c>
      <c r="V52" s="492"/>
      <c r="W52" s="432">
        <v>0</v>
      </c>
      <c r="X52" s="432">
        <v>0</v>
      </c>
      <c r="Y52" s="432">
        <v>183.52941176470588</v>
      </c>
      <c r="Z52" s="499">
        <v>1.7611399999999999</v>
      </c>
      <c r="AA52" s="503">
        <f t="shared" si="8"/>
        <v>323.2209882352941</v>
      </c>
      <c r="AB52" s="488"/>
      <c r="AC52" s="504"/>
      <c r="AD52" s="505"/>
      <c r="AE52" s="518"/>
      <c r="AF52" s="505"/>
      <c r="AG52" s="519"/>
      <c r="AH52" s="488"/>
      <c r="AI52" s="520"/>
      <c r="AJ52" s="521"/>
      <c r="AK52" s="522">
        <f t="shared" si="2"/>
        <v>0</v>
      </c>
      <c r="AL52" s="488"/>
      <c r="AM52" s="1150">
        <v>180</v>
      </c>
      <c r="AN52" s="1150">
        <v>218.4</v>
      </c>
      <c r="AO52" s="1150">
        <v>367.05882352941177</v>
      </c>
      <c r="AP52" s="499">
        <v>0.2036</v>
      </c>
      <c r="AQ52" s="502">
        <f t="shared" si="9"/>
        <v>155.84741647058826</v>
      </c>
      <c r="AR52" s="488"/>
      <c r="AS52" s="523">
        <f t="shared" si="10"/>
        <v>111295.62265857586</v>
      </c>
      <c r="AT52" s="497"/>
      <c r="AU52" s="512"/>
      <c r="AV52" s="512"/>
      <c r="AW52" s="512">
        <f t="shared" si="11"/>
        <v>111295.62265857586</v>
      </c>
      <c r="AY52" s="513"/>
      <c r="AZ52" s="514"/>
      <c r="BA52" s="428">
        <f t="shared" si="3"/>
        <v>26</v>
      </c>
    </row>
    <row r="53" spans="1:54" ht="15" x14ac:dyDescent="0.25">
      <c r="A53" s="486" t="s">
        <v>9</v>
      </c>
      <c r="B53" s="439" t="s">
        <v>237</v>
      </c>
      <c r="C53" s="487">
        <v>1015</v>
      </c>
      <c r="D53" s="488">
        <v>1015</v>
      </c>
      <c r="E53" s="533">
        <v>1520</v>
      </c>
      <c r="F53" s="534">
        <f t="shared" si="0"/>
        <v>45600</v>
      </c>
      <c r="G53" s="499">
        <v>13860</v>
      </c>
      <c r="H53" s="499">
        <v>15330</v>
      </c>
      <c r="I53" s="499">
        <v>13860</v>
      </c>
      <c r="J53" s="500">
        <f t="shared" si="4"/>
        <v>43050</v>
      </c>
      <c r="K53" s="534">
        <f t="shared" si="5"/>
        <v>2550</v>
      </c>
      <c r="L53" s="500">
        <f t="shared" si="6"/>
        <v>43050</v>
      </c>
      <c r="M53" s="534" t="s">
        <v>195</v>
      </c>
      <c r="N53" s="501">
        <v>5.5991996578845935</v>
      </c>
      <c r="O53" s="535">
        <f t="shared" si="1"/>
        <v>241046</v>
      </c>
      <c r="P53" s="492"/>
      <c r="Q53" s="1149">
        <v>5197.5</v>
      </c>
      <c r="R53" s="1149">
        <v>4777.0538243626061</v>
      </c>
      <c r="S53" s="1149">
        <v>5218.5425101214587</v>
      </c>
      <c r="T53" s="534">
        <v>0.2036</v>
      </c>
      <c r="U53" s="502">
        <f t="shared" si="7"/>
        <v>3093.3144137009558</v>
      </c>
      <c r="V53" s="492"/>
      <c r="W53" s="432">
        <v>0</v>
      </c>
      <c r="X53" s="432">
        <v>0</v>
      </c>
      <c r="Y53" s="432">
        <v>0</v>
      </c>
      <c r="Z53" s="534">
        <v>1.7611399999999999</v>
      </c>
      <c r="AA53" s="503">
        <f t="shared" si="8"/>
        <v>0</v>
      </c>
      <c r="AB53" s="488"/>
      <c r="AC53" s="536"/>
      <c r="AD53" s="505"/>
      <c r="AE53" s="537"/>
      <c r="AF53" s="505"/>
      <c r="AG53" s="519">
        <v>28455.793750000001</v>
      </c>
      <c r="AH53" s="488"/>
      <c r="AI53" s="538">
        <v>1</v>
      </c>
      <c r="AJ53" s="521">
        <v>100000</v>
      </c>
      <c r="AK53" s="539">
        <f t="shared" si="2"/>
        <v>100000</v>
      </c>
      <c r="AL53" s="488"/>
      <c r="AM53" s="1150">
        <v>180.46875</v>
      </c>
      <c r="AN53" s="1150">
        <v>0</v>
      </c>
      <c r="AO53" s="1150">
        <v>0</v>
      </c>
      <c r="AP53" s="534">
        <v>0.2036</v>
      </c>
      <c r="AQ53" s="502">
        <f t="shared" si="9"/>
        <v>36.743437499999999</v>
      </c>
      <c r="AR53" s="488"/>
      <c r="AS53" s="540">
        <f t="shared" si="10"/>
        <v>372631.85160120093</v>
      </c>
      <c r="AT53" s="497"/>
      <c r="AU53" s="512"/>
      <c r="AV53" s="524">
        <f>5899.68-24</f>
        <v>5875.68</v>
      </c>
      <c r="AW53" s="512">
        <f t="shared" si="11"/>
        <v>378507.53160120093</v>
      </c>
      <c r="AY53" s="513"/>
      <c r="AZ53" s="514"/>
      <c r="BA53" s="428">
        <f t="shared" si="3"/>
        <v>40</v>
      </c>
    </row>
    <row r="54" spans="1:54" ht="15" x14ac:dyDescent="0.25">
      <c r="A54" s="486"/>
      <c r="B54" s="439"/>
      <c r="C54" s="487"/>
      <c r="D54" s="488"/>
      <c r="E54" s="489"/>
      <c r="F54" s="489"/>
      <c r="G54" s="489"/>
      <c r="H54" s="489"/>
      <c r="I54" s="489"/>
      <c r="J54" s="491"/>
      <c r="K54" s="489"/>
      <c r="L54" s="489"/>
      <c r="M54" s="489"/>
      <c r="N54" s="489"/>
      <c r="O54" s="491"/>
      <c r="P54" s="492"/>
      <c r="Q54" s="541"/>
      <c r="R54" s="541"/>
      <c r="S54" s="541"/>
      <c r="T54" s="489"/>
      <c r="U54" s="491"/>
      <c r="V54" s="492"/>
      <c r="W54" s="541"/>
      <c r="X54" s="541"/>
      <c r="Y54" s="541"/>
      <c r="Z54" s="489"/>
      <c r="AA54" s="493"/>
      <c r="AB54" s="488"/>
      <c r="AC54" s="542"/>
      <c r="AD54" s="505"/>
      <c r="AE54" s="542"/>
      <c r="AF54" s="505"/>
      <c r="AG54" s="542"/>
      <c r="AH54" s="488"/>
      <c r="AI54" s="489"/>
      <c r="AJ54" s="489"/>
      <c r="AK54" s="491"/>
      <c r="AL54" s="488"/>
      <c r="AM54" s="541"/>
      <c r="AN54" s="541"/>
      <c r="AO54" s="541"/>
      <c r="AP54" s="489"/>
      <c r="AQ54" s="491"/>
      <c r="AR54" s="488"/>
      <c r="AS54" s="491"/>
      <c r="AT54" s="497"/>
      <c r="AU54" s="512"/>
      <c r="AV54" s="512"/>
      <c r="AW54" s="512"/>
    </row>
    <row r="55" spans="1:54" s="559" customFormat="1" ht="15" x14ac:dyDescent="0.25">
      <c r="A55" s="543" t="s">
        <v>698</v>
      </c>
      <c r="B55" s="544"/>
      <c r="C55" s="545"/>
      <c r="D55" s="546"/>
      <c r="E55" s="547">
        <f t="shared" ref="E55:J55" si="16">SUM(E7:E54)</f>
        <v>62358</v>
      </c>
      <c r="F55" s="547">
        <f t="shared" si="16"/>
        <v>1870740</v>
      </c>
      <c r="G55" s="548">
        <f t="shared" si="16"/>
        <v>466614</v>
      </c>
      <c r="H55" s="547">
        <f t="shared" si="16"/>
        <v>397215</v>
      </c>
      <c r="I55" s="547">
        <f t="shared" si="16"/>
        <v>394920</v>
      </c>
      <c r="J55" s="549">
        <f t="shared" si="16"/>
        <v>1258749</v>
      </c>
      <c r="K55" s="550"/>
      <c r="L55" s="549">
        <f>SUM(L7:L54)</f>
        <v>1258749</v>
      </c>
      <c r="M55" s="551"/>
      <c r="N55" s="551"/>
      <c r="O55" s="547">
        <f>SUM(O7:O54)</f>
        <v>5219638</v>
      </c>
      <c r="P55" s="552"/>
      <c r="Q55" s="553">
        <f>SUM(Q7:Q54)</f>
        <v>736737.35132495675</v>
      </c>
      <c r="R55" s="553">
        <f>SUM(R7:R54)</f>
        <v>623441.42636255431</v>
      </c>
      <c r="S55" s="553">
        <f>SUM(S7:S54)</f>
        <v>706868.01284403144</v>
      </c>
      <c r="T55" s="551"/>
      <c r="U55" s="547">
        <f>SUM(U7:U54)</f>
        <v>420850.72655222198</v>
      </c>
      <c r="V55" s="552"/>
      <c r="W55" s="553">
        <f>SUM(W7:W54)</f>
        <v>14564.89073059178</v>
      </c>
      <c r="X55" s="553">
        <f>SUM(X7:X54)</f>
        <v>9943.0885354412367</v>
      </c>
      <c r="Y55" s="553">
        <f>SUM(Y7:Y54)</f>
        <v>13484.987949353186</v>
      </c>
      <c r="Z55" s="551"/>
      <c r="AA55" s="554">
        <f>SUM(AA7:AA54)</f>
        <v>66910.934281705253</v>
      </c>
      <c r="AB55" s="546"/>
      <c r="AC55" s="555">
        <f>SUM(AC7:AC54)</f>
        <v>252055</v>
      </c>
      <c r="AD55" s="546"/>
      <c r="AE55" s="555">
        <f>SUM(AE7:AE54)</f>
        <v>0</v>
      </c>
      <c r="AF55" s="546"/>
      <c r="AG55" s="555">
        <f>SUM(AG7:AG54)</f>
        <v>70050.816250000003</v>
      </c>
      <c r="AH55" s="555">
        <f>SUM(AH7:AH54)</f>
        <v>0</v>
      </c>
      <c r="AI55" s="555">
        <f>SUM(AI7:AI54)</f>
        <v>7</v>
      </c>
      <c r="AJ55" s="551"/>
      <c r="AK55" s="547">
        <f>SUM(AK7:AK54)</f>
        <v>700000</v>
      </c>
      <c r="AL55" s="546"/>
      <c r="AM55" s="553">
        <f>SUM(AM7:AM54)</f>
        <v>136191.85327112133</v>
      </c>
      <c r="AN55" s="553">
        <f>SUM(AN7:AN54)</f>
        <v>87370.24584764718</v>
      </c>
      <c r="AO55" s="553">
        <f>SUM(AO7:AO54)</f>
        <v>119688.72689024736</v>
      </c>
      <c r="AP55" s="551"/>
      <c r="AQ55" s="555">
        <f>SUM(AQ7:AQ54)</f>
        <v>69885.868175435637</v>
      </c>
      <c r="AR55" s="546"/>
      <c r="AS55" s="556">
        <f>SUM(AS7:AS54)</f>
        <v>6799391.3452593638</v>
      </c>
      <c r="AT55" s="557"/>
      <c r="AU55" s="556">
        <f>SUM(AU7:AU54)</f>
        <v>0</v>
      </c>
      <c r="AV55" s="556">
        <f>SUM(AV7:AV54)</f>
        <v>59114.5</v>
      </c>
      <c r="AW55" s="556">
        <f>SUM(AW7:AW54)</f>
        <v>6858505.8452593628</v>
      </c>
      <c r="AX55" s="558"/>
      <c r="AZ55" s="438"/>
    </row>
    <row r="56" spans="1:54" s="559" customFormat="1" ht="15" x14ac:dyDescent="0.25">
      <c r="A56" s="543"/>
      <c r="B56" s="544"/>
      <c r="C56" s="545"/>
      <c r="D56" s="546"/>
      <c r="E56" s="551" t="s">
        <v>539</v>
      </c>
      <c r="F56" s="551"/>
      <c r="G56" s="551">
        <f>G14+G16+G27</f>
        <v>24120</v>
      </c>
      <c r="H56" s="551">
        <f>H14+H16+H27</f>
        <v>21210</v>
      </c>
      <c r="I56" s="551">
        <f>I14+I16+I27</f>
        <v>20880</v>
      </c>
      <c r="J56" s="549"/>
      <c r="K56" s="550"/>
      <c r="L56" s="550"/>
      <c r="M56" s="551"/>
      <c r="N56" s="551"/>
      <c r="O56" s="560"/>
      <c r="P56" s="552"/>
      <c r="Q56" s="553"/>
      <c r="R56" s="553"/>
      <c r="S56" s="553"/>
      <c r="T56" s="551"/>
      <c r="U56" s="560"/>
      <c r="V56" s="552"/>
      <c r="W56" s="553"/>
      <c r="X56" s="553"/>
      <c r="Y56" s="553"/>
      <c r="Z56" s="551"/>
      <c r="AA56" s="561"/>
      <c r="AB56" s="546"/>
      <c r="AC56" s="562"/>
      <c r="AD56" s="546"/>
      <c r="AE56" s="562"/>
      <c r="AF56" s="546"/>
      <c r="AG56" s="562"/>
      <c r="AH56" s="546"/>
      <c r="AI56" s="551"/>
      <c r="AJ56" s="551"/>
      <c r="AK56" s="560"/>
      <c r="AL56" s="546"/>
      <c r="AM56" s="553"/>
      <c r="AN56" s="553"/>
      <c r="AO56" s="553"/>
      <c r="AP56" s="551"/>
      <c r="AQ56" s="562"/>
      <c r="AR56" s="551">
        <f>AR14+AR16+AR27</f>
        <v>0</v>
      </c>
      <c r="AS56" s="551"/>
      <c r="AT56" s="557"/>
      <c r="AU56" s="512"/>
      <c r="AV56" s="512"/>
      <c r="AW56" s="512"/>
      <c r="AX56" s="558"/>
      <c r="AZ56" s="438"/>
    </row>
    <row r="57" spans="1:54" s="559" customFormat="1" ht="15" x14ac:dyDescent="0.25">
      <c r="A57" s="543"/>
      <c r="B57" s="544"/>
      <c r="C57" s="545"/>
      <c r="D57" s="546"/>
      <c r="E57" s="551" t="s">
        <v>609</v>
      </c>
      <c r="F57" s="551"/>
      <c r="G57" s="560">
        <f>G55-G56</f>
        <v>442494</v>
      </c>
      <c r="H57" s="560">
        <f>H55-H56</f>
        <v>376005</v>
      </c>
      <c r="I57" s="560">
        <f>I55-I56</f>
        <v>374040</v>
      </c>
      <c r="J57" s="549"/>
      <c r="K57" s="550"/>
      <c r="L57" s="550"/>
      <c r="M57" s="551"/>
      <c r="N57" s="551">
        <f>4291.24/39/25</f>
        <v>4.4012717948717945</v>
      </c>
      <c r="O57" s="560"/>
      <c r="P57" s="552"/>
      <c r="Q57" s="430" t="s">
        <v>1409</v>
      </c>
      <c r="R57" s="430" t="s">
        <v>1409</v>
      </c>
      <c r="S57" s="553"/>
      <c r="T57" s="551"/>
      <c r="U57" s="560"/>
      <c r="V57" s="552"/>
      <c r="W57" s="553"/>
      <c r="X57" s="553"/>
      <c r="Y57" s="553"/>
      <c r="Z57" s="551"/>
      <c r="AA57" s="561"/>
      <c r="AB57" s="546"/>
      <c r="AC57" s="562"/>
      <c r="AD57" s="546"/>
      <c r="AE57" s="562"/>
      <c r="AF57" s="546"/>
      <c r="AG57" s="562"/>
      <c r="AH57" s="546"/>
      <c r="AI57" s="551"/>
      <c r="AJ57" s="551"/>
      <c r="AK57" s="560"/>
      <c r="AL57" s="546"/>
      <c r="AM57" s="553"/>
      <c r="AN57" s="553"/>
      <c r="AO57" s="553"/>
      <c r="AP57" s="551"/>
      <c r="AQ57" s="562"/>
      <c r="AR57" s="560">
        <f>AR55-AR56</f>
        <v>0</v>
      </c>
      <c r="AS57" s="560"/>
      <c r="AT57" s="557"/>
      <c r="AU57" s="512"/>
      <c r="AV57" s="512"/>
      <c r="AW57" s="512"/>
      <c r="AX57" s="558"/>
      <c r="AZ57" s="438"/>
    </row>
    <row r="58" spans="1:54" s="573" customFormat="1" ht="51" x14ac:dyDescent="0.25">
      <c r="A58" s="563" t="s">
        <v>699</v>
      </c>
      <c r="B58" s="563" t="s">
        <v>700</v>
      </c>
      <c r="C58" s="564" t="s">
        <v>701</v>
      </c>
      <c r="D58" s="565"/>
      <c r="E58" s="563" t="s">
        <v>668</v>
      </c>
      <c r="F58" s="563" t="s">
        <v>669</v>
      </c>
      <c r="G58" s="566" t="s">
        <v>676</v>
      </c>
      <c r="H58" s="566" t="s">
        <v>677</v>
      </c>
      <c r="I58" s="566" t="s">
        <v>678</v>
      </c>
      <c r="J58" s="567" t="s">
        <v>671</v>
      </c>
      <c r="K58" s="563" t="s">
        <v>672</v>
      </c>
      <c r="L58" s="563" t="s">
        <v>673</v>
      </c>
      <c r="M58" s="563" t="s">
        <v>190</v>
      </c>
      <c r="N58" s="563" t="s">
        <v>674</v>
      </c>
      <c r="O58" s="568" t="s">
        <v>675</v>
      </c>
      <c r="P58" s="565"/>
      <c r="Q58" s="472" t="s">
        <v>676</v>
      </c>
      <c r="R58" s="472" t="s">
        <v>677</v>
      </c>
      <c r="S58" s="472" t="s">
        <v>678</v>
      </c>
      <c r="T58" s="563" t="s">
        <v>679</v>
      </c>
      <c r="U58" s="568" t="s">
        <v>680</v>
      </c>
      <c r="V58" s="565"/>
      <c r="W58" s="563" t="s">
        <v>702</v>
      </c>
      <c r="X58" s="563"/>
      <c r="Y58" s="563"/>
      <c r="Z58" s="563" t="s">
        <v>679</v>
      </c>
      <c r="AA58" s="569" t="s">
        <v>681</v>
      </c>
      <c r="AB58" s="565"/>
      <c r="AC58" s="570" t="s">
        <v>682</v>
      </c>
      <c r="AD58" s="565"/>
      <c r="AE58" s="570" t="s">
        <v>683</v>
      </c>
      <c r="AF58" s="565"/>
      <c r="AG58" s="570" t="s">
        <v>684</v>
      </c>
      <c r="AH58" s="565"/>
      <c r="AI58" s="563" t="s">
        <v>685</v>
      </c>
      <c r="AJ58" s="563" t="s">
        <v>686</v>
      </c>
      <c r="AK58" s="568" t="s">
        <v>703</v>
      </c>
      <c r="AL58" s="565"/>
      <c r="AM58" s="563" t="s">
        <v>704</v>
      </c>
      <c r="AN58" s="563"/>
      <c r="AO58" s="563"/>
      <c r="AP58" s="563" t="s">
        <v>679</v>
      </c>
      <c r="AQ58" s="568" t="s">
        <v>688</v>
      </c>
      <c r="AR58" s="565"/>
      <c r="AS58" s="568" t="s">
        <v>705</v>
      </c>
      <c r="AT58" s="571"/>
      <c r="AU58" s="512"/>
      <c r="AV58" s="512"/>
      <c r="AW58" s="512"/>
      <c r="AX58" s="572"/>
      <c r="AZ58" s="438"/>
      <c r="BB58" s="574"/>
    </row>
    <row r="59" spans="1:54" s="588" customFormat="1" ht="15" x14ac:dyDescent="0.25">
      <c r="A59" s="575"/>
      <c r="B59" s="576"/>
      <c r="C59" s="577"/>
      <c r="D59" s="578"/>
      <c r="E59" s="579"/>
      <c r="F59" s="579"/>
      <c r="G59" s="580"/>
      <c r="H59" s="580"/>
      <c r="I59" s="580"/>
      <c r="J59" s="581"/>
      <c r="K59" s="579"/>
      <c r="L59" s="579"/>
      <c r="M59" s="579"/>
      <c r="N59" s="579"/>
      <c r="O59" s="582"/>
      <c r="P59" s="583"/>
      <c r="Q59" s="579"/>
      <c r="R59" s="579"/>
      <c r="S59" s="579"/>
      <c r="T59" s="579"/>
      <c r="U59" s="582"/>
      <c r="V59" s="583"/>
      <c r="W59" s="579"/>
      <c r="X59" s="579"/>
      <c r="Y59" s="579"/>
      <c r="Z59" s="579"/>
      <c r="AA59" s="580"/>
      <c r="AB59" s="578"/>
      <c r="AC59" s="584"/>
      <c r="AD59" s="585"/>
      <c r="AE59" s="584"/>
      <c r="AF59" s="585"/>
      <c r="AG59" s="584"/>
      <c r="AH59" s="578"/>
      <c r="AI59" s="579"/>
      <c r="AJ59" s="579"/>
      <c r="AK59" s="582"/>
      <c r="AL59" s="578"/>
      <c r="AM59" s="579"/>
      <c r="AN59" s="579"/>
      <c r="AO59" s="579"/>
      <c r="AP59" s="579"/>
      <c r="AQ59" s="582"/>
      <c r="AR59" s="578"/>
      <c r="AS59" s="582"/>
      <c r="AT59" s="586"/>
      <c r="AU59" s="512"/>
      <c r="AV59" s="512"/>
      <c r="AW59" s="512"/>
      <c r="AX59" s="587"/>
      <c r="AZ59" s="438"/>
      <c r="BB59" s="574"/>
    </row>
    <row r="60" spans="1:54" s="588" customFormat="1" ht="15" x14ac:dyDescent="0.25">
      <c r="A60" s="587" t="s">
        <v>238</v>
      </c>
      <c r="B60" s="587" t="s">
        <v>239</v>
      </c>
      <c r="C60" s="529">
        <v>206189</v>
      </c>
      <c r="D60" s="578">
        <v>206189</v>
      </c>
      <c r="E60" s="590"/>
      <c r="F60" s="591"/>
      <c r="G60" s="499">
        <v>6480</v>
      </c>
      <c r="H60" s="499">
        <v>5040</v>
      </c>
      <c r="I60" s="499">
        <v>5400</v>
      </c>
      <c r="J60" s="592">
        <f>SUM(G60:I60)</f>
        <v>16920</v>
      </c>
      <c r="K60" s="593"/>
      <c r="L60" s="594">
        <f t="shared" ref="L60:L123" si="17">IF(K60&lt;0,F60,J60)</f>
        <v>16920</v>
      </c>
      <c r="M60" s="593" t="s">
        <v>240</v>
      </c>
      <c r="N60" s="501">
        <f>3.68049858508459/100*106</f>
        <v>3.9013285001896651</v>
      </c>
      <c r="O60" s="595">
        <f t="shared" ref="O60:O161" si="18">ROUND(N60*L60,0)</f>
        <v>66010</v>
      </c>
      <c r="P60" s="583"/>
      <c r="Q60" s="1149">
        <v>11465.221308544869</v>
      </c>
      <c r="R60" s="1149">
        <v>9806.4878048780483</v>
      </c>
      <c r="S60" s="1149">
        <v>13544.081052631578</v>
      </c>
      <c r="T60" s="593">
        <v>0.2036</v>
      </c>
      <c r="U60" s="595">
        <f>SUM(Q60+R60+S60)*T60</f>
        <v>7088.4948778086955</v>
      </c>
      <c r="V60" s="583"/>
      <c r="W60" s="432">
        <v>180.70790132284591</v>
      </c>
      <c r="X60" s="432">
        <v>172.09756097560978</v>
      </c>
      <c r="Y60" s="432">
        <v>138.46153846153845</v>
      </c>
      <c r="Z60" s="593">
        <v>1.7611399999999999</v>
      </c>
      <c r="AA60" s="596">
        <f>SUM(W60+X60+Y60)*Z60</f>
        <v>865.18996571845605</v>
      </c>
      <c r="AB60" s="578"/>
      <c r="AC60" s="597"/>
      <c r="AD60" s="585"/>
      <c r="AE60" s="597"/>
      <c r="AF60" s="585"/>
      <c r="AG60" s="597"/>
      <c r="AH60" s="578"/>
      <c r="AI60" s="598"/>
      <c r="AJ60" s="599"/>
      <c r="AK60" s="600">
        <f t="shared" ref="AK60:AK164" si="19">AJ60*AI60</f>
        <v>0</v>
      </c>
      <c r="AL60" s="578"/>
      <c r="AM60" s="1150">
        <v>1687.5337861994994</v>
      </c>
      <c r="AN60" s="1150">
        <v>1376.7804878048782</v>
      </c>
      <c r="AO60" s="1150">
        <v>2492.3076923076924</v>
      </c>
      <c r="AP60" s="593">
        <v>0.2036</v>
      </c>
      <c r="AQ60" s="595">
        <f>SUM(AM60+AN60+AO60)*AP60</f>
        <v>1131.3282323411374</v>
      </c>
      <c r="AR60" s="578"/>
      <c r="AS60" s="601">
        <f>SUM(AQ60,AK60,AA60,U60,O60,AC60,AE60,AG60)</f>
        <v>75095.013075868294</v>
      </c>
      <c r="AT60" s="586"/>
      <c r="AU60" s="512"/>
      <c r="AV60" s="512"/>
      <c r="AW60" s="512">
        <f t="shared" ref="AW60:AW123" si="20">AU60+AS60+AV60</f>
        <v>75095.013075868294</v>
      </c>
      <c r="AX60" s="602"/>
      <c r="AY60" s="574"/>
      <c r="AZ60" s="438"/>
      <c r="BB60" s="574"/>
    </row>
    <row r="61" spans="1:54" s="588" customFormat="1" ht="15" x14ac:dyDescent="0.25">
      <c r="A61" s="603" t="s">
        <v>706</v>
      </c>
      <c r="B61" s="587" t="s">
        <v>707</v>
      </c>
      <c r="C61" s="529" t="s">
        <v>708</v>
      </c>
      <c r="D61" s="578">
        <v>466545</v>
      </c>
      <c r="E61" s="605"/>
      <c r="F61" s="606"/>
      <c r="G61" s="499">
        <v>1260</v>
      </c>
      <c r="H61" s="499">
        <v>840</v>
      </c>
      <c r="I61" s="499">
        <v>900</v>
      </c>
      <c r="J61" s="592">
        <f t="shared" ref="J61:J124" si="21">SUM(G61:I61)</f>
        <v>3000</v>
      </c>
      <c r="K61" s="593"/>
      <c r="L61" s="594">
        <f t="shared" si="17"/>
        <v>3000</v>
      </c>
      <c r="M61" s="593" t="s">
        <v>240</v>
      </c>
      <c r="N61" s="501">
        <f t="shared" ref="N61:N124" si="22">3.68049858508459/100*106</f>
        <v>3.9013285001896651</v>
      </c>
      <c r="O61" s="595">
        <f t="shared" si="18"/>
        <v>11704</v>
      </c>
      <c r="P61" s="583"/>
      <c r="Q61" s="1149">
        <v>2160</v>
      </c>
      <c r="R61" s="1149">
        <v>2520</v>
      </c>
      <c r="S61" s="1149">
        <v>0</v>
      </c>
      <c r="T61" s="593">
        <v>0.2036</v>
      </c>
      <c r="U61" s="595">
        <f t="shared" ref="U61:U124" si="23">SUM(Q61+R61+S61)*T61</f>
        <v>952.84800000000007</v>
      </c>
      <c r="V61" s="583"/>
      <c r="W61" s="432">
        <v>360</v>
      </c>
      <c r="X61" s="432">
        <v>0</v>
      </c>
      <c r="Y61" s="432">
        <v>0</v>
      </c>
      <c r="Z61" s="593">
        <v>1.7611399999999999</v>
      </c>
      <c r="AA61" s="596">
        <f t="shared" ref="AA61:AA124" si="24">SUM(W61+X61+Y61)*Z61</f>
        <v>634.0104</v>
      </c>
      <c r="AB61" s="578"/>
      <c r="AC61" s="597"/>
      <c r="AD61" s="585"/>
      <c r="AE61" s="597"/>
      <c r="AF61" s="585"/>
      <c r="AG61" s="597"/>
      <c r="AH61" s="578"/>
      <c r="AI61" s="598"/>
      <c r="AJ61" s="599"/>
      <c r="AK61" s="600">
        <f t="shared" si="19"/>
        <v>0</v>
      </c>
      <c r="AL61" s="578"/>
      <c r="AM61" s="1150">
        <v>180</v>
      </c>
      <c r="AN61" s="1150">
        <v>420</v>
      </c>
      <c r="AO61" s="1150">
        <v>0</v>
      </c>
      <c r="AP61" s="593">
        <v>0.2036</v>
      </c>
      <c r="AQ61" s="595">
        <f t="shared" ref="AQ61:AQ124" si="25">SUM(AM61+AN61+AO61)*AP61</f>
        <v>122.16</v>
      </c>
      <c r="AR61" s="578"/>
      <c r="AS61" s="601">
        <f t="shared" ref="AS61:AS124" si="26">SUM(AQ61,AK61,AA61,U61,O61,AC61,AE61,AG61)</f>
        <v>13413.018400000001</v>
      </c>
      <c r="AT61" s="586"/>
      <c r="AU61" s="512"/>
      <c r="AV61" s="512"/>
      <c r="AW61" s="512">
        <f t="shared" si="20"/>
        <v>13413.018400000001</v>
      </c>
      <c r="AX61" s="602"/>
      <c r="AY61" s="574"/>
      <c r="AZ61" s="438"/>
      <c r="BB61" s="574"/>
    </row>
    <row r="62" spans="1:54" s="588" customFormat="1" ht="15" x14ac:dyDescent="0.25">
      <c r="A62" s="607" t="s">
        <v>241</v>
      </c>
      <c r="B62" s="608"/>
      <c r="C62" s="529" t="s">
        <v>242</v>
      </c>
      <c r="D62" s="578">
        <v>362920</v>
      </c>
      <c r="E62" s="605"/>
      <c r="F62" s="606"/>
      <c r="G62" s="499">
        <v>7200</v>
      </c>
      <c r="H62" s="499">
        <v>4200</v>
      </c>
      <c r="I62" s="499">
        <v>5400</v>
      </c>
      <c r="J62" s="592">
        <f t="shared" si="21"/>
        <v>16800</v>
      </c>
      <c r="K62" s="593"/>
      <c r="L62" s="594">
        <f t="shared" si="17"/>
        <v>16800</v>
      </c>
      <c r="M62" s="610" t="s">
        <v>240</v>
      </c>
      <c r="N62" s="501">
        <f t="shared" si="22"/>
        <v>3.9013285001896651</v>
      </c>
      <c r="O62" s="595">
        <f t="shared" si="18"/>
        <v>65542</v>
      </c>
      <c r="P62" s="583"/>
      <c r="Q62" s="1149">
        <v>20520</v>
      </c>
      <c r="R62" s="1149">
        <v>10920</v>
      </c>
      <c r="S62" s="1149">
        <v>14381.367293233085</v>
      </c>
      <c r="T62" s="593">
        <v>0.2036</v>
      </c>
      <c r="U62" s="595">
        <f t="shared" si="23"/>
        <v>9329.230380902256</v>
      </c>
      <c r="V62" s="583"/>
      <c r="W62" s="432">
        <v>0</v>
      </c>
      <c r="X62" s="432">
        <v>0</v>
      </c>
      <c r="Y62" s="432">
        <v>192.85714285714283</v>
      </c>
      <c r="Z62" s="593">
        <v>1.7611399999999999</v>
      </c>
      <c r="AA62" s="596">
        <f t="shared" si="24"/>
        <v>339.6484285714285</v>
      </c>
      <c r="AB62" s="578"/>
      <c r="AC62" s="611"/>
      <c r="AD62" s="585"/>
      <c r="AE62" s="611"/>
      <c r="AF62" s="585"/>
      <c r="AG62" s="611"/>
      <c r="AH62" s="578"/>
      <c r="AI62" s="612"/>
      <c r="AJ62" s="613"/>
      <c r="AK62" s="600">
        <f t="shared" si="19"/>
        <v>0</v>
      </c>
      <c r="AL62" s="578"/>
      <c r="AM62" s="1150">
        <v>3960.0000000000005</v>
      </c>
      <c r="AN62" s="1150">
        <v>4200</v>
      </c>
      <c r="AO62" s="1150">
        <v>4050</v>
      </c>
      <c r="AP62" s="593">
        <v>0.2036</v>
      </c>
      <c r="AQ62" s="595">
        <f t="shared" si="25"/>
        <v>2485.9560000000001</v>
      </c>
      <c r="AR62" s="578"/>
      <c r="AS62" s="601">
        <f t="shared" si="26"/>
        <v>77696.834809473687</v>
      </c>
      <c r="AT62" s="586"/>
      <c r="AU62" s="512"/>
      <c r="AV62" s="512"/>
      <c r="AW62" s="512">
        <f t="shared" si="20"/>
        <v>77696.834809473687</v>
      </c>
      <c r="AX62" s="602"/>
      <c r="AY62" s="574"/>
      <c r="AZ62" s="438"/>
      <c r="BB62" s="574"/>
    </row>
    <row r="63" spans="1:54" s="588" customFormat="1" ht="15" x14ac:dyDescent="0.25">
      <c r="A63" s="587" t="s">
        <v>243</v>
      </c>
      <c r="B63" s="587" t="s">
        <v>244</v>
      </c>
      <c r="C63" s="529" t="s">
        <v>245</v>
      </c>
      <c r="D63" s="578">
        <v>380753</v>
      </c>
      <c r="E63" s="605"/>
      <c r="F63" s="606"/>
      <c r="G63" s="499">
        <v>5760</v>
      </c>
      <c r="H63" s="499">
        <v>6720</v>
      </c>
      <c r="I63" s="499">
        <v>5040</v>
      </c>
      <c r="J63" s="592">
        <f t="shared" si="21"/>
        <v>17520</v>
      </c>
      <c r="K63" s="593"/>
      <c r="L63" s="594">
        <f t="shared" si="17"/>
        <v>17520</v>
      </c>
      <c r="M63" s="610" t="s">
        <v>240</v>
      </c>
      <c r="N63" s="501">
        <f t="shared" si="22"/>
        <v>3.9013285001896651</v>
      </c>
      <c r="O63" s="595">
        <f t="shared" si="18"/>
        <v>68351</v>
      </c>
      <c r="P63" s="583"/>
      <c r="Q63" s="1149">
        <v>10633.846153846154</v>
      </c>
      <c r="R63" s="1149">
        <v>15811.764705882353</v>
      </c>
      <c r="S63" s="1149">
        <v>3625.589210526316</v>
      </c>
      <c r="T63" s="593">
        <v>0.2036</v>
      </c>
      <c r="U63" s="595">
        <f t="shared" si="23"/>
        <v>6122.4963343038817</v>
      </c>
      <c r="V63" s="583"/>
      <c r="W63" s="432">
        <v>0</v>
      </c>
      <c r="X63" s="432">
        <v>790.58823529411768</v>
      </c>
      <c r="Y63" s="432">
        <v>630</v>
      </c>
      <c r="Z63" s="593">
        <v>1.7611399999999999</v>
      </c>
      <c r="AA63" s="596">
        <f t="shared" si="24"/>
        <v>2501.8547647058822</v>
      </c>
      <c r="AB63" s="578"/>
      <c r="AC63" s="611"/>
      <c r="AD63" s="585"/>
      <c r="AE63" s="611"/>
      <c r="AF63" s="585"/>
      <c r="AG63" s="611"/>
      <c r="AH63" s="578"/>
      <c r="AI63" s="612"/>
      <c r="AJ63" s="613"/>
      <c r="AK63" s="600">
        <f t="shared" si="19"/>
        <v>0</v>
      </c>
      <c r="AL63" s="578"/>
      <c r="AM63" s="1150">
        <v>886.15384615384619</v>
      </c>
      <c r="AN63" s="1150">
        <v>790.58823529411768</v>
      </c>
      <c r="AO63" s="1150">
        <v>0</v>
      </c>
      <c r="AP63" s="593">
        <v>0.2036</v>
      </c>
      <c r="AQ63" s="595">
        <f t="shared" si="25"/>
        <v>341.38468778280543</v>
      </c>
      <c r="AR63" s="578"/>
      <c r="AS63" s="601">
        <f t="shared" si="26"/>
        <v>77316.735786792575</v>
      </c>
      <c r="AT63" s="586"/>
      <c r="AU63" s="512"/>
      <c r="AV63" s="512"/>
      <c r="AW63" s="512">
        <f t="shared" si="20"/>
        <v>77316.735786792575</v>
      </c>
      <c r="AX63" s="602"/>
      <c r="AY63" s="574"/>
      <c r="AZ63" s="438"/>
      <c r="BB63" s="574"/>
    </row>
    <row r="64" spans="1:54" s="588" customFormat="1" ht="15" x14ac:dyDescent="0.25">
      <c r="A64" s="614" t="s">
        <v>246</v>
      </c>
      <c r="B64" s="615"/>
      <c r="C64" s="529" t="s">
        <v>247</v>
      </c>
      <c r="D64" s="578">
        <v>467568</v>
      </c>
      <c r="E64" s="605"/>
      <c r="F64" s="606"/>
      <c r="G64" s="499">
        <v>2484</v>
      </c>
      <c r="H64" s="499">
        <v>2058</v>
      </c>
      <c r="I64" s="499">
        <v>2160</v>
      </c>
      <c r="J64" s="592">
        <f t="shared" si="21"/>
        <v>6702</v>
      </c>
      <c r="K64" s="593"/>
      <c r="L64" s="594">
        <f t="shared" si="17"/>
        <v>6702</v>
      </c>
      <c r="M64" s="610" t="s">
        <v>240</v>
      </c>
      <c r="N64" s="501">
        <f t="shared" si="22"/>
        <v>3.9013285001896651</v>
      </c>
      <c r="O64" s="595">
        <f t="shared" si="18"/>
        <v>26147</v>
      </c>
      <c r="P64" s="583"/>
      <c r="Q64" s="1149">
        <v>5652</v>
      </c>
      <c r="R64" s="1149">
        <v>5250</v>
      </c>
      <c r="S64" s="1149">
        <v>972.44747368420985</v>
      </c>
      <c r="T64" s="593">
        <v>0.2036</v>
      </c>
      <c r="U64" s="595">
        <f t="shared" si="23"/>
        <v>2417.6375056421052</v>
      </c>
      <c r="V64" s="583"/>
      <c r="W64" s="432">
        <v>360</v>
      </c>
      <c r="X64" s="432">
        <v>630</v>
      </c>
      <c r="Y64" s="432">
        <v>180</v>
      </c>
      <c r="Z64" s="593">
        <v>1.7611399999999999</v>
      </c>
      <c r="AA64" s="596">
        <f t="shared" si="24"/>
        <v>2060.5337999999997</v>
      </c>
      <c r="AB64" s="578"/>
      <c r="AC64" s="611"/>
      <c r="AD64" s="585"/>
      <c r="AE64" s="611"/>
      <c r="AF64" s="585"/>
      <c r="AG64" s="611"/>
      <c r="AH64" s="578"/>
      <c r="AI64" s="612"/>
      <c r="AJ64" s="613"/>
      <c r="AK64" s="600">
        <f t="shared" si="19"/>
        <v>0</v>
      </c>
      <c r="AL64" s="578"/>
      <c r="AM64" s="1150">
        <v>180</v>
      </c>
      <c r="AN64" s="1150">
        <v>0</v>
      </c>
      <c r="AO64" s="1150">
        <v>0</v>
      </c>
      <c r="AP64" s="593">
        <v>0.2036</v>
      </c>
      <c r="AQ64" s="595">
        <f t="shared" si="25"/>
        <v>36.648000000000003</v>
      </c>
      <c r="AR64" s="578"/>
      <c r="AS64" s="601">
        <f t="shared" si="26"/>
        <v>30661.819305642104</v>
      </c>
      <c r="AT64" s="586"/>
      <c r="AU64" s="512"/>
      <c r="AV64" s="512"/>
      <c r="AW64" s="512">
        <f t="shared" si="20"/>
        <v>30661.819305642104</v>
      </c>
      <c r="AX64" s="602"/>
      <c r="AY64" s="574"/>
      <c r="AZ64" s="438"/>
      <c r="BB64" s="574"/>
    </row>
    <row r="65" spans="1:55" s="588" customFormat="1" ht="15" x14ac:dyDescent="0.25">
      <c r="A65" s="616" t="s">
        <v>248</v>
      </c>
      <c r="B65" s="587"/>
      <c r="C65" s="529" t="s">
        <v>249</v>
      </c>
      <c r="D65" s="578">
        <v>467617</v>
      </c>
      <c r="E65" s="605"/>
      <c r="F65" s="606"/>
      <c r="G65" s="499">
        <v>2160</v>
      </c>
      <c r="H65" s="499">
        <v>1680</v>
      </c>
      <c r="I65" s="499">
        <v>2160</v>
      </c>
      <c r="J65" s="592">
        <f t="shared" si="21"/>
        <v>6000</v>
      </c>
      <c r="K65" s="593"/>
      <c r="L65" s="594">
        <f t="shared" si="17"/>
        <v>6000</v>
      </c>
      <c r="M65" s="610" t="s">
        <v>240</v>
      </c>
      <c r="N65" s="501">
        <f t="shared" si="22"/>
        <v>3.9013285001896651</v>
      </c>
      <c r="O65" s="595">
        <f t="shared" si="18"/>
        <v>23408</v>
      </c>
      <c r="P65" s="583"/>
      <c r="Q65" s="1149">
        <v>5082.3529411764712</v>
      </c>
      <c r="R65" s="1149">
        <v>3360</v>
      </c>
      <c r="S65" s="1149">
        <v>1381.7392105263159</v>
      </c>
      <c r="T65" s="593">
        <v>0.2036</v>
      </c>
      <c r="U65" s="595">
        <f t="shared" si="23"/>
        <v>2000.1851620866876</v>
      </c>
      <c r="V65" s="583"/>
      <c r="W65" s="432">
        <v>127.05882352941177</v>
      </c>
      <c r="X65" s="432">
        <v>0</v>
      </c>
      <c r="Y65" s="432">
        <v>0</v>
      </c>
      <c r="Z65" s="593">
        <v>1.7611399999999999</v>
      </c>
      <c r="AA65" s="596">
        <f t="shared" si="24"/>
        <v>223.76837647058824</v>
      </c>
      <c r="AB65" s="578"/>
      <c r="AC65" s="611"/>
      <c r="AD65" s="585"/>
      <c r="AE65" s="611"/>
      <c r="AF65" s="585"/>
      <c r="AG65" s="611"/>
      <c r="AH65" s="578"/>
      <c r="AI65" s="612"/>
      <c r="AJ65" s="613"/>
      <c r="AK65" s="600">
        <f t="shared" si="19"/>
        <v>0</v>
      </c>
      <c r="AL65" s="578"/>
      <c r="AM65" s="1150">
        <v>0</v>
      </c>
      <c r="AN65" s="1150">
        <v>0</v>
      </c>
      <c r="AO65" s="1150">
        <v>0</v>
      </c>
      <c r="AP65" s="593">
        <v>0.2036</v>
      </c>
      <c r="AQ65" s="595">
        <f t="shared" si="25"/>
        <v>0</v>
      </c>
      <c r="AR65" s="578"/>
      <c r="AS65" s="601">
        <f t="shared" si="26"/>
        <v>25631.953538557274</v>
      </c>
      <c r="AT65" s="586"/>
      <c r="AU65" s="512"/>
      <c r="AV65" s="512"/>
      <c r="AW65" s="512">
        <f t="shared" si="20"/>
        <v>25631.953538557274</v>
      </c>
      <c r="AX65" s="602"/>
      <c r="AY65" s="574"/>
      <c r="AZ65" s="438"/>
      <c r="BB65" s="574"/>
    </row>
    <row r="66" spans="1:55" s="588" customFormat="1" ht="15" x14ac:dyDescent="0.25">
      <c r="A66" s="616" t="s">
        <v>250</v>
      </c>
      <c r="B66" s="587"/>
      <c r="C66" s="529" t="s">
        <v>709</v>
      </c>
      <c r="D66" s="578">
        <v>467609</v>
      </c>
      <c r="E66" s="605"/>
      <c r="F66" s="606"/>
      <c r="G66" s="499">
        <v>0</v>
      </c>
      <c r="H66" s="499">
        <v>0</v>
      </c>
      <c r="I66" s="499">
        <v>0</v>
      </c>
      <c r="J66" s="592">
        <f t="shared" si="21"/>
        <v>0</v>
      </c>
      <c r="K66" s="593"/>
      <c r="L66" s="594">
        <f t="shared" si="17"/>
        <v>0</v>
      </c>
      <c r="M66" s="610" t="s">
        <v>240</v>
      </c>
      <c r="N66" s="501">
        <f t="shared" si="22"/>
        <v>3.9013285001896651</v>
      </c>
      <c r="O66" s="595">
        <f t="shared" si="18"/>
        <v>0</v>
      </c>
      <c r="P66" s="583"/>
      <c r="Q66" s="1149">
        <v>0</v>
      </c>
      <c r="R66" s="1149">
        <v>0</v>
      </c>
      <c r="S66" s="1149">
        <v>0</v>
      </c>
      <c r="T66" s="593">
        <v>0.2036</v>
      </c>
      <c r="U66" s="595">
        <f t="shared" si="23"/>
        <v>0</v>
      </c>
      <c r="V66" s="583"/>
      <c r="W66" s="432">
        <v>0</v>
      </c>
      <c r="X66" s="432">
        <v>0</v>
      </c>
      <c r="Y66" s="432">
        <v>0</v>
      </c>
      <c r="Z66" s="593">
        <v>1.7611399999999999</v>
      </c>
      <c r="AA66" s="596">
        <f t="shared" si="24"/>
        <v>0</v>
      </c>
      <c r="AB66" s="578"/>
      <c r="AC66" s="611"/>
      <c r="AD66" s="585"/>
      <c r="AE66" s="611"/>
      <c r="AF66" s="585"/>
      <c r="AG66" s="611"/>
      <c r="AH66" s="578"/>
      <c r="AI66" s="612"/>
      <c r="AJ66" s="613"/>
      <c r="AK66" s="600">
        <f t="shared" si="19"/>
        <v>0</v>
      </c>
      <c r="AL66" s="578"/>
      <c r="AM66" s="1150">
        <v>0</v>
      </c>
      <c r="AN66" s="1150">
        <v>0</v>
      </c>
      <c r="AO66" s="1150">
        <v>0</v>
      </c>
      <c r="AP66" s="593">
        <v>0.2036</v>
      </c>
      <c r="AQ66" s="595">
        <f t="shared" si="25"/>
        <v>0</v>
      </c>
      <c r="AR66" s="578"/>
      <c r="AS66" s="601">
        <f t="shared" si="26"/>
        <v>0</v>
      </c>
      <c r="AT66" s="586"/>
      <c r="AU66" s="512"/>
      <c r="AV66" s="512"/>
      <c r="AW66" s="512">
        <f t="shared" si="20"/>
        <v>0</v>
      </c>
      <c r="AX66" s="602"/>
      <c r="AY66" s="574"/>
      <c r="AZ66" s="438"/>
      <c r="BB66" s="574"/>
    </row>
    <row r="67" spans="1:55" s="588" customFormat="1" ht="15" x14ac:dyDescent="0.25">
      <c r="A67" s="617" t="s">
        <v>251</v>
      </c>
      <c r="B67" s="618"/>
      <c r="C67" s="529" t="s">
        <v>252</v>
      </c>
      <c r="D67" s="578">
        <v>450983</v>
      </c>
      <c r="E67" s="605"/>
      <c r="F67" s="606"/>
      <c r="G67" s="499">
        <v>13140</v>
      </c>
      <c r="H67" s="499">
        <v>8610</v>
      </c>
      <c r="I67" s="499">
        <v>10800</v>
      </c>
      <c r="J67" s="592">
        <f t="shared" si="21"/>
        <v>32550</v>
      </c>
      <c r="K67" s="593"/>
      <c r="L67" s="594">
        <f t="shared" si="17"/>
        <v>32550</v>
      </c>
      <c r="M67" s="610" t="s">
        <v>240</v>
      </c>
      <c r="N67" s="501">
        <f t="shared" si="22"/>
        <v>3.9013285001896651</v>
      </c>
      <c r="O67" s="595">
        <f t="shared" si="18"/>
        <v>126988</v>
      </c>
      <c r="P67" s="583"/>
      <c r="Q67" s="1149">
        <v>11377.784256559768</v>
      </c>
      <c r="R67" s="1149">
        <v>8555.0035486160396</v>
      </c>
      <c r="S67" s="1149">
        <v>3953.8998947368418</v>
      </c>
      <c r="T67" s="593">
        <v>0.2036</v>
      </c>
      <c r="U67" s="595">
        <f t="shared" si="23"/>
        <v>4863.329615702216</v>
      </c>
      <c r="V67" s="583"/>
      <c r="W67" s="432">
        <v>191.54518950437316</v>
      </c>
      <c r="X67" s="432">
        <v>142.58339247693399</v>
      </c>
      <c r="Y67" s="432">
        <v>180</v>
      </c>
      <c r="Z67" s="593">
        <v>1.7611399999999999</v>
      </c>
      <c r="AA67" s="596">
        <f t="shared" si="24"/>
        <v>905.45241087055933</v>
      </c>
      <c r="AB67" s="578"/>
      <c r="AC67" s="611"/>
      <c r="AD67" s="585"/>
      <c r="AE67" s="611"/>
      <c r="AF67" s="585"/>
      <c r="AG67" s="611"/>
      <c r="AH67" s="578"/>
      <c r="AI67" s="612"/>
      <c r="AJ67" s="613"/>
      <c r="AK67" s="600">
        <f t="shared" si="19"/>
        <v>0</v>
      </c>
      <c r="AL67" s="578"/>
      <c r="AM67" s="1150">
        <v>0</v>
      </c>
      <c r="AN67" s="1150">
        <v>285.16678495386799</v>
      </c>
      <c r="AO67" s="1150">
        <v>36</v>
      </c>
      <c r="AP67" s="593">
        <v>0.2036</v>
      </c>
      <c r="AQ67" s="595">
        <f t="shared" si="25"/>
        <v>65.389557416607531</v>
      </c>
      <c r="AR67" s="578"/>
      <c r="AS67" s="601">
        <f t="shared" si="26"/>
        <v>132822.17158398937</v>
      </c>
      <c r="AT67" s="586"/>
      <c r="AU67" s="512"/>
      <c r="AV67" s="512"/>
      <c r="AW67" s="512">
        <f t="shared" si="20"/>
        <v>132822.17158398937</v>
      </c>
      <c r="AX67" s="602"/>
      <c r="AY67" s="574"/>
      <c r="AZ67" s="438"/>
      <c r="BB67" s="574"/>
    </row>
    <row r="68" spans="1:55" s="588" customFormat="1" ht="15" x14ac:dyDescent="0.25">
      <c r="A68" s="587" t="s">
        <v>253</v>
      </c>
      <c r="B68" s="587" t="s">
        <v>254</v>
      </c>
      <c r="C68" s="529">
        <v>206124</v>
      </c>
      <c r="D68" s="578">
        <v>206124</v>
      </c>
      <c r="E68" s="605"/>
      <c r="F68" s="606"/>
      <c r="G68" s="499">
        <v>0</v>
      </c>
      <c r="H68" s="499">
        <v>0</v>
      </c>
      <c r="I68" s="499">
        <v>0</v>
      </c>
      <c r="J68" s="592">
        <f t="shared" si="21"/>
        <v>0</v>
      </c>
      <c r="K68" s="593"/>
      <c r="L68" s="594">
        <f t="shared" si="17"/>
        <v>0</v>
      </c>
      <c r="M68" s="610" t="s">
        <v>255</v>
      </c>
      <c r="N68" s="501">
        <f t="shared" si="22"/>
        <v>3.9013285001896651</v>
      </c>
      <c r="O68" s="595">
        <f t="shared" si="18"/>
        <v>0</v>
      </c>
      <c r="P68" s="583"/>
      <c r="Q68" s="1149">
        <v>0</v>
      </c>
      <c r="R68" s="1149">
        <v>0</v>
      </c>
      <c r="S68" s="1149">
        <v>0</v>
      </c>
      <c r="T68" s="593">
        <v>0.2036</v>
      </c>
      <c r="U68" s="595">
        <f t="shared" si="23"/>
        <v>0</v>
      </c>
      <c r="V68" s="583"/>
      <c r="W68" s="432">
        <v>0</v>
      </c>
      <c r="X68" s="432">
        <v>0</v>
      </c>
      <c r="Y68" s="432">
        <v>0</v>
      </c>
      <c r="Z68" s="593">
        <v>1.7611399999999999</v>
      </c>
      <c r="AA68" s="596">
        <f t="shared" si="24"/>
        <v>0</v>
      </c>
      <c r="AB68" s="578"/>
      <c r="AC68" s="611"/>
      <c r="AD68" s="585"/>
      <c r="AE68" s="611"/>
      <c r="AF68" s="585"/>
      <c r="AG68" s="611"/>
      <c r="AH68" s="578"/>
      <c r="AI68" s="612"/>
      <c r="AJ68" s="613"/>
      <c r="AK68" s="600">
        <f t="shared" si="19"/>
        <v>0</v>
      </c>
      <c r="AL68" s="578"/>
      <c r="AM68" s="1150">
        <v>0</v>
      </c>
      <c r="AN68" s="1150">
        <v>0</v>
      </c>
      <c r="AO68" s="1150">
        <v>0</v>
      </c>
      <c r="AP68" s="593">
        <v>0.2036</v>
      </c>
      <c r="AQ68" s="595">
        <f t="shared" si="25"/>
        <v>0</v>
      </c>
      <c r="AR68" s="578"/>
      <c r="AS68" s="601">
        <f t="shared" si="26"/>
        <v>0</v>
      </c>
      <c r="AT68" s="586"/>
      <c r="AU68" s="512"/>
      <c r="AV68" s="512"/>
      <c r="AW68" s="512">
        <f t="shared" si="20"/>
        <v>0</v>
      </c>
      <c r="AX68" s="602"/>
      <c r="AY68" s="574"/>
      <c r="AZ68" s="438"/>
      <c r="BB68" s="574"/>
    </row>
    <row r="69" spans="1:55" s="588" customFormat="1" ht="15" x14ac:dyDescent="0.25">
      <c r="A69" s="587" t="s">
        <v>256</v>
      </c>
      <c r="B69" s="587" t="s">
        <v>257</v>
      </c>
      <c r="C69" s="529" t="s">
        <v>258</v>
      </c>
      <c r="D69" s="578">
        <v>282068</v>
      </c>
      <c r="E69" s="605"/>
      <c r="F69" s="606"/>
      <c r="G69" s="499">
        <v>3240</v>
      </c>
      <c r="H69" s="499">
        <v>1750</v>
      </c>
      <c r="I69" s="499">
        <v>1740</v>
      </c>
      <c r="J69" s="592">
        <f t="shared" si="21"/>
        <v>6730</v>
      </c>
      <c r="K69" s="593"/>
      <c r="L69" s="594">
        <f t="shared" si="17"/>
        <v>6730</v>
      </c>
      <c r="M69" s="610" t="s">
        <v>255</v>
      </c>
      <c r="N69" s="501">
        <f t="shared" si="22"/>
        <v>3.9013285001896651</v>
      </c>
      <c r="O69" s="595">
        <f t="shared" si="18"/>
        <v>26256</v>
      </c>
      <c r="P69" s="583"/>
      <c r="Q69" s="1149">
        <v>684.50704225352115</v>
      </c>
      <c r="R69" s="1149">
        <v>0</v>
      </c>
      <c r="S69" s="1149">
        <v>264.8628413138108</v>
      </c>
      <c r="T69" s="593">
        <v>0.2036</v>
      </c>
      <c r="U69" s="595">
        <f t="shared" si="23"/>
        <v>193.29170829430879</v>
      </c>
      <c r="V69" s="583"/>
      <c r="W69" s="432">
        <v>228.16901408450704</v>
      </c>
      <c r="X69" s="432">
        <v>0</v>
      </c>
      <c r="Y69" s="432">
        <v>0</v>
      </c>
      <c r="Z69" s="593">
        <v>1.7611399999999999</v>
      </c>
      <c r="AA69" s="596">
        <f t="shared" si="24"/>
        <v>401.83757746478869</v>
      </c>
      <c r="AB69" s="578"/>
      <c r="AC69" s="611"/>
      <c r="AD69" s="585"/>
      <c r="AE69" s="611"/>
      <c r="AF69" s="585"/>
      <c r="AG69" s="611"/>
      <c r="AH69" s="578"/>
      <c r="AI69" s="612"/>
      <c r="AJ69" s="613"/>
      <c r="AK69" s="600">
        <f t="shared" si="19"/>
        <v>0</v>
      </c>
      <c r="AL69" s="578"/>
      <c r="AM69" s="1150">
        <v>0</v>
      </c>
      <c r="AN69" s="1150">
        <v>0</v>
      </c>
      <c r="AO69" s="1150">
        <v>0</v>
      </c>
      <c r="AP69" s="593">
        <v>0.2036</v>
      </c>
      <c r="AQ69" s="595">
        <f t="shared" si="25"/>
        <v>0</v>
      </c>
      <c r="AR69" s="578"/>
      <c r="AS69" s="601">
        <f t="shared" si="26"/>
        <v>26851.129285759096</v>
      </c>
      <c r="AT69" s="586"/>
      <c r="AU69" s="512"/>
      <c r="AV69" s="512"/>
      <c r="AW69" s="512">
        <f t="shared" si="20"/>
        <v>26851.129285759096</v>
      </c>
      <c r="AX69" s="602"/>
      <c r="AY69" s="574"/>
      <c r="AZ69" s="438"/>
      <c r="BB69" s="574"/>
    </row>
    <row r="70" spans="1:55" s="588" customFormat="1" ht="15" x14ac:dyDescent="0.25">
      <c r="A70" s="587" t="s">
        <v>259</v>
      </c>
      <c r="B70" s="587" t="s">
        <v>260</v>
      </c>
      <c r="C70" s="529">
        <v>206126</v>
      </c>
      <c r="D70" s="578">
        <v>206126</v>
      </c>
      <c r="E70" s="605"/>
      <c r="F70" s="606"/>
      <c r="G70" s="499">
        <v>6120</v>
      </c>
      <c r="H70" s="499">
        <v>5586</v>
      </c>
      <c r="I70" s="499">
        <v>4908</v>
      </c>
      <c r="J70" s="592">
        <f t="shared" si="21"/>
        <v>16614</v>
      </c>
      <c r="K70" s="593"/>
      <c r="L70" s="594">
        <f t="shared" si="17"/>
        <v>16614</v>
      </c>
      <c r="M70" s="610" t="s">
        <v>255</v>
      </c>
      <c r="N70" s="501">
        <f t="shared" si="22"/>
        <v>3.9013285001896651</v>
      </c>
      <c r="O70" s="595">
        <f t="shared" si="18"/>
        <v>64817</v>
      </c>
      <c r="P70" s="583"/>
      <c r="Q70" s="1149">
        <v>1584.0000000000002</v>
      </c>
      <c r="R70" s="1149">
        <v>210</v>
      </c>
      <c r="S70" s="1149">
        <v>749.07473684210527</v>
      </c>
      <c r="T70" s="593">
        <v>0.2036</v>
      </c>
      <c r="U70" s="595">
        <f t="shared" si="23"/>
        <v>517.77001642105267</v>
      </c>
      <c r="V70" s="583"/>
      <c r="W70" s="432">
        <v>0</v>
      </c>
      <c r="X70" s="432">
        <v>0</v>
      </c>
      <c r="Y70" s="432">
        <v>0</v>
      </c>
      <c r="Z70" s="593">
        <v>1.7611399999999999</v>
      </c>
      <c r="AA70" s="596">
        <f t="shared" si="24"/>
        <v>0</v>
      </c>
      <c r="AB70" s="578"/>
      <c r="AC70" s="611"/>
      <c r="AD70" s="585"/>
      <c r="AE70" s="611"/>
      <c r="AF70" s="585"/>
      <c r="AG70" s="611"/>
      <c r="AH70" s="578"/>
      <c r="AI70" s="612"/>
      <c r="AJ70" s="613"/>
      <c r="AK70" s="600">
        <f t="shared" si="19"/>
        <v>0</v>
      </c>
      <c r="AL70" s="578"/>
      <c r="AM70" s="1150">
        <v>0</v>
      </c>
      <c r="AN70" s="1150">
        <v>0</v>
      </c>
      <c r="AO70" s="1150">
        <v>0</v>
      </c>
      <c r="AP70" s="593">
        <v>0.2036</v>
      </c>
      <c r="AQ70" s="595">
        <f t="shared" si="25"/>
        <v>0</v>
      </c>
      <c r="AR70" s="578"/>
      <c r="AS70" s="601">
        <f t="shared" si="26"/>
        <v>65334.770016421055</v>
      </c>
      <c r="AT70" s="586"/>
      <c r="AU70" s="512"/>
      <c r="AV70" s="512"/>
      <c r="AW70" s="512">
        <f t="shared" si="20"/>
        <v>65334.770016421055</v>
      </c>
      <c r="AX70" s="602"/>
      <c r="AY70" s="574"/>
      <c r="AZ70" s="438"/>
      <c r="BB70" s="574"/>
    </row>
    <row r="71" spans="1:55" s="588" customFormat="1" ht="15" x14ac:dyDescent="0.25">
      <c r="A71" s="587" t="s">
        <v>261</v>
      </c>
      <c r="B71" s="587" t="s">
        <v>262</v>
      </c>
      <c r="C71" s="529">
        <v>206111</v>
      </c>
      <c r="D71" s="578">
        <v>206111</v>
      </c>
      <c r="E71" s="605"/>
      <c r="F71" s="606"/>
      <c r="G71" s="499">
        <v>7992</v>
      </c>
      <c r="H71" s="499">
        <v>7140</v>
      </c>
      <c r="I71" s="499">
        <v>6501</v>
      </c>
      <c r="J71" s="592">
        <f t="shared" si="21"/>
        <v>21633</v>
      </c>
      <c r="K71" s="593"/>
      <c r="L71" s="594">
        <f t="shared" si="17"/>
        <v>21633</v>
      </c>
      <c r="M71" s="610" t="s">
        <v>240</v>
      </c>
      <c r="N71" s="501">
        <f t="shared" si="22"/>
        <v>3.9013285001896651</v>
      </c>
      <c r="O71" s="595">
        <f t="shared" si="18"/>
        <v>84397</v>
      </c>
      <c r="P71" s="583"/>
      <c r="Q71" s="1149">
        <v>936.44402277039853</v>
      </c>
      <c r="R71" s="1149">
        <v>910.46979865771823</v>
      </c>
      <c r="S71" s="1149">
        <v>1581.5399625730997</v>
      </c>
      <c r="T71" s="593">
        <v>0.2036</v>
      </c>
      <c r="U71" s="595">
        <f t="shared" si="23"/>
        <v>698.03319042264764</v>
      </c>
      <c r="V71" s="583"/>
      <c r="W71" s="432">
        <v>0</v>
      </c>
      <c r="X71" s="432">
        <v>0</v>
      </c>
      <c r="Y71" s="432">
        <v>0</v>
      </c>
      <c r="Z71" s="593">
        <v>1.7611399999999999</v>
      </c>
      <c r="AA71" s="596">
        <f t="shared" si="24"/>
        <v>0</v>
      </c>
      <c r="AB71" s="578"/>
      <c r="AC71" s="611"/>
      <c r="AD71" s="585"/>
      <c r="AE71" s="611"/>
      <c r="AF71" s="585"/>
      <c r="AG71" s="611"/>
      <c r="AH71" s="578"/>
      <c r="AI71" s="612"/>
      <c r="AJ71" s="613"/>
      <c r="AK71" s="600">
        <f t="shared" si="19"/>
        <v>0</v>
      </c>
      <c r="AL71" s="578"/>
      <c r="AM71" s="1150">
        <v>0</v>
      </c>
      <c r="AN71" s="1150">
        <v>0</v>
      </c>
      <c r="AO71" s="1150">
        <v>240.77777777777777</v>
      </c>
      <c r="AP71" s="593">
        <v>0.2036</v>
      </c>
      <c r="AQ71" s="595">
        <f t="shared" si="25"/>
        <v>49.022355555555556</v>
      </c>
      <c r="AR71" s="578"/>
      <c r="AS71" s="601">
        <f t="shared" si="26"/>
        <v>85144.055545978204</v>
      </c>
      <c r="AT71" s="586"/>
      <c r="AU71" s="512"/>
      <c r="AV71" s="512"/>
      <c r="AW71" s="512">
        <f t="shared" si="20"/>
        <v>85144.055545978204</v>
      </c>
      <c r="AX71" s="602"/>
      <c r="AY71" s="574"/>
      <c r="AZ71" s="438"/>
      <c r="BB71" s="574"/>
    </row>
    <row r="72" spans="1:55" s="588" customFormat="1" ht="15" x14ac:dyDescent="0.25">
      <c r="A72" s="587" t="s">
        <v>263</v>
      </c>
      <c r="B72" s="587" t="s">
        <v>264</v>
      </c>
      <c r="C72" s="529">
        <v>206091</v>
      </c>
      <c r="D72" s="578">
        <v>206091</v>
      </c>
      <c r="E72" s="605"/>
      <c r="F72" s="606"/>
      <c r="G72" s="499">
        <v>6120</v>
      </c>
      <c r="H72" s="499">
        <v>5040</v>
      </c>
      <c r="I72" s="499">
        <v>5220</v>
      </c>
      <c r="J72" s="592">
        <f t="shared" si="21"/>
        <v>16380</v>
      </c>
      <c r="K72" s="593"/>
      <c r="L72" s="594">
        <f t="shared" si="17"/>
        <v>16380</v>
      </c>
      <c r="M72" s="610" t="s">
        <v>240</v>
      </c>
      <c r="N72" s="501">
        <f t="shared" si="22"/>
        <v>3.9013285001896651</v>
      </c>
      <c r="O72" s="595">
        <f t="shared" si="18"/>
        <v>63904</v>
      </c>
      <c r="P72" s="583"/>
      <c r="Q72" s="1149">
        <v>3418.0851063829782</v>
      </c>
      <c r="R72" s="1149">
        <v>2400</v>
      </c>
      <c r="S72" s="1149">
        <v>913.28631578947363</v>
      </c>
      <c r="T72" s="593">
        <v>0.2036</v>
      </c>
      <c r="U72" s="595">
        <f t="shared" si="23"/>
        <v>1370.5072215543112</v>
      </c>
      <c r="V72" s="583"/>
      <c r="W72" s="432">
        <v>651.063829787234</v>
      </c>
      <c r="X72" s="432">
        <v>0</v>
      </c>
      <c r="Y72" s="432">
        <v>193.33333333333331</v>
      </c>
      <c r="Z72" s="593">
        <v>1.7611399999999999</v>
      </c>
      <c r="AA72" s="596">
        <f t="shared" si="24"/>
        <v>1487.1016198581558</v>
      </c>
      <c r="AB72" s="578"/>
      <c r="AC72" s="611"/>
      <c r="AD72" s="585"/>
      <c r="AE72" s="611"/>
      <c r="AF72" s="585"/>
      <c r="AG72" s="611"/>
      <c r="AH72" s="578"/>
      <c r="AI72" s="612"/>
      <c r="AJ72" s="613"/>
      <c r="AK72" s="600">
        <f t="shared" si="19"/>
        <v>0</v>
      </c>
      <c r="AL72" s="578"/>
      <c r="AM72" s="1150">
        <v>162.7659574468085</v>
      </c>
      <c r="AN72" s="1150">
        <v>0</v>
      </c>
      <c r="AO72" s="1150">
        <v>193.33333333333331</v>
      </c>
      <c r="AP72" s="593">
        <v>0.2036</v>
      </c>
      <c r="AQ72" s="595">
        <f t="shared" si="25"/>
        <v>72.501815602836871</v>
      </c>
      <c r="AR72" s="578"/>
      <c r="AS72" s="601">
        <f t="shared" si="26"/>
        <v>66834.110657015306</v>
      </c>
      <c r="AT72" s="586"/>
      <c r="AU72" s="512"/>
      <c r="AV72" s="512"/>
      <c r="AW72" s="512">
        <f t="shared" si="20"/>
        <v>66834.110657015306</v>
      </c>
      <c r="AX72" s="602"/>
      <c r="AY72" s="574"/>
      <c r="AZ72" s="438"/>
      <c r="BB72" s="574"/>
    </row>
    <row r="73" spans="1:55" s="588" customFormat="1" ht="15" x14ac:dyDescent="0.25">
      <c r="A73" s="587" t="s">
        <v>1373</v>
      </c>
      <c r="B73" s="587"/>
      <c r="C73" s="529">
        <v>484300</v>
      </c>
      <c r="D73" s="578">
        <v>484300</v>
      </c>
      <c r="E73" s="605"/>
      <c r="F73" s="606"/>
      <c r="G73" s="499">
        <v>2340</v>
      </c>
      <c r="H73" s="499">
        <v>840</v>
      </c>
      <c r="I73" s="499">
        <v>720</v>
      </c>
      <c r="J73" s="592">
        <f t="shared" si="21"/>
        <v>3900</v>
      </c>
      <c r="K73" s="593"/>
      <c r="L73" s="594">
        <f t="shared" si="17"/>
        <v>3900</v>
      </c>
      <c r="M73" s="610" t="s">
        <v>255</v>
      </c>
      <c r="N73" s="501">
        <f t="shared" si="22"/>
        <v>3.9013285001896651</v>
      </c>
      <c r="O73" s="595">
        <f t="shared" si="18"/>
        <v>15215</v>
      </c>
      <c r="P73" s="583"/>
      <c r="Q73" s="1149">
        <v>1170</v>
      </c>
      <c r="R73" s="1149">
        <v>1431.1111111111111</v>
      </c>
      <c r="S73" s="1149">
        <v>0</v>
      </c>
      <c r="T73" s="593">
        <v>0.2036</v>
      </c>
      <c r="U73" s="595">
        <f t="shared" si="23"/>
        <v>529.58622222222232</v>
      </c>
      <c r="V73" s="583"/>
      <c r="W73" s="432">
        <v>0</v>
      </c>
      <c r="X73" s="432">
        <v>0</v>
      </c>
      <c r="Y73" s="432">
        <v>0</v>
      </c>
      <c r="Z73" s="593">
        <v>1.7611399999999999</v>
      </c>
      <c r="AA73" s="596">
        <f t="shared" si="24"/>
        <v>0</v>
      </c>
      <c r="AB73" s="578"/>
      <c r="AC73" s="611"/>
      <c r="AD73" s="585"/>
      <c r="AE73" s="611"/>
      <c r="AF73" s="585"/>
      <c r="AG73" s="611"/>
      <c r="AH73" s="578"/>
      <c r="AI73" s="612"/>
      <c r="AJ73" s="613"/>
      <c r="AK73" s="600">
        <f t="shared" si="19"/>
        <v>0</v>
      </c>
      <c r="AL73" s="578"/>
      <c r="AM73" s="1150">
        <v>585</v>
      </c>
      <c r="AN73" s="1150">
        <v>217.77777777777777</v>
      </c>
      <c r="AO73" s="1150">
        <v>0</v>
      </c>
      <c r="AP73" s="593">
        <v>0.2036</v>
      </c>
      <c r="AQ73" s="595">
        <f t="shared" si="25"/>
        <v>163.44555555555556</v>
      </c>
      <c r="AR73" s="578"/>
      <c r="AS73" s="601">
        <f t="shared" si="26"/>
        <v>15908.031777777778</v>
      </c>
      <c r="AT73" s="586"/>
      <c r="AU73" s="512"/>
      <c r="AV73" s="512"/>
      <c r="AW73" s="512">
        <f t="shared" si="20"/>
        <v>15908.031777777778</v>
      </c>
      <c r="AX73" s="602"/>
      <c r="AY73" s="574"/>
      <c r="AZ73" s="438"/>
      <c r="BB73" s="574"/>
    </row>
    <row r="74" spans="1:55" s="588" customFormat="1" ht="15" x14ac:dyDescent="0.25">
      <c r="A74" s="619" t="s">
        <v>265</v>
      </c>
      <c r="B74" s="587"/>
      <c r="C74" s="529" t="s">
        <v>266</v>
      </c>
      <c r="D74" s="578">
        <v>396374</v>
      </c>
      <c r="E74" s="605"/>
      <c r="F74" s="606"/>
      <c r="G74" s="499">
        <v>3996</v>
      </c>
      <c r="H74" s="499">
        <v>4389</v>
      </c>
      <c r="I74" s="499">
        <v>1764</v>
      </c>
      <c r="J74" s="592">
        <f t="shared" si="21"/>
        <v>10149</v>
      </c>
      <c r="K74" s="593"/>
      <c r="L74" s="594">
        <f t="shared" si="17"/>
        <v>10149</v>
      </c>
      <c r="M74" s="610" t="s">
        <v>240</v>
      </c>
      <c r="N74" s="501">
        <f t="shared" si="22"/>
        <v>3.9013285001896651</v>
      </c>
      <c r="O74" s="595">
        <f t="shared" si="18"/>
        <v>39595</v>
      </c>
      <c r="P74" s="583"/>
      <c r="Q74" s="1149">
        <v>11304</v>
      </c>
      <c r="R74" s="1149">
        <v>12327</v>
      </c>
      <c r="S74" s="1149">
        <v>7118.2345263157895</v>
      </c>
      <c r="T74" s="593">
        <v>0.2036</v>
      </c>
      <c r="U74" s="595">
        <f t="shared" si="23"/>
        <v>6260.5441495578953</v>
      </c>
      <c r="V74" s="583"/>
      <c r="W74" s="432">
        <v>0</v>
      </c>
      <c r="X74" s="432">
        <v>0</v>
      </c>
      <c r="Y74" s="432">
        <v>0</v>
      </c>
      <c r="Z74" s="593">
        <v>1.7611399999999999</v>
      </c>
      <c r="AA74" s="596">
        <f t="shared" si="24"/>
        <v>0</v>
      </c>
      <c r="AB74" s="578"/>
      <c r="AC74" s="611"/>
      <c r="AD74" s="585"/>
      <c r="AE74" s="611"/>
      <c r="AF74" s="585"/>
      <c r="AG74" s="611"/>
      <c r="AH74" s="578"/>
      <c r="AI74" s="612"/>
      <c r="AJ74" s="613"/>
      <c r="AK74" s="600">
        <f t="shared" si="19"/>
        <v>0</v>
      </c>
      <c r="AL74" s="578"/>
      <c r="AM74" s="1150">
        <v>2556</v>
      </c>
      <c r="AN74" s="1150">
        <v>2310</v>
      </c>
      <c r="AO74" s="1150">
        <v>1943.9999999999998</v>
      </c>
      <c r="AP74" s="593">
        <v>0.2036</v>
      </c>
      <c r="AQ74" s="595">
        <f t="shared" si="25"/>
        <v>1386.5160000000001</v>
      </c>
      <c r="AR74" s="578"/>
      <c r="AS74" s="601">
        <f t="shared" si="26"/>
        <v>47242.060149557896</v>
      </c>
      <c r="AT74" s="586"/>
      <c r="AU74" s="512"/>
      <c r="AV74" s="512"/>
      <c r="AW74" s="512">
        <f t="shared" si="20"/>
        <v>47242.060149557896</v>
      </c>
      <c r="AX74" s="602"/>
      <c r="AY74" s="574"/>
      <c r="AZ74" s="438"/>
      <c r="BB74" s="574"/>
    </row>
    <row r="75" spans="1:55" s="588" customFormat="1" ht="15" x14ac:dyDescent="0.25">
      <c r="A75" s="587" t="s">
        <v>267</v>
      </c>
      <c r="B75" s="587" t="s">
        <v>268</v>
      </c>
      <c r="C75" s="529">
        <v>206128</v>
      </c>
      <c r="D75" s="578">
        <v>206128</v>
      </c>
      <c r="E75" s="605"/>
      <c r="F75" s="606"/>
      <c r="G75" s="499">
        <v>2492.3076923076924</v>
      </c>
      <c r="H75" s="499">
        <v>1890</v>
      </c>
      <c r="I75" s="499">
        <v>2340</v>
      </c>
      <c r="J75" s="592">
        <f t="shared" si="21"/>
        <v>6722.3076923076924</v>
      </c>
      <c r="K75" s="593"/>
      <c r="L75" s="594">
        <f t="shared" si="17"/>
        <v>6722.3076923076924</v>
      </c>
      <c r="M75" s="610" t="s">
        <v>255</v>
      </c>
      <c r="N75" s="501">
        <f t="shared" si="22"/>
        <v>3.9013285001896651</v>
      </c>
      <c r="O75" s="595">
        <f t="shared" si="18"/>
        <v>26226</v>
      </c>
      <c r="P75" s="583"/>
      <c r="Q75" s="1149">
        <v>4846.1538461538466</v>
      </c>
      <c r="R75" s="1149">
        <v>3360</v>
      </c>
      <c r="S75" s="1149">
        <v>4079.4205263157892</v>
      </c>
      <c r="T75" s="593">
        <v>0.2036</v>
      </c>
      <c r="U75" s="595">
        <f t="shared" si="23"/>
        <v>2501.3429422348181</v>
      </c>
      <c r="V75" s="583"/>
      <c r="W75" s="432">
        <v>0</v>
      </c>
      <c r="X75" s="432">
        <v>0</v>
      </c>
      <c r="Y75" s="432">
        <v>360</v>
      </c>
      <c r="Z75" s="593">
        <v>1.7611399999999999</v>
      </c>
      <c r="AA75" s="596">
        <f t="shared" si="24"/>
        <v>634.0104</v>
      </c>
      <c r="AB75" s="578"/>
      <c r="AC75" s="611"/>
      <c r="AD75" s="585"/>
      <c r="AE75" s="611"/>
      <c r="AF75" s="585"/>
      <c r="AG75" s="611"/>
      <c r="AH75" s="578"/>
      <c r="AI75" s="612"/>
      <c r="AJ75" s="613"/>
      <c r="AK75" s="600">
        <f t="shared" si="19"/>
        <v>0</v>
      </c>
      <c r="AL75" s="578"/>
      <c r="AM75" s="1150">
        <v>0</v>
      </c>
      <c r="AN75" s="1150">
        <v>0</v>
      </c>
      <c r="AO75" s="1150">
        <v>0</v>
      </c>
      <c r="AP75" s="593">
        <v>0.2036</v>
      </c>
      <c r="AQ75" s="595">
        <f t="shared" si="25"/>
        <v>0</v>
      </c>
      <c r="AR75" s="578"/>
      <c r="AS75" s="601">
        <f t="shared" si="26"/>
        <v>29361.353342234819</v>
      </c>
      <c r="AT75" s="586"/>
      <c r="AU75" s="512"/>
      <c r="AV75" s="512"/>
      <c r="AW75" s="512">
        <f t="shared" si="20"/>
        <v>29361.353342234819</v>
      </c>
      <c r="AX75" s="602"/>
      <c r="AY75" s="574"/>
      <c r="AZ75" s="438"/>
      <c r="BB75" s="574"/>
    </row>
    <row r="76" spans="1:55" s="588" customFormat="1" ht="15" x14ac:dyDescent="0.25">
      <c r="A76" s="587" t="s">
        <v>269</v>
      </c>
      <c r="B76" s="587"/>
      <c r="C76" s="529" t="s">
        <v>710</v>
      </c>
      <c r="D76" s="578">
        <v>470666</v>
      </c>
      <c r="E76" s="605"/>
      <c r="F76" s="606"/>
      <c r="G76" s="499">
        <v>0</v>
      </c>
      <c r="H76" s="499">
        <v>0</v>
      </c>
      <c r="I76" s="499">
        <v>0</v>
      </c>
      <c r="J76" s="592">
        <f t="shared" si="21"/>
        <v>0</v>
      </c>
      <c r="K76" s="593"/>
      <c r="L76" s="594">
        <f t="shared" si="17"/>
        <v>0</v>
      </c>
      <c r="M76" s="620" t="s">
        <v>255</v>
      </c>
      <c r="N76" s="501">
        <f t="shared" si="22"/>
        <v>3.9013285001896651</v>
      </c>
      <c r="O76" s="595">
        <f t="shared" si="18"/>
        <v>0</v>
      </c>
      <c r="P76" s="583"/>
      <c r="Q76" s="1149">
        <v>0</v>
      </c>
      <c r="R76" s="1149">
        <v>0</v>
      </c>
      <c r="S76" s="1149">
        <v>0</v>
      </c>
      <c r="T76" s="593">
        <v>0.2036</v>
      </c>
      <c r="U76" s="595">
        <f t="shared" si="23"/>
        <v>0</v>
      </c>
      <c r="V76" s="583"/>
      <c r="W76" s="432">
        <v>0</v>
      </c>
      <c r="X76" s="432">
        <v>0</v>
      </c>
      <c r="Y76" s="432">
        <v>0</v>
      </c>
      <c r="Z76" s="593">
        <v>1.7611399999999999</v>
      </c>
      <c r="AA76" s="596">
        <f t="shared" si="24"/>
        <v>0</v>
      </c>
      <c r="AB76" s="578"/>
      <c r="AC76" s="611"/>
      <c r="AD76" s="585"/>
      <c r="AE76" s="611"/>
      <c r="AF76" s="585"/>
      <c r="AG76" s="611"/>
      <c r="AH76" s="578"/>
      <c r="AI76" s="612"/>
      <c r="AJ76" s="613"/>
      <c r="AK76" s="600">
        <f t="shared" si="19"/>
        <v>0</v>
      </c>
      <c r="AL76" s="578"/>
      <c r="AM76" s="1150">
        <v>0</v>
      </c>
      <c r="AN76" s="1150">
        <v>0</v>
      </c>
      <c r="AO76" s="1150">
        <v>0</v>
      </c>
      <c r="AP76" s="593">
        <v>0.2036</v>
      </c>
      <c r="AQ76" s="595">
        <f t="shared" si="25"/>
        <v>0</v>
      </c>
      <c r="AR76" s="578"/>
      <c r="AS76" s="601">
        <f t="shared" si="26"/>
        <v>0</v>
      </c>
      <c r="AT76" s="586"/>
      <c r="AU76" s="512"/>
      <c r="AV76" s="512"/>
      <c r="AW76" s="512">
        <f t="shared" si="20"/>
        <v>0</v>
      </c>
      <c r="AX76" s="602"/>
      <c r="AY76" s="574"/>
      <c r="AZ76" s="438"/>
      <c r="BB76" s="574"/>
    </row>
    <row r="77" spans="1:55" s="588" customFormat="1" ht="15" x14ac:dyDescent="0.25">
      <c r="A77" s="587" t="s">
        <v>711</v>
      </c>
      <c r="B77" s="587"/>
      <c r="C77" s="529" t="s">
        <v>712</v>
      </c>
      <c r="D77" s="578">
        <v>477987</v>
      </c>
      <c r="E77" s="605"/>
      <c r="F77" s="606"/>
      <c r="G77" s="499">
        <v>2160</v>
      </c>
      <c r="H77" s="499">
        <v>2940</v>
      </c>
      <c r="I77" s="499">
        <v>2880</v>
      </c>
      <c r="J77" s="592">
        <f t="shared" si="21"/>
        <v>7980</v>
      </c>
      <c r="K77" s="593"/>
      <c r="L77" s="594">
        <f t="shared" si="17"/>
        <v>7980</v>
      </c>
      <c r="M77" s="620" t="s">
        <v>255</v>
      </c>
      <c r="N77" s="501">
        <f t="shared" si="22"/>
        <v>3.9013285001896651</v>
      </c>
      <c r="O77" s="595">
        <f t="shared" si="18"/>
        <v>31133</v>
      </c>
      <c r="P77" s="583"/>
      <c r="Q77" s="1149">
        <v>5130</v>
      </c>
      <c r="R77" s="1149">
        <v>6300</v>
      </c>
      <c r="S77" s="1149">
        <v>0</v>
      </c>
      <c r="T77" s="593">
        <v>0.2036</v>
      </c>
      <c r="U77" s="595">
        <f t="shared" si="23"/>
        <v>2327.1480000000001</v>
      </c>
      <c r="V77" s="583"/>
      <c r="W77" s="432">
        <v>225</v>
      </c>
      <c r="X77" s="432">
        <v>420</v>
      </c>
      <c r="Y77" s="432">
        <v>0</v>
      </c>
      <c r="Z77" s="593">
        <v>1.7611399999999999</v>
      </c>
      <c r="AA77" s="596">
        <f t="shared" si="24"/>
        <v>1135.9352999999999</v>
      </c>
      <c r="AB77" s="578"/>
      <c r="AC77" s="611"/>
      <c r="AD77" s="585"/>
      <c r="AE77" s="611"/>
      <c r="AF77" s="585"/>
      <c r="AG77" s="611"/>
      <c r="AH77" s="578"/>
      <c r="AI77" s="612"/>
      <c r="AJ77" s="613"/>
      <c r="AK77" s="600">
        <f t="shared" si="19"/>
        <v>0</v>
      </c>
      <c r="AL77" s="578"/>
      <c r="AM77" s="1150">
        <v>450</v>
      </c>
      <c r="AN77" s="1150">
        <v>840</v>
      </c>
      <c r="AO77" s="1150">
        <v>0</v>
      </c>
      <c r="AP77" s="593">
        <v>0.2036</v>
      </c>
      <c r="AQ77" s="595">
        <f t="shared" si="25"/>
        <v>262.64400000000001</v>
      </c>
      <c r="AR77" s="578"/>
      <c r="AS77" s="601">
        <f t="shared" si="26"/>
        <v>34858.727299999999</v>
      </c>
      <c r="AT77" s="586"/>
      <c r="AU77" s="512"/>
      <c r="AV77" s="512"/>
      <c r="AW77" s="512">
        <f t="shared" si="20"/>
        <v>34858.727299999999</v>
      </c>
      <c r="AX77" s="602"/>
      <c r="AY77" s="574"/>
      <c r="AZ77" s="438"/>
      <c r="BB77" s="574"/>
    </row>
    <row r="78" spans="1:55" s="588" customFormat="1" ht="15" x14ac:dyDescent="0.25">
      <c r="A78" s="587" t="s">
        <v>270</v>
      </c>
      <c r="B78" s="587"/>
      <c r="C78" s="529" t="s">
        <v>271</v>
      </c>
      <c r="D78" s="578">
        <v>471750</v>
      </c>
      <c r="E78" s="605"/>
      <c r="F78" s="606"/>
      <c r="G78" s="499">
        <v>0</v>
      </c>
      <c r="H78" s="499">
        <v>0</v>
      </c>
      <c r="I78" s="499">
        <v>0</v>
      </c>
      <c r="J78" s="592">
        <f t="shared" si="21"/>
        <v>0</v>
      </c>
      <c r="K78" s="593"/>
      <c r="L78" s="594">
        <f t="shared" si="17"/>
        <v>0</v>
      </c>
      <c r="M78" s="620" t="s">
        <v>240</v>
      </c>
      <c r="N78" s="501">
        <f t="shared" si="22"/>
        <v>3.9013285001896651</v>
      </c>
      <c r="O78" s="595">
        <f t="shared" si="18"/>
        <v>0</v>
      </c>
      <c r="P78" s="583"/>
      <c r="Q78" s="1149">
        <v>0</v>
      </c>
      <c r="R78" s="1149">
        <v>0</v>
      </c>
      <c r="S78" s="1149">
        <v>0</v>
      </c>
      <c r="T78" s="593">
        <v>0.2036</v>
      </c>
      <c r="U78" s="595">
        <f t="shared" si="23"/>
        <v>0</v>
      </c>
      <c r="V78" s="583"/>
      <c r="W78" s="432">
        <v>0</v>
      </c>
      <c r="X78" s="432">
        <v>0</v>
      </c>
      <c r="Y78" s="432">
        <v>0</v>
      </c>
      <c r="Z78" s="593">
        <v>1.7611399999999999</v>
      </c>
      <c r="AA78" s="596">
        <f t="shared" si="24"/>
        <v>0</v>
      </c>
      <c r="AB78" s="578"/>
      <c r="AC78" s="611"/>
      <c r="AD78" s="585"/>
      <c r="AE78" s="611"/>
      <c r="AF78" s="585"/>
      <c r="AG78" s="611"/>
      <c r="AH78" s="578"/>
      <c r="AI78" s="612"/>
      <c r="AJ78" s="613"/>
      <c r="AK78" s="600">
        <f t="shared" si="19"/>
        <v>0</v>
      </c>
      <c r="AL78" s="578"/>
      <c r="AM78" s="1150">
        <v>0</v>
      </c>
      <c r="AN78" s="1150">
        <v>0</v>
      </c>
      <c r="AO78" s="1150">
        <v>0</v>
      </c>
      <c r="AP78" s="593">
        <v>0.2036</v>
      </c>
      <c r="AQ78" s="595">
        <f t="shared" si="25"/>
        <v>0</v>
      </c>
      <c r="AR78" s="578"/>
      <c r="AS78" s="601">
        <f t="shared" si="26"/>
        <v>0</v>
      </c>
      <c r="AT78" s="586"/>
      <c r="AU78" s="512"/>
      <c r="AV78" s="512"/>
      <c r="AW78" s="512">
        <f t="shared" si="20"/>
        <v>0</v>
      </c>
      <c r="AX78" s="602"/>
      <c r="AY78" s="574"/>
      <c r="AZ78" s="438"/>
      <c r="BB78" s="574"/>
      <c r="BC78" s="621"/>
    </row>
    <row r="79" spans="1:55" s="588" customFormat="1" ht="15" x14ac:dyDescent="0.25">
      <c r="A79" s="587" t="s">
        <v>1416</v>
      </c>
      <c r="B79" s="587"/>
      <c r="C79" s="529">
        <v>479804</v>
      </c>
      <c r="D79" s="578">
        <v>479804</v>
      </c>
      <c r="E79" s="605"/>
      <c r="F79" s="606"/>
      <c r="G79" s="499">
        <v>0</v>
      </c>
      <c r="H79" s="499">
        <v>0</v>
      </c>
      <c r="I79" s="499">
        <v>0</v>
      </c>
      <c r="J79" s="592">
        <f t="shared" si="21"/>
        <v>0</v>
      </c>
      <c r="K79" s="593"/>
      <c r="L79" s="594">
        <f t="shared" si="17"/>
        <v>0</v>
      </c>
      <c r="M79" s="610" t="s">
        <v>255</v>
      </c>
      <c r="N79" s="501">
        <f t="shared" si="22"/>
        <v>3.9013285001896651</v>
      </c>
      <c r="O79" s="595">
        <f t="shared" si="18"/>
        <v>0</v>
      </c>
      <c r="P79" s="583"/>
      <c r="Q79" s="1149">
        <v>0</v>
      </c>
      <c r="R79" s="1149">
        <v>0</v>
      </c>
      <c r="S79" s="1149">
        <v>0</v>
      </c>
      <c r="T79" s="593">
        <v>0.2036</v>
      </c>
      <c r="U79" s="595">
        <f t="shared" si="23"/>
        <v>0</v>
      </c>
      <c r="V79" s="583"/>
      <c r="W79" s="432">
        <v>0</v>
      </c>
      <c r="X79" s="432">
        <v>0</v>
      </c>
      <c r="Y79" s="432">
        <v>0</v>
      </c>
      <c r="Z79" s="593">
        <v>1.7611399999999999</v>
      </c>
      <c r="AA79" s="596">
        <f t="shared" si="24"/>
        <v>0</v>
      </c>
      <c r="AB79" s="578"/>
      <c r="AC79" s="611"/>
      <c r="AD79" s="585"/>
      <c r="AE79" s="611"/>
      <c r="AF79" s="585"/>
      <c r="AG79" s="611"/>
      <c r="AH79" s="578"/>
      <c r="AI79" s="612"/>
      <c r="AJ79" s="613"/>
      <c r="AK79" s="600">
        <f t="shared" si="19"/>
        <v>0</v>
      </c>
      <c r="AL79" s="578"/>
      <c r="AM79" s="1150">
        <v>0</v>
      </c>
      <c r="AN79" s="1150">
        <v>0</v>
      </c>
      <c r="AO79" s="1150">
        <v>0</v>
      </c>
      <c r="AP79" s="593">
        <v>0.2036</v>
      </c>
      <c r="AQ79" s="595">
        <f t="shared" si="25"/>
        <v>0</v>
      </c>
      <c r="AR79" s="578"/>
      <c r="AS79" s="601">
        <f t="shared" si="26"/>
        <v>0</v>
      </c>
      <c r="AT79" s="586"/>
      <c r="AU79" s="512"/>
      <c r="AV79" s="512"/>
      <c r="AW79" s="512">
        <f t="shared" si="20"/>
        <v>0</v>
      </c>
      <c r="AX79" s="602"/>
      <c r="AY79" s="574"/>
      <c r="AZ79" s="438"/>
      <c r="BB79" s="574"/>
      <c r="BC79" s="621" t="s">
        <v>1374</v>
      </c>
    </row>
    <row r="80" spans="1:55" s="588" customFormat="1" ht="15" x14ac:dyDescent="0.25">
      <c r="A80" s="587" t="s">
        <v>713</v>
      </c>
      <c r="B80" s="587"/>
      <c r="C80" s="529" t="s">
        <v>714</v>
      </c>
      <c r="D80" s="578">
        <v>432228</v>
      </c>
      <c r="E80" s="605"/>
      <c r="F80" s="606"/>
      <c r="G80" s="499">
        <v>0</v>
      </c>
      <c r="H80" s="499">
        <v>0</v>
      </c>
      <c r="I80" s="499">
        <v>0</v>
      </c>
      <c r="J80" s="592">
        <f t="shared" si="21"/>
        <v>0</v>
      </c>
      <c r="K80" s="593"/>
      <c r="L80" s="594">
        <f t="shared" si="17"/>
        <v>0</v>
      </c>
      <c r="M80" s="610" t="s">
        <v>255</v>
      </c>
      <c r="N80" s="501">
        <f t="shared" si="22"/>
        <v>3.9013285001896651</v>
      </c>
      <c r="O80" s="595">
        <f t="shared" si="18"/>
        <v>0</v>
      </c>
      <c r="P80" s="583"/>
      <c r="Q80" s="1149">
        <v>0</v>
      </c>
      <c r="R80" s="1149">
        <v>0</v>
      </c>
      <c r="S80" s="1149">
        <v>0</v>
      </c>
      <c r="T80" s="593">
        <v>0.2036</v>
      </c>
      <c r="U80" s="595">
        <f t="shared" si="23"/>
        <v>0</v>
      </c>
      <c r="V80" s="583"/>
      <c r="W80" s="432">
        <v>0</v>
      </c>
      <c r="X80" s="432">
        <v>0</v>
      </c>
      <c r="Y80" s="432">
        <v>0</v>
      </c>
      <c r="Z80" s="593">
        <v>1.7611399999999999</v>
      </c>
      <c r="AA80" s="596">
        <f t="shared" si="24"/>
        <v>0</v>
      </c>
      <c r="AB80" s="578"/>
      <c r="AC80" s="611"/>
      <c r="AD80" s="585"/>
      <c r="AE80" s="611"/>
      <c r="AF80" s="585"/>
      <c r="AG80" s="611"/>
      <c r="AH80" s="578"/>
      <c r="AI80" s="612"/>
      <c r="AJ80" s="613"/>
      <c r="AK80" s="600">
        <f t="shared" si="19"/>
        <v>0</v>
      </c>
      <c r="AL80" s="578"/>
      <c r="AM80" s="1150">
        <v>0</v>
      </c>
      <c r="AN80" s="1150">
        <v>0</v>
      </c>
      <c r="AO80" s="1150">
        <v>0</v>
      </c>
      <c r="AP80" s="593">
        <v>0.2036</v>
      </c>
      <c r="AQ80" s="595">
        <f t="shared" si="25"/>
        <v>0</v>
      </c>
      <c r="AR80" s="578"/>
      <c r="AS80" s="601">
        <f t="shared" si="26"/>
        <v>0</v>
      </c>
      <c r="AT80" s="586"/>
      <c r="AU80" s="512"/>
      <c r="AV80" s="512"/>
      <c r="AW80" s="512">
        <f t="shared" si="20"/>
        <v>0</v>
      </c>
      <c r="AX80" s="602"/>
      <c r="AY80" s="574"/>
      <c r="AZ80" s="438"/>
      <c r="BB80" s="574"/>
      <c r="BC80" s="621" t="s">
        <v>1283</v>
      </c>
    </row>
    <row r="81" spans="1:55" s="588" customFormat="1" ht="15" x14ac:dyDescent="0.25">
      <c r="A81" s="587" t="s">
        <v>715</v>
      </c>
      <c r="B81" s="587"/>
      <c r="C81" s="529" t="s">
        <v>272</v>
      </c>
      <c r="D81" s="578">
        <v>260966</v>
      </c>
      <c r="E81" s="605"/>
      <c r="F81" s="606"/>
      <c r="G81" s="499">
        <v>0</v>
      </c>
      <c r="H81" s="499">
        <v>0</v>
      </c>
      <c r="I81" s="499">
        <v>0</v>
      </c>
      <c r="J81" s="592">
        <f t="shared" si="21"/>
        <v>0</v>
      </c>
      <c r="K81" s="593"/>
      <c r="L81" s="594">
        <f t="shared" si="17"/>
        <v>0</v>
      </c>
      <c r="M81" s="610" t="s">
        <v>255</v>
      </c>
      <c r="N81" s="501">
        <f t="shared" si="22"/>
        <v>3.9013285001896651</v>
      </c>
      <c r="O81" s="595">
        <f t="shared" si="18"/>
        <v>0</v>
      </c>
      <c r="P81" s="583"/>
      <c r="Q81" s="1149">
        <v>0</v>
      </c>
      <c r="R81" s="1149">
        <v>0</v>
      </c>
      <c r="S81" s="1149">
        <v>0</v>
      </c>
      <c r="T81" s="593">
        <v>0.2036</v>
      </c>
      <c r="U81" s="595">
        <f t="shared" si="23"/>
        <v>0</v>
      </c>
      <c r="V81" s="583"/>
      <c r="W81" s="432">
        <v>0</v>
      </c>
      <c r="X81" s="432">
        <v>0</v>
      </c>
      <c r="Y81" s="432">
        <v>0</v>
      </c>
      <c r="Z81" s="593">
        <v>1.7611399999999999</v>
      </c>
      <c r="AA81" s="596">
        <f t="shared" si="24"/>
        <v>0</v>
      </c>
      <c r="AB81" s="578"/>
      <c r="AC81" s="611"/>
      <c r="AD81" s="585"/>
      <c r="AE81" s="611"/>
      <c r="AF81" s="585"/>
      <c r="AG81" s="611"/>
      <c r="AH81" s="578"/>
      <c r="AI81" s="612"/>
      <c r="AJ81" s="613"/>
      <c r="AK81" s="600">
        <f t="shared" si="19"/>
        <v>0</v>
      </c>
      <c r="AL81" s="578"/>
      <c r="AM81" s="1150">
        <v>0</v>
      </c>
      <c r="AN81" s="1150">
        <v>0</v>
      </c>
      <c r="AO81" s="1150">
        <v>0</v>
      </c>
      <c r="AP81" s="593">
        <v>0.2036</v>
      </c>
      <c r="AQ81" s="595">
        <f t="shared" si="25"/>
        <v>0</v>
      </c>
      <c r="AR81" s="578"/>
      <c r="AS81" s="601">
        <f t="shared" si="26"/>
        <v>0</v>
      </c>
      <c r="AT81" s="586"/>
      <c r="AU81" s="512"/>
      <c r="AV81" s="512"/>
      <c r="AW81" s="512">
        <f t="shared" si="20"/>
        <v>0</v>
      </c>
      <c r="AX81" s="602"/>
      <c r="AY81" s="574"/>
      <c r="AZ81" s="438"/>
      <c r="BB81" s="574"/>
      <c r="BC81" s="621" t="s">
        <v>523</v>
      </c>
    </row>
    <row r="82" spans="1:55" s="588" customFormat="1" ht="15" x14ac:dyDescent="0.25">
      <c r="A82" s="587" t="s">
        <v>716</v>
      </c>
      <c r="B82" s="587"/>
      <c r="C82" s="529">
        <v>205999</v>
      </c>
      <c r="D82" s="578">
        <v>205999</v>
      </c>
      <c r="E82" s="605"/>
      <c r="F82" s="606"/>
      <c r="G82" s="499">
        <v>1080</v>
      </c>
      <c r="H82" s="499">
        <v>1260</v>
      </c>
      <c r="I82" s="499">
        <v>1080</v>
      </c>
      <c r="J82" s="592">
        <f t="shared" si="21"/>
        <v>3420</v>
      </c>
      <c r="K82" s="593"/>
      <c r="L82" s="594">
        <f t="shared" si="17"/>
        <v>3420</v>
      </c>
      <c r="M82" s="610" t="s">
        <v>255</v>
      </c>
      <c r="N82" s="501">
        <f t="shared" si="22"/>
        <v>3.9013285001896651</v>
      </c>
      <c r="O82" s="595">
        <f t="shared" si="18"/>
        <v>13343</v>
      </c>
      <c r="P82" s="583"/>
      <c r="Q82" s="1149">
        <v>400</v>
      </c>
      <c r="R82" s="1149">
        <v>1287.6923076923076</v>
      </c>
      <c r="S82" s="1149">
        <v>728.82947368421037</v>
      </c>
      <c r="T82" s="593">
        <v>0.2036</v>
      </c>
      <c r="U82" s="595">
        <f t="shared" si="23"/>
        <v>492.00383468825908</v>
      </c>
      <c r="V82" s="583"/>
      <c r="W82" s="432">
        <v>133.33333333333331</v>
      </c>
      <c r="X82" s="432">
        <v>83.07692307692308</v>
      </c>
      <c r="Y82" s="432">
        <v>0</v>
      </c>
      <c r="Z82" s="593">
        <v>1.7611399999999999</v>
      </c>
      <c r="AA82" s="596">
        <f t="shared" si="24"/>
        <v>381.12875897435896</v>
      </c>
      <c r="AB82" s="578"/>
      <c r="AC82" s="611"/>
      <c r="AD82" s="585"/>
      <c r="AE82" s="611"/>
      <c r="AF82" s="585"/>
      <c r="AG82" s="611"/>
      <c r="AH82" s="578"/>
      <c r="AI82" s="612"/>
      <c r="AJ82" s="613"/>
      <c r="AK82" s="600">
        <f t="shared" si="19"/>
        <v>0</v>
      </c>
      <c r="AL82" s="578"/>
      <c r="AM82" s="1150">
        <v>0</v>
      </c>
      <c r="AN82" s="1150">
        <v>415.38461538461536</v>
      </c>
      <c r="AO82" s="1150">
        <v>0</v>
      </c>
      <c r="AP82" s="593">
        <v>0.2036</v>
      </c>
      <c r="AQ82" s="595">
        <f t="shared" si="25"/>
        <v>84.572307692307689</v>
      </c>
      <c r="AR82" s="578"/>
      <c r="AS82" s="601">
        <f t="shared" si="26"/>
        <v>14300.704901354926</v>
      </c>
      <c r="AT82" s="586"/>
      <c r="AU82" s="512"/>
      <c r="AV82" s="512"/>
      <c r="AW82" s="512">
        <f t="shared" si="20"/>
        <v>14300.704901354926</v>
      </c>
      <c r="AX82" s="602"/>
      <c r="AY82" s="574"/>
      <c r="AZ82" s="438"/>
      <c r="BB82" s="574"/>
      <c r="BC82" s="621" t="s">
        <v>524</v>
      </c>
    </row>
    <row r="83" spans="1:55" s="588" customFormat="1" ht="15" x14ac:dyDescent="0.25">
      <c r="A83" s="587" t="s">
        <v>1417</v>
      </c>
      <c r="B83" s="587"/>
      <c r="C83" s="529">
        <v>398922</v>
      </c>
      <c r="D83" s="578">
        <v>398922</v>
      </c>
      <c r="E83" s="605"/>
      <c r="F83" s="606"/>
      <c r="G83" s="499">
        <v>180</v>
      </c>
      <c r="H83" s="499">
        <v>210</v>
      </c>
      <c r="I83" s="499">
        <v>180</v>
      </c>
      <c r="J83" s="592">
        <f t="shared" si="21"/>
        <v>570</v>
      </c>
      <c r="K83" s="593"/>
      <c r="L83" s="594">
        <f t="shared" si="17"/>
        <v>570</v>
      </c>
      <c r="M83" s="610" t="s">
        <v>255</v>
      </c>
      <c r="N83" s="501">
        <f t="shared" si="22"/>
        <v>3.9013285001896651</v>
      </c>
      <c r="O83" s="595">
        <f t="shared" si="18"/>
        <v>2224</v>
      </c>
      <c r="P83" s="583"/>
      <c r="Q83" s="1149">
        <v>0</v>
      </c>
      <c r="R83" s="1149">
        <v>0</v>
      </c>
      <c r="S83" s="1149">
        <v>0</v>
      </c>
      <c r="T83" s="593">
        <v>0.2036</v>
      </c>
      <c r="U83" s="595">
        <f t="shared" si="23"/>
        <v>0</v>
      </c>
      <c r="V83" s="583"/>
      <c r="W83" s="432">
        <v>0</v>
      </c>
      <c r="X83" s="432">
        <v>0</v>
      </c>
      <c r="Y83" s="432">
        <v>0</v>
      </c>
      <c r="Z83" s="593">
        <v>1.7611399999999999</v>
      </c>
      <c r="AA83" s="596">
        <f t="shared" si="24"/>
        <v>0</v>
      </c>
      <c r="AB83" s="578"/>
      <c r="AC83" s="611"/>
      <c r="AD83" s="585"/>
      <c r="AE83" s="611"/>
      <c r="AF83" s="585"/>
      <c r="AG83" s="611"/>
      <c r="AH83" s="578"/>
      <c r="AI83" s="612"/>
      <c r="AJ83" s="613"/>
      <c r="AK83" s="600">
        <f t="shared" si="19"/>
        <v>0</v>
      </c>
      <c r="AL83" s="578"/>
      <c r="AM83" s="1150">
        <v>0</v>
      </c>
      <c r="AN83" s="1150">
        <v>0</v>
      </c>
      <c r="AO83" s="1150">
        <v>0</v>
      </c>
      <c r="AP83" s="593">
        <v>0.2036</v>
      </c>
      <c r="AQ83" s="595">
        <f t="shared" si="25"/>
        <v>0</v>
      </c>
      <c r="AR83" s="578"/>
      <c r="AS83" s="601">
        <f t="shared" si="26"/>
        <v>2224</v>
      </c>
      <c r="AT83" s="586"/>
      <c r="AU83" s="512"/>
      <c r="AV83" s="512"/>
      <c r="AW83" s="512">
        <f t="shared" si="20"/>
        <v>2224</v>
      </c>
      <c r="AX83" s="602"/>
      <c r="AY83" s="574"/>
      <c r="AZ83" s="438"/>
      <c r="BB83" s="574"/>
      <c r="BC83" s="621" t="s">
        <v>1375</v>
      </c>
    </row>
    <row r="84" spans="1:55" s="588" customFormat="1" ht="15" x14ac:dyDescent="0.25">
      <c r="A84" s="587" t="s">
        <v>717</v>
      </c>
      <c r="B84" s="587" t="s">
        <v>718</v>
      </c>
      <c r="C84" s="529" t="s">
        <v>719</v>
      </c>
      <c r="D84" s="578" t="s">
        <v>719</v>
      </c>
      <c r="E84" s="605"/>
      <c r="F84" s="606"/>
      <c r="G84" s="499">
        <v>0</v>
      </c>
      <c r="H84" s="499">
        <v>0</v>
      </c>
      <c r="I84" s="499">
        <v>0</v>
      </c>
      <c r="J84" s="592">
        <f t="shared" si="21"/>
        <v>0</v>
      </c>
      <c r="K84" s="593"/>
      <c r="L84" s="594">
        <f t="shared" si="17"/>
        <v>0</v>
      </c>
      <c r="M84" s="610" t="s">
        <v>255</v>
      </c>
      <c r="N84" s="501">
        <f t="shared" si="22"/>
        <v>3.9013285001896651</v>
      </c>
      <c r="O84" s="595">
        <f t="shared" si="18"/>
        <v>0</v>
      </c>
      <c r="P84" s="583"/>
      <c r="Q84" s="1149">
        <v>0</v>
      </c>
      <c r="R84" s="1149">
        <v>0</v>
      </c>
      <c r="S84" s="1149">
        <v>0</v>
      </c>
      <c r="T84" s="593">
        <v>0.2036</v>
      </c>
      <c r="U84" s="595">
        <f t="shared" si="23"/>
        <v>0</v>
      </c>
      <c r="V84" s="583"/>
      <c r="W84" s="432">
        <v>0</v>
      </c>
      <c r="X84" s="432">
        <v>0</v>
      </c>
      <c r="Y84" s="432">
        <v>0</v>
      </c>
      <c r="Z84" s="593">
        <v>1.7611399999999999</v>
      </c>
      <c r="AA84" s="596">
        <f t="shared" si="24"/>
        <v>0</v>
      </c>
      <c r="AB84" s="578"/>
      <c r="AC84" s="611"/>
      <c r="AD84" s="585"/>
      <c r="AE84" s="611"/>
      <c r="AF84" s="585"/>
      <c r="AG84" s="611"/>
      <c r="AH84" s="578"/>
      <c r="AI84" s="612"/>
      <c r="AJ84" s="613"/>
      <c r="AK84" s="600">
        <f t="shared" si="19"/>
        <v>0</v>
      </c>
      <c r="AL84" s="578"/>
      <c r="AM84" s="1150">
        <v>0</v>
      </c>
      <c r="AN84" s="1150">
        <v>0</v>
      </c>
      <c r="AO84" s="1150">
        <v>0</v>
      </c>
      <c r="AP84" s="593">
        <v>0.2036</v>
      </c>
      <c r="AQ84" s="595">
        <f t="shared" si="25"/>
        <v>0</v>
      </c>
      <c r="AR84" s="578"/>
      <c r="AS84" s="601">
        <f t="shared" si="26"/>
        <v>0</v>
      </c>
      <c r="AT84" s="586"/>
      <c r="AU84" s="512"/>
      <c r="AV84" s="512"/>
      <c r="AW84" s="512">
        <f t="shared" si="20"/>
        <v>0</v>
      </c>
      <c r="AX84" s="602"/>
      <c r="AY84" s="574"/>
      <c r="AZ84" s="438"/>
      <c r="BB84" s="574"/>
      <c r="BC84" s="621" t="s">
        <v>1256</v>
      </c>
    </row>
    <row r="85" spans="1:55" s="588" customFormat="1" ht="15" x14ac:dyDescent="0.25">
      <c r="A85" s="587" t="s">
        <v>720</v>
      </c>
      <c r="B85" s="587"/>
      <c r="C85" s="529">
        <v>205921</v>
      </c>
      <c r="D85" s="578">
        <v>205921</v>
      </c>
      <c r="E85" s="605"/>
      <c r="F85" s="606"/>
      <c r="G85" s="499">
        <v>180</v>
      </c>
      <c r="H85" s="499">
        <v>0</v>
      </c>
      <c r="I85" s="499">
        <v>0</v>
      </c>
      <c r="J85" s="592">
        <f t="shared" si="21"/>
        <v>180</v>
      </c>
      <c r="K85" s="593"/>
      <c r="L85" s="594">
        <f t="shared" si="17"/>
        <v>180</v>
      </c>
      <c r="M85" s="610" t="s">
        <v>255</v>
      </c>
      <c r="N85" s="501">
        <f t="shared" si="22"/>
        <v>3.9013285001896651</v>
      </c>
      <c r="O85" s="595">
        <f t="shared" si="18"/>
        <v>702</v>
      </c>
      <c r="P85" s="583"/>
      <c r="Q85" s="1149">
        <v>0</v>
      </c>
      <c r="R85" s="1149">
        <v>0</v>
      </c>
      <c r="S85" s="1149">
        <v>0</v>
      </c>
      <c r="T85" s="593">
        <v>0.2036</v>
      </c>
      <c r="U85" s="595">
        <f t="shared" si="23"/>
        <v>0</v>
      </c>
      <c r="V85" s="583"/>
      <c r="W85" s="432">
        <v>0</v>
      </c>
      <c r="X85" s="432">
        <v>0</v>
      </c>
      <c r="Y85" s="432">
        <v>0</v>
      </c>
      <c r="Z85" s="593">
        <v>1.7611399999999999</v>
      </c>
      <c r="AA85" s="596">
        <f t="shared" si="24"/>
        <v>0</v>
      </c>
      <c r="AB85" s="578"/>
      <c r="AC85" s="611"/>
      <c r="AD85" s="585"/>
      <c r="AE85" s="611"/>
      <c r="AF85" s="585"/>
      <c r="AG85" s="611"/>
      <c r="AH85" s="578"/>
      <c r="AI85" s="612"/>
      <c r="AJ85" s="613"/>
      <c r="AK85" s="600">
        <f t="shared" si="19"/>
        <v>0</v>
      </c>
      <c r="AL85" s="578"/>
      <c r="AM85" s="1150">
        <v>0</v>
      </c>
      <c r="AN85" s="1150">
        <v>0</v>
      </c>
      <c r="AO85" s="1150">
        <v>0</v>
      </c>
      <c r="AP85" s="593">
        <v>0.2036</v>
      </c>
      <c r="AQ85" s="595">
        <f t="shared" si="25"/>
        <v>0</v>
      </c>
      <c r="AR85" s="578"/>
      <c r="AS85" s="601">
        <f t="shared" si="26"/>
        <v>702</v>
      </c>
      <c r="AT85" s="586"/>
      <c r="AU85" s="512"/>
      <c r="AV85" s="512"/>
      <c r="AW85" s="512">
        <f t="shared" si="20"/>
        <v>702</v>
      </c>
      <c r="AX85" s="602"/>
      <c r="AY85" s="574"/>
      <c r="AZ85" s="438"/>
      <c r="BB85" s="574"/>
      <c r="BC85" s="621" t="s">
        <v>525</v>
      </c>
    </row>
    <row r="86" spans="1:55" s="588" customFormat="1" ht="15" x14ac:dyDescent="0.25">
      <c r="A86" s="587" t="s">
        <v>1418</v>
      </c>
      <c r="B86" s="587"/>
      <c r="C86" s="529">
        <v>314105</v>
      </c>
      <c r="D86" s="578">
        <v>314105</v>
      </c>
      <c r="E86" s="605"/>
      <c r="F86" s="606"/>
      <c r="G86" s="499">
        <v>180</v>
      </c>
      <c r="H86" s="499">
        <v>210</v>
      </c>
      <c r="I86" s="499">
        <v>180</v>
      </c>
      <c r="J86" s="592">
        <f t="shared" si="21"/>
        <v>570</v>
      </c>
      <c r="K86" s="593"/>
      <c r="L86" s="594">
        <f t="shared" si="17"/>
        <v>570</v>
      </c>
      <c r="M86" s="610" t="s">
        <v>255</v>
      </c>
      <c r="N86" s="501">
        <f t="shared" si="22"/>
        <v>3.9013285001896651</v>
      </c>
      <c r="O86" s="595">
        <f t="shared" si="18"/>
        <v>2224</v>
      </c>
      <c r="P86" s="583"/>
      <c r="Q86" s="1149">
        <v>540</v>
      </c>
      <c r="R86" s="1149">
        <v>630</v>
      </c>
      <c r="S86" s="1149">
        <v>0</v>
      </c>
      <c r="T86" s="593">
        <v>0.2036</v>
      </c>
      <c r="U86" s="595">
        <f t="shared" si="23"/>
        <v>238.21200000000002</v>
      </c>
      <c r="V86" s="583"/>
      <c r="W86" s="432">
        <v>0</v>
      </c>
      <c r="X86" s="432">
        <v>0</v>
      </c>
      <c r="Y86" s="432">
        <v>0</v>
      </c>
      <c r="Z86" s="593">
        <v>1.7611399999999999</v>
      </c>
      <c r="AA86" s="596">
        <f t="shared" si="24"/>
        <v>0</v>
      </c>
      <c r="AB86" s="578"/>
      <c r="AC86" s="611"/>
      <c r="AD86" s="585"/>
      <c r="AE86" s="611"/>
      <c r="AF86" s="585"/>
      <c r="AG86" s="611"/>
      <c r="AH86" s="578"/>
      <c r="AI86" s="612"/>
      <c r="AJ86" s="613"/>
      <c r="AK86" s="600">
        <f t="shared" si="19"/>
        <v>0</v>
      </c>
      <c r="AL86" s="578"/>
      <c r="AM86" s="1150">
        <v>0</v>
      </c>
      <c r="AN86" s="1150">
        <v>0</v>
      </c>
      <c r="AO86" s="1150">
        <v>0</v>
      </c>
      <c r="AP86" s="593">
        <v>0.2036</v>
      </c>
      <c r="AQ86" s="595">
        <f t="shared" si="25"/>
        <v>0</v>
      </c>
      <c r="AR86" s="578"/>
      <c r="AS86" s="601">
        <f t="shared" si="26"/>
        <v>2462.212</v>
      </c>
      <c r="AT86" s="586"/>
      <c r="AU86" s="512"/>
      <c r="AV86" s="512"/>
      <c r="AW86" s="512">
        <f t="shared" si="20"/>
        <v>2462.212</v>
      </c>
      <c r="AX86" s="602"/>
      <c r="AY86" s="574"/>
      <c r="AZ86" s="438"/>
      <c r="BC86" s="621" t="s">
        <v>1376</v>
      </c>
    </row>
    <row r="87" spans="1:55" s="588" customFormat="1" ht="15" x14ac:dyDescent="0.25">
      <c r="A87" s="587" t="s">
        <v>721</v>
      </c>
      <c r="B87" s="587" t="s">
        <v>722</v>
      </c>
      <c r="C87" s="529">
        <v>206065</v>
      </c>
      <c r="D87" s="578">
        <v>206065</v>
      </c>
      <c r="E87" s="605"/>
      <c r="F87" s="606"/>
      <c r="G87" s="499">
        <v>0</v>
      </c>
      <c r="H87" s="499">
        <v>0</v>
      </c>
      <c r="I87" s="499">
        <v>360</v>
      </c>
      <c r="J87" s="592">
        <f t="shared" si="21"/>
        <v>360</v>
      </c>
      <c r="K87" s="593"/>
      <c r="L87" s="594">
        <f t="shared" si="17"/>
        <v>360</v>
      </c>
      <c r="M87" s="610" t="s">
        <v>255</v>
      </c>
      <c r="N87" s="501">
        <f t="shared" si="22"/>
        <v>3.9013285001896651</v>
      </c>
      <c r="O87" s="595">
        <f t="shared" si="18"/>
        <v>1404</v>
      </c>
      <c r="P87" s="583"/>
      <c r="Q87" s="1149">
        <v>0</v>
      </c>
      <c r="R87" s="1149">
        <v>0</v>
      </c>
      <c r="S87" s="1149">
        <v>0</v>
      </c>
      <c r="T87" s="593">
        <v>0.2036</v>
      </c>
      <c r="U87" s="595">
        <f t="shared" si="23"/>
        <v>0</v>
      </c>
      <c r="V87" s="583"/>
      <c r="W87" s="432">
        <v>0</v>
      </c>
      <c r="X87" s="432">
        <v>0</v>
      </c>
      <c r="Y87" s="432">
        <v>0</v>
      </c>
      <c r="Z87" s="593">
        <v>1.7611399999999999</v>
      </c>
      <c r="AA87" s="596">
        <f t="shared" si="24"/>
        <v>0</v>
      </c>
      <c r="AB87" s="578"/>
      <c r="AC87" s="611"/>
      <c r="AD87" s="585"/>
      <c r="AE87" s="611"/>
      <c r="AF87" s="585"/>
      <c r="AG87" s="611"/>
      <c r="AH87" s="578"/>
      <c r="AI87" s="612"/>
      <c r="AJ87" s="613"/>
      <c r="AK87" s="600">
        <f t="shared" si="19"/>
        <v>0</v>
      </c>
      <c r="AL87" s="578"/>
      <c r="AM87" s="1150">
        <v>0</v>
      </c>
      <c r="AN87" s="1150">
        <v>0</v>
      </c>
      <c r="AO87" s="1150">
        <v>0</v>
      </c>
      <c r="AP87" s="593">
        <v>0.2036</v>
      </c>
      <c r="AQ87" s="595">
        <f t="shared" si="25"/>
        <v>0</v>
      </c>
      <c r="AR87" s="578"/>
      <c r="AS87" s="601">
        <f t="shared" si="26"/>
        <v>1404</v>
      </c>
      <c r="AT87" s="586"/>
      <c r="AU87" s="512"/>
      <c r="AV87" s="512"/>
      <c r="AW87" s="512">
        <f t="shared" si="20"/>
        <v>1404</v>
      </c>
      <c r="AX87" s="602"/>
      <c r="AY87" s="574"/>
      <c r="AZ87" s="438"/>
      <c r="BB87" s="574"/>
      <c r="BC87" s="621" t="s">
        <v>1257</v>
      </c>
    </row>
    <row r="88" spans="1:55" s="588" customFormat="1" ht="15" x14ac:dyDescent="0.25">
      <c r="A88" s="587" t="s">
        <v>723</v>
      </c>
      <c r="B88" s="587"/>
      <c r="C88" s="529" t="s">
        <v>724</v>
      </c>
      <c r="D88" s="578">
        <v>463636</v>
      </c>
      <c r="E88" s="605"/>
      <c r="F88" s="606"/>
      <c r="G88" s="499">
        <v>0</v>
      </c>
      <c r="H88" s="499">
        <v>0</v>
      </c>
      <c r="I88" s="499">
        <v>0</v>
      </c>
      <c r="J88" s="592">
        <f t="shared" si="21"/>
        <v>0</v>
      </c>
      <c r="K88" s="593"/>
      <c r="L88" s="594">
        <f t="shared" si="17"/>
        <v>0</v>
      </c>
      <c r="M88" s="610" t="s">
        <v>725</v>
      </c>
      <c r="N88" s="501">
        <f t="shared" si="22"/>
        <v>3.9013285001896651</v>
      </c>
      <c r="O88" s="595">
        <f t="shared" si="18"/>
        <v>0</v>
      </c>
      <c r="P88" s="583"/>
      <c r="Q88" s="1149">
        <v>0</v>
      </c>
      <c r="R88" s="1149">
        <v>0</v>
      </c>
      <c r="S88" s="1149">
        <v>0</v>
      </c>
      <c r="T88" s="593">
        <v>0.2036</v>
      </c>
      <c r="U88" s="595">
        <f t="shared" si="23"/>
        <v>0</v>
      </c>
      <c r="V88" s="583"/>
      <c r="W88" s="432">
        <v>0</v>
      </c>
      <c r="X88" s="432">
        <v>0</v>
      </c>
      <c r="Y88" s="432">
        <v>0</v>
      </c>
      <c r="Z88" s="593">
        <v>1.7611399999999999</v>
      </c>
      <c r="AA88" s="596">
        <f t="shared" si="24"/>
        <v>0</v>
      </c>
      <c r="AB88" s="578"/>
      <c r="AC88" s="611"/>
      <c r="AD88" s="585"/>
      <c r="AE88" s="611"/>
      <c r="AF88" s="585"/>
      <c r="AG88" s="611"/>
      <c r="AH88" s="578"/>
      <c r="AI88" s="612"/>
      <c r="AJ88" s="613"/>
      <c r="AK88" s="600">
        <f t="shared" si="19"/>
        <v>0</v>
      </c>
      <c r="AL88" s="578"/>
      <c r="AM88" s="1150">
        <v>0</v>
      </c>
      <c r="AN88" s="1150">
        <v>0</v>
      </c>
      <c r="AO88" s="1150">
        <v>0</v>
      </c>
      <c r="AP88" s="593">
        <v>0.2036</v>
      </c>
      <c r="AQ88" s="595">
        <f t="shared" si="25"/>
        <v>0</v>
      </c>
      <c r="AR88" s="578"/>
      <c r="AS88" s="601">
        <f t="shared" si="26"/>
        <v>0</v>
      </c>
      <c r="AT88" s="586"/>
      <c r="AU88" s="512"/>
      <c r="AV88" s="512"/>
      <c r="AW88" s="512">
        <f t="shared" si="20"/>
        <v>0</v>
      </c>
      <c r="AX88" s="602"/>
      <c r="AY88" s="574"/>
      <c r="AZ88" s="438"/>
      <c r="BB88" s="574"/>
      <c r="BC88" s="621" t="s">
        <v>1258</v>
      </c>
    </row>
    <row r="89" spans="1:55" s="588" customFormat="1" ht="15" x14ac:dyDescent="0.25">
      <c r="A89" s="587" t="s">
        <v>726</v>
      </c>
      <c r="B89" s="587"/>
      <c r="C89" s="529" t="s">
        <v>727</v>
      </c>
      <c r="D89" s="578">
        <v>421552</v>
      </c>
      <c r="E89" s="605"/>
      <c r="F89" s="606"/>
      <c r="G89" s="499">
        <v>0</v>
      </c>
      <c r="H89" s="499">
        <v>0</v>
      </c>
      <c r="I89" s="499">
        <v>0</v>
      </c>
      <c r="J89" s="592">
        <f t="shared" si="21"/>
        <v>0</v>
      </c>
      <c r="K89" s="593"/>
      <c r="L89" s="594">
        <f t="shared" si="17"/>
        <v>0</v>
      </c>
      <c r="M89" s="610" t="s">
        <v>255</v>
      </c>
      <c r="N89" s="501">
        <f t="shared" si="22"/>
        <v>3.9013285001896651</v>
      </c>
      <c r="O89" s="595">
        <f t="shared" si="18"/>
        <v>0</v>
      </c>
      <c r="P89" s="583"/>
      <c r="Q89" s="1149">
        <v>0</v>
      </c>
      <c r="R89" s="1149">
        <v>0</v>
      </c>
      <c r="S89" s="1149">
        <v>0</v>
      </c>
      <c r="T89" s="593">
        <v>0.2036</v>
      </c>
      <c r="U89" s="595">
        <f t="shared" si="23"/>
        <v>0</v>
      </c>
      <c r="V89" s="583"/>
      <c r="W89" s="432">
        <v>0</v>
      </c>
      <c r="X89" s="432">
        <v>0</v>
      </c>
      <c r="Y89" s="432">
        <v>0</v>
      </c>
      <c r="Z89" s="593">
        <v>1.7611399999999999</v>
      </c>
      <c r="AA89" s="596">
        <f t="shared" si="24"/>
        <v>0</v>
      </c>
      <c r="AB89" s="578"/>
      <c r="AC89" s="611"/>
      <c r="AD89" s="585"/>
      <c r="AE89" s="611"/>
      <c r="AF89" s="585"/>
      <c r="AG89" s="611"/>
      <c r="AH89" s="578"/>
      <c r="AI89" s="612"/>
      <c r="AJ89" s="613"/>
      <c r="AK89" s="600">
        <f t="shared" si="19"/>
        <v>0</v>
      </c>
      <c r="AL89" s="578"/>
      <c r="AM89" s="1150">
        <v>0</v>
      </c>
      <c r="AN89" s="1150">
        <v>0</v>
      </c>
      <c r="AO89" s="1150">
        <v>0</v>
      </c>
      <c r="AP89" s="593">
        <v>0.2036</v>
      </c>
      <c r="AQ89" s="595">
        <f t="shared" si="25"/>
        <v>0</v>
      </c>
      <c r="AR89" s="578"/>
      <c r="AS89" s="601">
        <f t="shared" si="26"/>
        <v>0</v>
      </c>
      <c r="AT89" s="586"/>
      <c r="AU89" s="512"/>
      <c r="AV89" s="512"/>
      <c r="AW89" s="512">
        <f t="shared" si="20"/>
        <v>0</v>
      </c>
      <c r="AX89" s="602"/>
      <c r="AY89" s="574"/>
      <c r="AZ89" s="438"/>
      <c r="BC89" s="621" t="s">
        <v>561</v>
      </c>
    </row>
    <row r="90" spans="1:55" s="588" customFormat="1" ht="15" x14ac:dyDescent="0.25">
      <c r="A90" s="587" t="s">
        <v>728</v>
      </c>
      <c r="B90" s="587"/>
      <c r="C90" s="529" t="s">
        <v>277</v>
      </c>
      <c r="D90" s="578">
        <v>251518</v>
      </c>
      <c r="E90" s="605"/>
      <c r="F90" s="606"/>
      <c r="G90" s="499">
        <v>720</v>
      </c>
      <c r="H90" s="499">
        <v>630</v>
      </c>
      <c r="I90" s="499">
        <v>360</v>
      </c>
      <c r="J90" s="592">
        <f t="shared" si="21"/>
        <v>1710</v>
      </c>
      <c r="K90" s="593"/>
      <c r="L90" s="594">
        <f t="shared" si="17"/>
        <v>1710</v>
      </c>
      <c r="M90" s="610" t="s">
        <v>255</v>
      </c>
      <c r="N90" s="501">
        <f t="shared" si="22"/>
        <v>3.9013285001896651</v>
      </c>
      <c r="O90" s="595">
        <f t="shared" si="18"/>
        <v>6671</v>
      </c>
      <c r="P90" s="583"/>
      <c r="Q90" s="1149">
        <v>540</v>
      </c>
      <c r="R90" s="1149">
        <v>420</v>
      </c>
      <c r="S90" s="1149">
        <v>180</v>
      </c>
      <c r="T90" s="593">
        <v>0.2036</v>
      </c>
      <c r="U90" s="595">
        <f t="shared" si="23"/>
        <v>232.10400000000001</v>
      </c>
      <c r="V90" s="583"/>
      <c r="W90" s="432">
        <v>0</v>
      </c>
      <c r="X90" s="432">
        <v>0</v>
      </c>
      <c r="Y90" s="432">
        <v>0</v>
      </c>
      <c r="Z90" s="593">
        <v>1.7611399999999999</v>
      </c>
      <c r="AA90" s="596">
        <f t="shared" si="24"/>
        <v>0</v>
      </c>
      <c r="AB90" s="578"/>
      <c r="AC90" s="611"/>
      <c r="AD90" s="585"/>
      <c r="AE90" s="611"/>
      <c r="AF90" s="585"/>
      <c r="AG90" s="611"/>
      <c r="AH90" s="578"/>
      <c r="AI90" s="612"/>
      <c r="AJ90" s="613"/>
      <c r="AK90" s="600">
        <f t="shared" si="19"/>
        <v>0</v>
      </c>
      <c r="AL90" s="578"/>
      <c r="AM90" s="1150">
        <v>0</v>
      </c>
      <c r="AN90" s="1150">
        <v>0</v>
      </c>
      <c r="AO90" s="1150">
        <v>0</v>
      </c>
      <c r="AP90" s="593">
        <v>0.2036</v>
      </c>
      <c r="AQ90" s="595">
        <f t="shared" si="25"/>
        <v>0</v>
      </c>
      <c r="AR90" s="578"/>
      <c r="AS90" s="601">
        <f t="shared" si="26"/>
        <v>6903.1040000000003</v>
      </c>
      <c r="AT90" s="586"/>
      <c r="AU90" s="512"/>
      <c r="AV90" s="512"/>
      <c r="AW90" s="512">
        <f t="shared" si="20"/>
        <v>6903.1040000000003</v>
      </c>
      <c r="AX90" s="602"/>
      <c r="AY90" s="574"/>
      <c r="AZ90" s="438"/>
      <c r="BC90" s="621" t="s">
        <v>1400</v>
      </c>
    </row>
    <row r="91" spans="1:55" s="588" customFormat="1" ht="15" x14ac:dyDescent="0.25">
      <c r="A91" s="587" t="s">
        <v>729</v>
      </c>
      <c r="B91" s="587"/>
      <c r="C91" s="529" t="s">
        <v>730</v>
      </c>
      <c r="D91" s="578">
        <v>412756</v>
      </c>
      <c r="E91" s="605"/>
      <c r="F91" s="606"/>
      <c r="G91" s="499">
        <v>180</v>
      </c>
      <c r="H91" s="499">
        <v>42</v>
      </c>
      <c r="I91" s="499">
        <v>540</v>
      </c>
      <c r="J91" s="592">
        <f t="shared" si="21"/>
        <v>762</v>
      </c>
      <c r="K91" s="593"/>
      <c r="L91" s="594">
        <f t="shared" si="17"/>
        <v>762</v>
      </c>
      <c r="M91" s="610" t="s">
        <v>255</v>
      </c>
      <c r="N91" s="501">
        <f t="shared" si="22"/>
        <v>3.9013285001896651</v>
      </c>
      <c r="O91" s="595">
        <f t="shared" si="18"/>
        <v>2973</v>
      </c>
      <c r="P91" s="583"/>
      <c r="Q91" s="1149">
        <v>0</v>
      </c>
      <c r="R91" s="1149">
        <v>0</v>
      </c>
      <c r="S91" s="1149">
        <v>0</v>
      </c>
      <c r="T91" s="593">
        <v>0.2036</v>
      </c>
      <c r="U91" s="595">
        <f t="shared" si="23"/>
        <v>0</v>
      </c>
      <c r="V91" s="583"/>
      <c r="W91" s="432">
        <v>0</v>
      </c>
      <c r="X91" s="432">
        <v>0</v>
      </c>
      <c r="Y91" s="432">
        <v>0</v>
      </c>
      <c r="Z91" s="593">
        <v>1.7611399999999999</v>
      </c>
      <c r="AA91" s="596">
        <f t="shared" si="24"/>
        <v>0</v>
      </c>
      <c r="AB91" s="578"/>
      <c r="AC91" s="611"/>
      <c r="AD91" s="585"/>
      <c r="AE91" s="611"/>
      <c r="AF91" s="585"/>
      <c r="AG91" s="611"/>
      <c r="AH91" s="578"/>
      <c r="AI91" s="612"/>
      <c r="AJ91" s="613"/>
      <c r="AK91" s="600">
        <f t="shared" si="19"/>
        <v>0</v>
      </c>
      <c r="AL91" s="578"/>
      <c r="AM91" s="1150">
        <v>0</v>
      </c>
      <c r="AN91" s="1150">
        <v>0</v>
      </c>
      <c r="AO91" s="1150">
        <v>0</v>
      </c>
      <c r="AP91" s="593">
        <v>0.2036</v>
      </c>
      <c r="AQ91" s="595">
        <f t="shared" si="25"/>
        <v>0</v>
      </c>
      <c r="AR91" s="578"/>
      <c r="AS91" s="601">
        <f t="shared" si="26"/>
        <v>2973</v>
      </c>
      <c r="AT91" s="586"/>
      <c r="AU91" s="512"/>
      <c r="AV91" s="512"/>
      <c r="AW91" s="512">
        <f t="shared" si="20"/>
        <v>2973</v>
      </c>
      <c r="AX91" s="602"/>
      <c r="AY91" s="574"/>
      <c r="AZ91" s="438"/>
      <c r="BC91" s="621" t="s">
        <v>1399</v>
      </c>
    </row>
    <row r="92" spans="1:55" s="588" customFormat="1" ht="15" x14ac:dyDescent="0.25">
      <c r="A92" s="587" t="s">
        <v>1419</v>
      </c>
      <c r="B92" s="587"/>
      <c r="C92" s="529">
        <v>206076</v>
      </c>
      <c r="D92" s="578">
        <v>206076</v>
      </c>
      <c r="E92" s="605"/>
      <c r="F92" s="606"/>
      <c r="G92" s="499">
        <v>180</v>
      </c>
      <c r="H92" s="499">
        <v>210</v>
      </c>
      <c r="I92" s="499">
        <v>180</v>
      </c>
      <c r="J92" s="592">
        <f t="shared" si="21"/>
        <v>570</v>
      </c>
      <c r="K92" s="593"/>
      <c r="L92" s="594">
        <f t="shared" si="17"/>
        <v>570</v>
      </c>
      <c r="M92" s="610" t="s">
        <v>255</v>
      </c>
      <c r="N92" s="501">
        <f t="shared" si="22"/>
        <v>3.9013285001896651</v>
      </c>
      <c r="O92" s="595">
        <f t="shared" si="18"/>
        <v>2224</v>
      </c>
      <c r="P92" s="583"/>
      <c r="Q92" s="1149">
        <v>0</v>
      </c>
      <c r="R92" s="1149">
        <v>0</v>
      </c>
      <c r="S92" s="1149">
        <v>0</v>
      </c>
      <c r="T92" s="593">
        <v>0.2036</v>
      </c>
      <c r="U92" s="595">
        <f t="shared" si="23"/>
        <v>0</v>
      </c>
      <c r="V92" s="583"/>
      <c r="W92" s="432">
        <v>0</v>
      </c>
      <c r="X92" s="432">
        <v>0</v>
      </c>
      <c r="Y92" s="432">
        <v>0</v>
      </c>
      <c r="Z92" s="593">
        <v>1.7611399999999999</v>
      </c>
      <c r="AA92" s="596">
        <f t="shared" si="24"/>
        <v>0</v>
      </c>
      <c r="AB92" s="578"/>
      <c r="AC92" s="611"/>
      <c r="AD92" s="585"/>
      <c r="AE92" s="611"/>
      <c r="AF92" s="585"/>
      <c r="AG92" s="611"/>
      <c r="AH92" s="578"/>
      <c r="AI92" s="612"/>
      <c r="AJ92" s="613"/>
      <c r="AK92" s="600">
        <f t="shared" si="19"/>
        <v>0</v>
      </c>
      <c r="AL92" s="578"/>
      <c r="AM92" s="1150">
        <v>0</v>
      </c>
      <c r="AN92" s="1150">
        <v>0</v>
      </c>
      <c r="AO92" s="1150">
        <v>0</v>
      </c>
      <c r="AP92" s="593">
        <v>0.2036</v>
      </c>
      <c r="AQ92" s="595">
        <f t="shared" si="25"/>
        <v>0</v>
      </c>
      <c r="AR92" s="578"/>
      <c r="AS92" s="601">
        <f t="shared" si="26"/>
        <v>2224</v>
      </c>
      <c r="AT92" s="586"/>
      <c r="AU92" s="512"/>
      <c r="AV92" s="512"/>
      <c r="AW92" s="512">
        <f t="shared" si="20"/>
        <v>2224</v>
      </c>
      <c r="AX92" s="602"/>
      <c r="AY92" s="574"/>
      <c r="AZ92" s="438"/>
      <c r="BC92" s="621" t="s">
        <v>1377</v>
      </c>
    </row>
    <row r="93" spans="1:55" s="588" customFormat="1" ht="15" x14ac:dyDescent="0.25">
      <c r="A93" s="587" t="s">
        <v>562</v>
      </c>
      <c r="B93" s="587"/>
      <c r="C93" s="529" t="s">
        <v>275</v>
      </c>
      <c r="D93" s="578" t="s">
        <v>275</v>
      </c>
      <c r="E93" s="605"/>
      <c r="F93" s="606"/>
      <c r="G93" s="499">
        <v>0</v>
      </c>
      <c r="H93" s="499">
        <v>0</v>
      </c>
      <c r="I93" s="499">
        <v>0</v>
      </c>
      <c r="J93" s="592">
        <f t="shared" si="21"/>
        <v>0</v>
      </c>
      <c r="K93" s="593"/>
      <c r="L93" s="594">
        <f t="shared" si="17"/>
        <v>0</v>
      </c>
      <c r="M93" s="610" t="s">
        <v>255</v>
      </c>
      <c r="N93" s="501">
        <f t="shared" si="22"/>
        <v>3.9013285001896651</v>
      </c>
      <c r="O93" s="595">
        <f t="shared" si="18"/>
        <v>0</v>
      </c>
      <c r="P93" s="583"/>
      <c r="Q93" s="1149">
        <v>0</v>
      </c>
      <c r="R93" s="1149">
        <v>0</v>
      </c>
      <c r="S93" s="1149">
        <v>0</v>
      </c>
      <c r="T93" s="593">
        <v>0.2036</v>
      </c>
      <c r="U93" s="595">
        <f t="shared" si="23"/>
        <v>0</v>
      </c>
      <c r="V93" s="583"/>
      <c r="W93" s="432">
        <v>0</v>
      </c>
      <c r="X93" s="432">
        <v>0</v>
      </c>
      <c r="Y93" s="432">
        <v>0</v>
      </c>
      <c r="Z93" s="593">
        <v>1.7611399999999999</v>
      </c>
      <c r="AA93" s="596">
        <f t="shared" si="24"/>
        <v>0</v>
      </c>
      <c r="AB93" s="578"/>
      <c r="AC93" s="611"/>
      <c r="AD93" s="585"/>
      <c r="AE93" s="611"/>
      <c r="AF93" s="585"/>
      <c r="AG93" s="611"/>
      <c r="AH93" s="578"/>
      <c r="AI93" s="612"/>
      <c r="AJ93" s="613"/>
      <c r="AK93" s="600">
        <f t="shared" si="19"/>
        <v>0</v>
      </c>
      <c r="AL93" s="578"/>
      <c r="AM93" s="1150">
        <v>0</v>
      </c>
      <c r="AN93" s="1150">
        <v>0</v>
      </c>
      <c r="AO93" s="1150">
        <v>0</v>
      </c>
      <c r="AP93" s="593">
        <v>0.2036</v>
      </c>
      <c r="AQ93" s="595">
        <f t="shared" si="25"/>
        <v>0</v>
      </c>
      <c r="AR93" s="578"/>
      <c r="AS93" s="601">
        <f t="shared" si="26"/>
        <v>0</v>
      </c>
      <c r="AT93" s="586"/>
      <c r="AU93" s="512"/>
      <c r="AV93" s="512"/>
      <c r="AW93" s="512">
        <f t="shared" si="20"/>
        <v>0</v>
      </c>
      <c r="AX93" s="602"/>
      <c r="AY93" s="574"/>
      <c r="AZ93" s="438"/>
      <c r="BC93" s="621" t="s">
        <v>1435</v>
      </c>
    </row>
    <row r="94" spans="1:55" s="588" customFormat="1" ht="15" x14ac:dyDescent="0.25">
      <c r="A94" s="587" t="s">
        <v>731</v>
      </c>
      <c r="B94" s="587"/>
      <c r="C94" s="529" t="s">
        <v>276</v>
      </c>
      <c r="D94" s="578">
        <v>336463</v>
      </c>
      <c r="E94" s="605"/>
      <c r="F94" s="606"/>
      <c r="G94" s="499">
        <v>0</v>
      </c>
      <c r="H94" s="499">
        <v>0</v>
      </c>
      <c r="I94" s="499">
        <v>180</v>
      </c>
      <c r="J94" s="592">
        <f t="shared" si="21"/>
        <v>180</v>
      </c>
      <c r="K94" s="593"/>
      <c r="L94" s="594">
        <f t="shared" si="17"/>
        <v>180</v>
      </c>
      <c r="M94" s="610" t="s">
        <v>255</v>
      </c>
      <c r="N94" s="501">
        <f t="shared" si="22"/>
        <v>3.9013285001896651</v>
      </c>
      <c r="O94" s="595">
        <f t="shared" si="18"/>
        <v>702</v>
      </c>
      <c r="P94" s="583"/>
      <c r="Q94" s="1149">
        <v>0</v>
      </c>
      <c r="R94" s="1149">
        <v>0</v>
      </c>
      <c r="S94" s="1149">
        <v>0</v>
      </c>
      <c r="T94" s="593">
        <v>0.2036</v>
      </c>
      <c r="U94" s="595">
        <f t="shared" si="23"/>
        <v>0</v>
      </c>
      <c r="V94" s="583"/>
      <c r="W94" s="432">
        <v>0</v>
      </c>
      <c r="X94" s="432">
        <v>0</v>
      </c>
      <c r="Y94" s="432">
        <v>0</v>
      </c>
      <c r="Z94" s="593">
        <v>1.7611399999999999</v>
      </c>
      <c r="AA94" s="596">
        <f t="shared" si="24"/>
        <v>0</v>
      </c>
      <c r="AB94" s="578"/>
      <c r="AC94" s="611"/>
      <c r="AD94" s="585"/>
      <c r="AE94" s="611"/>
      <c r="AF94" s="585"/>
      <c r="AG94" s="611"/>
      <c r="AH94" s="578"/>
      <c r="AI94" s="612"/>
      <c r="AJ94" s="613"/>
      <c r="AK94" s="600">
        <f t="shared" si="19"/>
        <v>0</v>
      </c>
      <c r="AL94" s="578"/>
      <c r="AM94" s="1150">
        <v>0</v>
      </c>
      <c r="AN94" s="1150">
        <v>0</v>
      </c>
      <c r="AO94" s="1150">
        <v>0</v>
      </c>
      <c r="AP94" s="593">
        <v>0.2036</v>
      </c>
      <c r="AQ94" s="595">
        <f t="shared" si="25"/>
        <v>0</v>
      </c>
      <c r="AR94" s="578"/>
      <c r="AS94" s="601">
        <f t="shared" si="26"/>
        <v>702</v>
      </c>
      <c r="AT94" s="586"/>
      <c r="AU94" s="512"/>
      <c r="AV94" s="512"/>
      <c r="AW94" s="512">
        <f t="shared" si="20"/>
        <v>702</v>
      </c>
      <c r="AX94" s="602"/>
      <c r="AY94" s="574"/>
      <c r="AZ94" s="438"/>
      <c r="BC94" s="621" t="s">
        <v>526</v>
      </c>
    </row>
    <row r="95" spans="1:55" s="588" customFormat="1" ht="15" x14ac:dyDescent="0.25">
      <c r="A95" s="587" t="s">
        <v>732</v>
      </c>
      <c r="B95" s="587"/>
      <c r="C95" s="529">
        <v>205919</v>
      </c>
      <c r="D95" s="578">
        <v>205919</v>
      </c>
      <c r="E95" s="605"/>
      <c r="F95" s="606"/>
      <c r="G95" s="499">
        <v>0</v>
      </c>
      <c r="H95" s="499">
        <v>210</v>
      </c>
      <c r="I95" s="499">
        <v>180</v>
      </c>
      <c r="J95" s="592">
        <f t="shared" si="21"/>
        <v>390</v>
      </c>
      <c r="K95" s="593"/>
      <c r="L95" s="594">
        <f t="shared" si="17"/>
        <v>390</v>
      </c>
      <c r="M95" s="610" t="s">
        <v>255</v>
      </c>
      <c r="N95" s="501">
        <f t="shared" si="22"/>
        <v>3.9013285001896651</v>
      </c>
      <c r="O95" s="595">
        <f t="shared" si="18"/>
        <v>1522</v>
      </c>
      <c r="P95" s="583"/>
      <c r="Q95" s="1149">
        <v>0</v>
      </c>
      <c r="R95" s="1149">
        <v>210</v>
      </c>
      <c r="S95" s="1149">
        <v>0</v>
      </c>
      <c r="T95" s="593">
        <v>0.2036</v>
      </c>
      <c r="U95" s="595">
        <f t="shared" si="23"/>
        <v>42.756</v>
      </c>
      <c r="V95" s="583"/>
      <c r="W95" s="432">
        <v>0</v>
      </c>
      <c r="X95" s="432">
        <v>0</v>
      </c>
      <c r="Y95" s="432">
        <v>0</v>
      </c>
      <c r="Z95" s="593">
        <v>1.7611399999999999</v>
      </c>
      <c r="AA95" s="596">
        <f t="shared" si="24"/>
        <v>0</v>
      </c>
      <c r="AB95" s="578"/>
      <c r="AC95" s="611"/>
      <c r="AD95" s="585"/>
      <c r="AE95" s="611"/>
      <c r="AF95" s="585"/>
      <c r="AG95" s="611"/>
      <c r="AH95" s="578"/>
      <c r="AI95" s="612"/>
      <c r="AJ95" s="613"/>
      <c r="AK95" s="600">
        <f t="shared" si="19"/>
        <v>0</v>
      </c>
      <c r="AL95" s="578"/>
      <c r="AM95" s="1150">
        <v>0</v>
      </c>
      <c r="AN95" s="1150">
        <v>0</v>
      </c>
      <c r="AO95" s="1150">
        <v>0</v>
      </c>
      <c r="AP95" s="593">
        <v>0.2036</v>
      </c>
      <c r="AQ95" s="595">
        <f t="shared" si="25"/>
        <v>0</v>
      </c>
      <c r="AR95" s="578"/>
      <c r="AS95" s="601">
        <f t="shared" si="26"/>
        <v>1564.7560000000001</v>
      </c>
      <c r="AT95" s="586"/>
      <c r="AU95" s="512"/>
      <c r="AV95" s="512"/>
      <c r="AW95" s="512">
        <f t="shared" si="20"/>
        <v>1564.7560000000001</v>
      </c>
      <c r="AX95" s="602"/>
      <c r="AY95" s="574"/>
      <c r="AZ95" s="438"/>
      <c r="BB95" s="574"/>
      <c r="BC95" s="621" t="s">
        <v>1259</v>
      </c>
    </row>
    <row r="96" spans="1:55" s="588" customFormat="1" ht="15" x14ac:dyDescent="0.25">
      <c r="A96" s="587" t="s">
        <v>1420</v>
      </c>
      <c r="B96" s="587"/>
      <c r="C96" s="78">
        <v>477405</v>
      </c>
      <c r="D96" s="578">
        <v>477405</v>
      </c>
      <c r="E96" s="605"/>
      <c r="F96" s="606"/>
      <c r="G96" s="499">
        <v>0</v>
      </c>
      <c r="H96" s="499">
        <v>0</v>
      </c>
      <c r="I96" s="499">
        <v>0</v>
      </c>
      <c r="J96" s="592">
        <f t="shared" si="21"/>
        <v>0</v>
      </c>
      <c r="K96" s="593"/>
      <c r="L96" s="594">
        <f t="shared" si="17"/>
        <v>0</v>
      </c>
      <c r="M96" s="610" t="s">
        <v>255</v>
      </c>
      <c r="N96" s="501">
        <f t="shared" si="22"/>
        <v>3.9013285001896651</v>
      </c>
      <c r="O96" s="595">
        <f t="shared" si="18"/>
        <v>0</v>
      </c>
      <c r="P96" s="583"/>
      <c r="Q96" s="1149">
        <v>0</v>
      </c>
      <c r="R96" s="1149">
        <v>0</v>
      </c>
      <c r="S96" s="1149">
        <v>0</v>
      </c>
      <c r="T96" s="593">
        <v>0.2036</v>
      </c>
      <c r="U96" s="595">
        <f t="shared" si="23"/>
        <v>0</v>
      </c>
      <c r="V96" s="583"/>
      <c r="W96" s="432">
        <v>0</v>
      </c>
      <c r="X96" s="432">
        <v>0</v>
      </c>
      <c r="Y96" s="432">
        <v>0</v>
      </c>
      <c r="Z96" s="593">
        <v>1.7611399999999999</v>
      </c>
      <c r="AA96" s="596">
        <f t="shared" si="24"/>
        <v>0</v>
      </c>
      <c r="AB96" s="578"/>
      <c r="AC96" s="611"/>
      <c r="AD96" s="585"/>
      <c r="AE96" s="611"/>
      <c r="AF96" s="585"/>
      <c r="AG96" s="611"/>
      <c r="AH96" s="578"/>
      <c r="AI96" s="612"/>
      <c r="AJ96" s="613"/>
      <c r="AK96" s="600">
        <f t="shared" si="19"/>
        <v>0</v>
      </c>
      <c r="AL96" s="578"/>
      <c r="AM96" s="1150">
        <v>0</v>
      </c>
      <c r="AN96" s="1150">
        <v>0</v>
      </c>
      <c r="AO96" s="1150">
        <v>0</v>
      </c>
      <c r="AP96" s="593">
        <v>0.2036</v>
      </c>
      <c r="AQ96" s="595">
        <f t="shared" si="25"/>
        <v>0</v>
      </c>
      <c r="AR96" s="578"/>
      <c r="AS96" s="601">
        <f t="shared" si="26"/>
        <v>0</v>
      </c>
      <c r="AT96" s="586"/>
      <c r="AU96" s="512"/>
      <c r="AV96" s="512"/>
      <c r="AW96" s="512">
        <f t="shared" si="20"/>
        <v>0</v>
      </c>
      <c r="AX96" s="602"/>
      <c r="AY96" s="574"/>
      <c r="AZ96" s="438"/>
      <c r="BB96" s="574"/>
      <c r="BC96" s="621" t="s">
        <v>1378</v>
      </c>
    </row>
    <row r="97" spans="1:55" s="588" customFormat="1" ht="15" x14ac:dyDescent="0.25">
      <c r="A97" s="587" t="s">
        <v>733</v>
      </c>
      <c r="B97" s="587"/>
      <c r="C97" s="529" t="s">
        <v>734</v>
      </c>
      <c r="D97" s="578" t="s">
        <v>734</v>
      </c>
      <c r="E97" s="605"/>
      <c r="F97" s="606"/>
      <c r="G97" s="499">
        <v>720</v>
      </c>
      <c r="H97" s="499">
        <v>210</v>
      </c>
      <c r="I97" s="499">
        <v>180</v>
      </c>
      <c r="J97" s="592">
        <f t="shared" si="21"/>
        <v>1110</v>
      </c>
      <c r="K97" s="593"/>
      <c r="L97" s="594">
        <f t="shared" si="17"/>
        <v>1110</v>
      </c>
      <c r="M97" s="610" t="s">
        <v>255</v>
      </c>
      <c r="N97" s="501">
        <f t="shared" si="22"/>
        <v>3.9013285001896651</v>
      </c>
      <c r="O97" s="595">
        <f t="shared" si="18"/>
        <v>4330</v>
      </c>
      <c r="P97" s="583"/>
      <c r="Q97" s="1149">
        <v>0</v>
      </c>
      <c r="R97" s="1149">
        <v>0</v>
      </c>
      <c r="S97" s="1149">
        <v>0</v>
      </c>
      <c r="T97" s="593">
        <v>0.2036</v>
      </c>
      <c r="U97" s="595">
        <f t="shared" si="23"/>
        <v>0</v>
      </c>
      <c r="V97" s="583"/>
      <c r="W97" s="432">
        <v>0</v>
      </c>
      <c r="X97" s="432">
        <v>0</v>
      </c>
      <c r="Y97" s="432">
        <v>0</v>
      </c>
      <c r="Z97" s="593">
        <v>1.7611399999999999</v>
      </c>
      <c r="AA97" s="596">
        <f t="shared" si="24"/>
        <v>0</v>
      </c>
      <c r="AB97" s="578"/>
      <c r="AC97" s="611"/>
      <c r="AD97" s="585"/>
      <c r="AE97" s="611"/>
      <c r="AF97" s="585"/>
      <c r="AG97" s="611"/>
      <c r="AH97" s="578"/>
      <c r="AI97" s="612"/>
      <c r="AJ97" s="613"/>
      <c r="AK97" s="600">
        <f t="shared" si="19"/>
        <v>0</v>
      </c>
      <c r="AL97" s="578"/>
      <c r="AM97" s="1150">
        <v>0</v>
      </c>
      <c r="AN97" s="1150">
        <v>0</v>
      </c>
      <c r="AO97" s="1150">
        <v>0</v>
      </c>
      <c r="AP97" s="593">
        <v>0.2036</v>
      </c>
      <c r="AQ97" s="595">
        <f t="shared" si="25"/>
        <v>0</v>
      </c>
      <c r="AR97" s="578"/>
      <c r="AS97" s="601">
        <f t="shared" si="26"/>
        <v>4330</v>
      </c>
      <c r="AT97" s="586"/>
      <c r="AU97" s="512"/>
      <c r="AV97" s="512"/>
      <c r="AW97" s="512">
        <f t="shared" si="20"/>
        <v>4330</v>
      </c>
      <c r="AX97" s="602"/>
      <c r="AY97" s="574"/>
      <c r="AZ97" s="438"/>
      <c r="BC97" s="621" t="s">
        <v>1260</v>
      </c>
    </row>
    <row r="98" spans="1:55" s="588" customFormat="1" ht="15" x14ac:dyDescent="0.25">
      <c r="A98" s="587" t="s">
        <v>1421</v>
      </c>
      <c r="B98" s="587"/>
      <c r="C98" s="604">
        <v>401536</v>
      </c>
      <c r="D98" s="578">
        <v>401536</v>
      </c>
      <c r="E98" s="605"/>
      <c r="F98" s="606"/>
      <c r="G98" s="499">
        <v>90</v>
      </c>
      <c r="H98" s="499">
        <v>0</v>
      </c>
      <c r="I98" s="499">
        <v>0</v>
      </c>
      <c r="J98" s="592">
        <f t="shared" si="21"/>
        <v>90</v>
      </c>
      <c r="K98" s="593"/>
      <c r="L98" s="594">
        <f t="shared" si="17"/>
        <v>90</v>
      </c>
      <c r="M98" s="610" t="s">
        <v>255</v>
      </c>
      <c r="N98" s="501">
        <f t="shared" si="22"/>
        <v>3.9013285001896651</v>
      </c>
      <c r="O98" s="595">
        <f t="shared" si="18"/>
        <v>351</v>
      </c>
      <c r="P98" s="583"/>
      <c r="Q98" s="1149">
        <v>0</v>
      </c>
      <c r="R98" s="1149">
        <v>0</v>
      </c>
      <c r="S98" s="1149">
        <v>0</v>
      </c>
      <c r="T98" s="593">
        <v>0.2036</v>
      </c>
      <c r="U98" s="595">
        <f t="shared" si="23"/>
        <v>0</v>
      </c>
      <c r="V98" s="583"/>
      <c r="W98" s="432">
        <v>0</v>
      </c>
      <c r="X98" s="432">
        <v>0</v>
      </c>
      <c r="Y98" s="432">
        <v>0</v>
      </c>
      <c r="Z98" s="593">
        <v>1.7611399999999999</v>
      </c>
      <c r="AA98" s="596">
        <f t="shared" si="24"/>
        <v>0</v>
      </c>
      <c r="AB98" s="578"/>
      <c r="AC98" s="611"/>
      <c r="AD98" s="585"/>
      <c r="AE98" s="611"/>
      <c r="AF98" s="585"/>
      <c r="AG98" s="611"/>
      <c r="AH98" s="578"/>
      <c r="AI98" s="612"/>
      <c r="AJ98" s="613"/>
      <c r="AK98" s="600">
        <f t="shared" si="19"/>
        <v>0</v>
      </c>
      <c r="AL98" s="578"/>
      <c r="AM98" s="1150">
        <v>0</v>
      </c>
      <c r="AN98" s="1150">
        <v>0</v>
      </c>
      <c r="AO98" s="1150">
        <v>0</v>
      </c>
      <c r="AP98" s="593">
        <v>0.2036</v>
      </c>
      <c r="AQ98" s="595">
        <f t="shared" si="25"/>
        <v>0</v>
      </c>
      <c r="AR98" s="578"/>
      <c r="AS98" s="601">
        <f t="shared" si="26"/>
        <v>351</v>
      </c>
      <c r="AT98" s="586"/>
      <c r="AU98" s="512"/>
      <c r="AV98" s="512"/>
      <c r="AW98" s="512">
        <f t="shared" si="20"/>
        <v>351</v>
      </c>
      <c r="AX98" s="602"/>
      <c r="AY98" s="574"/>
      <c r="AZ98" s="438"/>
      <c r="BB98" s="574"/>
      <c r="BC98" s="621" t="s">
        <v>1379</v>
      </c>
    </row>
    <row r="99" spans="1:55" s="588" customFormat="1" ht="15" x14ac:dyDescent="0.25">
      <c r="A99" s="587" t="s">
        <v>735</v>
      </c>
      <c r="B99" s="587"/>
      <c r="C99" s="529" t="s">
        <v>736</v>
      </c>
      <c r="D99" s="578">
        <v>303699</v>
      </c>
      <c r="E99" s="605"/>
      <c r="F99" s="606"/>
      <c r="G99" s="499">
        <v>540</v>
      </c>
      <c r="H99" s="499">
        <v>0</v>
      </c>
      <c r="I99" s="499">
        <v>180</v>
      </c>
      <c r="J99" s="592">
        <f t="shared" si="21"/>
        <v>720</v>
      </c>
      <c r="K99" s="593"/>
      <c r="L99" s="594">
        <f t="shared" si="17"/>
        <v>720</v>
      </c>
      <c r="M99" s="610" t="s">
        <v>255</v>
      </c>
      <c r="N99" s="501">
        <f t="shared" si="22"/>
        <v>3.9013285001896651</v>
      </c>
      <c r="O99" s="595">
        <f t="shared" si="18"/>
        <v>2809</v>
      </c>
      <c r="P99" s="583"/>
      <c r="Q99" s="1149">
        <v>180</v>
      </c>
      <c r="R99" s="1149">
        <v>0</v>
      </c>
      <c r="S99" s="1149">
        <v>0</v>
      </c>
      <c r="T99" s="593">
        <v>0.2036</v>
      </c>
      <c r="U99" s="595">
        <f t="shared" si="23"/>
        <v>36.648000000000003</v>
      </c>
      <c r="V99" s="583"/>
      <c r="W99" s="432">
        <v>0</v>
      </c>
      <c r="X99" s="432">
        <v>0</v>
      </c>
      <c r="Y99" s="432">
        <v>0</v>
      </c>
      <c r="Z99" s="593">
        <v>1.7611399999999999</v>
      </c>
      <c r="AA99" s="596">
        <f t="shared" si="24"/>
        <v>0</v>
      </c>
      <c r="AB99" s="578"/>
      <c r="AC99" s="611"/>
      <c r="AD99" s="585"/>
      <c r="AE99" s="611"/>
      <c r="AF99" s="585"/>
      <c r="AG99" s="611"/>
      <c r="AH99" s="578"/>
      <c r="AI99" s="612"/>
      <c r="AJ99" s="613"/>
      <c r="AK99" s="600">
        <f t="shared" si="19"/>
        <v>0</v>
      </c>
      <c r="AL99" s="578"/>
      <c r="AM99" s="1150">
        <v>0</v>
      </c>
      <c r="AN99" s="1150">
        <v>0</v>
      </c>
      <c r="AO99" s="1150">
        <v>0</v>
      </c>
      <c r="AP99" s="593">
        <v>0.2036</v>
      </c>
      <c r="AQ99" s="595">
        <f t="shared" si="25"/>
        <v>0</v>
      </c>
      <c r="AR99" s="578"/>
      <c r="AS99" s="601">
        <f t="shared" si="26"/>
        <v>2845.6480000000001</v>
      </c>
      <c r="AT99" s="586"/>
      <c r="AU99" s="512"/>
      <c r="AV99" s="512"/>
      <c r="AW99" s="512">
        <f t="shared" si="20"/>
        <v>2845.6480000000001</v>
      </c>
      <c r="AX99" s="602"/>
      <c r="AY99" s="574"/>
      <c r="AZ99" s="438"/>
      <c r="BB99" s="574"/>
      <c r="BC99" s="621" t="s">
        <v>1261</v>
      </c>
    </row>
    <row r="100" spans="1:55" s="588" customFormat="1" ht="15" x14ac:dyDescent="0.25">
      <c r="A100" s="587" t="s">
        <v>737</v>
      </c>
      <c r="B100" s="587"/>
      <c r="C100" s="604">
        <v>205849</v>
      </c>
      <c r="D100" s="578">
        <v>205849</v>
      </c>
      <c r="E100" s="605"/>
      <c r="F100" s="606"/>
      <c r="G100" s="499">
        <v>540</v>
      </c>
      <c r="H100" s="499">
        <v>630</v>
      </c>
      <c r="I100" s="499">
        <v>540</v>
      </c>
      <c r="J100" s="592">
        <f t="shared" si="21"/>
        <v>1710</v>
      </c>
      <c r="K100" s="593"/>
      <c r="L100" s="594">
        <f t="shared" si="17"/>
        <v>1710</v>
      </c>
      <c r="M100" s="610" t="s">
        <v>255</v>
      </c>
      <c r="N100" s="501">
        <f t="shared" si="22"/>
        <v>3.9013285001896651</v>
      </c>
      <c r="O100" s="595">
        <f t="shared" si="18"/>
        <v>6671</v>
      </c>
      <c r="P100" s="583"/>
      <c r="Q100" s="1149">
        <v>0</v>
      </c>
      <c r="R100" s="1149">
        <v>1890</v>
      </c>
      <c r="S100" s="1149">
        <v>0</v>
      </c>
      <c r="T100" s="593">
        <v>0.2036</v>
      </c>
      <c r="U100" s="595">
        <f t="shared" si="23"/>
        <v>384.80400000000003</v>
      </c>
      <c r="V100" s="583"/>
      <c r="W100" s="432">
        <v>0</v>
      </c>
      <c r="X100" s="432">
        <v>0</v>
      </c>
      <c r="Y100" s="432">
        <v>0</v>
      </c>
      <c r="Z100" s="593">
        <v>1.7611399999999999</v>
      </c>
      <c r="AA100" s="596">
        <f t="shared" si="24"/>
        <v>0</v>
      </c>
      <c r="AB100" s="578"/>
      <c r="AC100" s="611"/>
      <c r="AD100" s="585"/>
      <c r="AE100" s="611"/>
      <c r="AF100" s="585"/>
      <c r="AG100" s="611"/>
      <c r="AH100" s="578"/>
      <c r="AI100" s="612"/>
      <c r="AJ100" s="613"/>
      <c r="AK100" s="600">
        <f t="shared" si="19"/>
        <v>0</v>
      </c>
      <c r="AL100" s="578"/>
      <c r="AM100" s="1150">
        <v>0</v>
      </c>
      <c r="AN100" s="1150">
        <v>0</v>
      </c>
      <c r="AO100" s="1150">
        <v>0</v>
      </c>
      <c r="AP100" s="593">
        <v>0.2036</v>
      </c>
      <c r="AQ100" s="595">
        <f t="shared" si="25"/>
        <v>0</v>
      </c>
      <c r="AR100" s="578"/>
      <c r="AS100" s="601">
        <f t="shared" si="26"/>
        <v>7055.8040000000001</v>
      </c>
      <c r="AT100" s="586"/>
      <c r="AU100" s="512"/>
      <c r="AV100" s="512"/>
      <c r="AW100" s="512">
        <f t="shared" si="20"/>
        <v>7055.8040000000001</v>
      </c>
      <c r="AX100" s="602"/>
      <c r="AY100" s="574"/>
      <c r="AZ100" s="438"/>
      <c r="BC100" s="621" t="s">
        <v>1262</v>
      </c>
    </row>
    <row r="101" spans="1:55" s="588" customFormat="1" ht="15" x14ac:dyDescent="0.25">
      <c r="A101" s="587" t="s">
        <v>738</v>
      </c>
      <c r="B101" s="587"/>
      <c r="C101" s="625" t="s">
        <v>739</v>
      </c>
      <c r="D101" s="578">
        <v>407775</v>
      </c>
      <c r="E101" s="605"/>
      <c r="F101" s="606"/>
      <c r="G101" s="499">
        <v>0</v>
      </c>
      <c r="H101" s="499">
        <v>0</v>
      </c>
      <c r="I101" s="499">
        <v>0</v>
      </c>
      <c r="J101" s="592">
        <f t="shared" si="21"/>
        <v>0</v>
      </c>
      <c r="K101" s="593"/>
      <c r="L101" s="594">
        <f t="shared" si="17"/>
        <v>0</v>
      </c>
      <c r="M101" s="610" t="s">
        <v>255</v>
      </c>
      <c r="N101" s="501">
        <f t="shared" si="22"/>
        <v>3.9013285001896651</v>
      </c>
      <c r="O101" s="595">
        <f t="shared" si="18"/>
        <v>0</v>
      </c>
      <c r="P101" s="583"/>
      <c r="Q101" s="1149">
        <v>0</v>
      </c>
      <c r="R101" s="1149">
        <v>0</v>
      </c>
      <c r="S101" s="1149">
        <v>0</v>
      </c>
      <c r="T101" s="593">
        <v>0.2036</v>
      </c>
      <c r="U101" s="595">
        <f t="shared" si="23"/>
        <v>0</v>
      </c>
      <c r="V101" s="583"/>
      <c r="W101" s="432">
        <v>0</v>
      </c>
      <c r="X101" s="432">
        <v>0</v>
      </c>
      <c r="Y101" s="432">
        <v>0</v>
      </c>
      <c r="Z101" s="593">
        <v>1.7611399999999999</v>
      </c>
      <c r="AA101" s="596">
        <f t="shared" si="24"/>
        <v>0</v>
      </c>
      <c r="AB101" s="578"/>
      <c r="AC101" s="611"/>
      <c r="AD101" s="585"/>
      <c r="AE101" s="611"/>
      <c r="AF101" s="585"/>
      <c r="AG101" s="611"/>
      <c r="AH101" s="578"/>
      <c r="AI101" s="612"/>
      <c r="AJ101" s="613"/>
      <c r="AK101" s="600">
        <f t="shared" si="19"/>
        <v>0</v>
      </c>
      <c r="AL101" s="578"/>
      <c r="AM101" s="1150">
        <v>0</v>
      </c>
      <c r="AN101" s="1150">
        <v>0</v>
      </c>
      <c r="AO101" s="1150">
        <v>0</v>
      </c>
      <c r="AP101" s="593">
        <v>0.2036</v>
      </c>
      <c r="AQ101" s="595">
        <f t="shared" si="25"/>
        <v>0</v>
      </c>
      <c r="AR101" s="578"/>
      <c r="AS101" s="601">
        <f t="shared" si="26"/>
        <v>0</v>
      </c>
      <c r="AT101" s="586"/>
      <c r="AU101" s="512"/>
      <c r="AV101" s="512"/>
      <c r="AW101" s="512">
        <f t="shared" si="20"/>
        <v>0</v>
      </c>
      <c r="AX101" s="602"/>
      <c r="AY101" s="574"/>
      <c r="AZ101" s="438"/>
      <c r="BC101" s="621" t="s">
        <v>1263</v>
      </c>
    </row>
    <row r="102" spans="1:55" s="588" customFormat="1" ht="15" x14ac:dyDescent="0.25">
      <c r="A102" s="587" t="s">
        <v>740</v>
      </c>
      <c r="B102" s="587"/>
      <c r="C102" s="625" t="s">
        <v>741</v>
      </c>
      <c r="D102" s="578">
        <v>370868</v>
      </c>
      <c r="E102" s="605"/>
      <c r="F102" s="606"/>
      <c r="G102" s="499">
        <v>0</v>
      </c>
      <c r="H102" s="499">
        <v>0</v>
      </c>
      <c r="I102" s="499">
        <v>0</v>
      </c>
      <c r="J102" s="592">
        <f t="shared" si="21"/>
        <v>0</v>
      </c>
      <c r="K102" s="593"/>
      <c r="L102" s="594">
        <f t="shared" si="17"/>
        <v>0</v>
      </c>
      <c r="M102" s="610" t="s">
        <v>255</v>
      </c>
      <c r="N102" s="501">
        <f t="shared" si="22"/>
        <v>3.9013285001896651</v>
      </c>
      <c r="O102" s="595">
        <f t="shared" si="18"/>
        <v>0</v>
      </c>
      <c r="P102" s="583"/>
      <c r="Q102" s="1149">
        <v>0</v>
      </c>
      <c r="R102" s="1149">
        <v>0</v>
      </c>
      <c r="S102" s="1149">
        <v>0</v>
      </c>
      <c r="T102" s="593">
        <v>0.2036</v>
      </c>
      <c r="U102" s="595">
        <f t="shared" si="23"/>
        <v>0</v>
      </c>
      <c r="V102" s="583"/>
      <c r="W102" s="432">
        <v>0</v>
      </c>
      <c r="X102" s="432">
        <v>0</v>
      </c>
      <c r="Y102" s="432">
        <v>0</v>
      </c>
      <c r="Z102" s="593">
        <v>1.7611399999999999</v>
      </c>
      <c r="AA102" s="596">
        <f t="shared" si="24"/>
        <v>0</v>
      </c>
      <c r="AB102" s="578"/>
      <c r="AC102" s="611"/>
      <c r="AD102" s="585"/>
      <c r="AE102" s="611"/>
      <c r="AF102" s="585"/>
      <c r="AG102" s="611"/>
      <c r="AH102" s="578"/>
      <c r="AI102" s="612"/>
      <c r="AJ102" s="613"/>
      <c r="AK102" s="600">
        <f t="shared" si="19"/>
        <v>0</v>
      </c>
      <c r="AL102" s="578"/>
      <c r="AM102" s="1150">
        <v>0</v>
      </c>
      <c r="AN102" s="1150">
        <v>0</v>
      </c>
      <c r="AO102" s="1150">
        <v>0</v>
      </c>
      <c r="AP102" s="593">
        <v>0.2036</v>
      </c>
      <c r="AQ102" s="595">
        <f t="shared" si="25"/>
        <v>0</v>
      </c>
      <c r="AR102" s="578"/>
      <c r="AS102" s="601">
        <f t="shared" si="26"/>
        <v>0</v>
      </c>
      <c r="AT102" s="586"/>
      <c r="AU102" s="512"/>
      <c r="AV102" s="512"/>
      <c r="AW102" s="512">
        <f t="shared" si="20"/>
        <v>0</v>
      </c>
      <c r="AX102" s="602"/>
      <c r="AY102" s="574"/>
      <c r="AZ102" s="438"/>
      <c r="BC102" s="621" t="s">
        <v>1264</v>
      </c>
    </row>
    <row r="103" spans="1:55" s="588" customFormat="1" ht="15" x14ac:dyDescent="0.25">
      <c r="A103" s="621" t="s">
        <v>742</v>
      </c>
      <c r="B103" s="628"/>
      <c r="C103" s="628" t="s">
        <v>273</v>
      </c>
      <c r="D103" s="578">
        <v>240000</v>
      </c>
      <c r="E103" s="605"/>
      <c r="F103" s="606"/>
      <c r="G103" s="499">
        <v>0</v>
      </c>
      <c r="H103" s="499">
        <v>0</v>
      </c>
      <c r="I103" s="499">
        <v>0</v>
      </c>
      <c r="J103" s="592">
        <f t="shared" si="21"/>
        <v>0</v>
      </c>
      <c r="K103" s="593"/>
      <c r="L103" s="594">
        <f t="shared" si="17"/>
        <v>0</v>
      </c>
      <c r="M103" s="610" t="s">
        <v>255</v>
      </c>
      <c r="N103" s="501">
        <f t="shared" si="22"/>
        <v>3.9013285001896651</v>
      </c>
      <c r="O103" s="595">
        <f t="shared" si="18"/>
        <v>0</v>
      </c>
      <c r="P103" s="583"/>
      <c r="Q103" s="1149">
        <v>0</v>
      </c>
      <c r="R103" s="1149">
        <v>0</v>
      </c>
      <c r="S103" s="1149">
        <v>0</v>
      </c>
      <c r="T103" s="593">
        <v>0.2036</v>
      </c>
      <c r="U103" s="595">
        <f t="shared" si="23"/>
        <v>0</v>
      </c>
      <c r="V103" s="583"/>
      <c r="W103" s="432">
        <v>0</v>
      </c>
      <c r="X103" s="432">
        <v>0</v>
      </c>
      <c r="Y103" s="432">
        <v>0</v>
      </c>
      <c r="Z103" s="593">
        <v>1.7611399999999999</v>
      </c>
      <c r="AA103" s="596">
        <f t="shared" si="24"/>
        <v>0</v>
      </c>
      <c r="AB103" s="578"/>
      <c r="AC103" s="611"/>
      <c r="AD103" s="585"/>
      <c r="AE103" s="611"/>
      <c r="AF103" s="585"/>
      <c r="AG103" s="611"/>
      <c r="AH103" s="578"/>
      <c r="AI103" s="612"/>
      <c r="AJ103" s="613"/>
      <c r="AK103" s="600">
        <f t="shared" si="19"/>
        <v>0</v>
      </c>
      <c r="AL103" s="578"/>
      <c r="AM103" s="1150">
        <v>0</v>
      </c>
      <c r="AN103" s="1150">
        <v>0</v>
      </c>
      <c r="AO103" s="1150">
        <v>0</v>
      </c>
      <c r="AP103" s="593">
        <v>0.2036</v>
      </c>
      <c r="AQ103" s="595">
        <f t="shared" si="25"/>
        <v>0</v>
      </c>
      <c r="AR103" s="578"/>
      <c r="AS103" s="601">
        <f t="shared" si="26"/>
        <v>0</v>
      </c>
      <c r="AT103" s="586"/>
      <c r="AU103" s="512"/>
      <c r="AV103" s="512"/>
      <c r="AW103" s="512">
        <f t="shared" si="20"/>
        <v>0</v>
      </c>
      <c r="AX103" s="602"/>
      <c r="AY103" s="574"/>
      <c r="AZ103" s="438"/>
      <c r="BC103" s="621" t="s">
        <v>566</v>
      </c>
    </row>
    <row r="104" spans="1:55" s="588" customFormat="1" ht="15" x14ac:dyDescent="0.25">
      <c r="A104" s="630" t="s">
        <v>743</v>
      </c>
      <c r="B104" s="628"/>
      <c r="C104" s="628" t="s">
        <v>744</v>
      </c>
      <c r="D104" s="578">
        <v>477127</v>
      </c>
      <c r="E104" s="605"/>
      <c r="F104" s="606"/>
      <c r="G104" s="499">
        <v>0</v>
      </c>
      <c r="H104" s="499">
        <v>0</v>
      </c>
      <c r="I104" s="499">
        <v>180</v>
      </c>
      <c r="J104" s="592">
        <f t="shared" si="21"/>
        <v>180</v>
      </c>
      <c r="K104" s="593"/>
      <c r="L104" s="594">
        <f t="shared" si="17"/>
        <v>180</v>
      </c>
      <c r="M104" s="610" t="s">
        <v>255</v>
      </c>
      <c r="N104" s="501">
        <f t="shared" si="22"/>
        <v>3.9013285001896651</v>
      </c>
      <c r="O104" s="595">
        <f t="shared" si="18"/>
        <v>702</v>
      </c>
      <c r="P104" s="583"/>
      <c r="Q104" s="1149">
        <v>0</v>
      </c>
      <c r="R104" s="1149">
        <v>0</v>
      </c>
      <c r="S104" s="1149">
        <v>0</v>
      </c>
      <c r="T104" s="593">
        <v>0.2036</v>
      </c>
      <c r="U104" s="595">
        <f t="shared" si="23"/>
        <v>0</v>
      </c>
      <c r="V104" s="583"/>
      <c r="W104" s="432">
        <v>0</v>
      </c>
      <c r="X104" s="432">
        <v>0</v>
      </c>
      <c r="Y104" s="432">
        <v>0</v>
      </c>
      <c r="Z104" s="593">
        <v>1.7611399999999999</v>
      </c>
      <c r="AA104" s="596">
        <f t="shared" si="24"/>
        <v>0</v>
      </c>
      <c r="AB104" s="578"/>
      <c r="AC104" s="611"/>
      <c r="AD104" s="585"/>
      <c r="AE104" s="611"/>
      <c r="AF104" s="585"/>
      <c r="AG104" s="611"/>
      <c r="AH104" s="578"/>
      <c r="AI104" s="612"/>
      <c r="AJ104" s="613"/>
      <c r="AK104" s="600">
        <f t="shared" si="19"/>
        <v>0</v>
      </c>
      <c r="AL104" s="578"/>
      <c r="AM104" s="1150">
        <v>0</v>
      </c>
      <c r="AN104" s="1150">
        <v>0</v>
      </c>
      <c r="AO104" s="1150">
        <v>0</v>
      </c>
      <c r="AP104" s="593">
        <v>0.2036</v>
      </c>
      <c r="AQ104" s="595">
        <f t="shared" si="25"/>
        <v>0</v>
      </c>
      <c r="AR104" s="578"/>
      <c r="AS104" s="601">
        <f t="shared" si="26"/>
        <v>702</v>
      </c>
      <c r="AT104" s="586"/>
      <c r="AU104" s="512"/>
      <c r="AV104" s="512"/>
      <c r="AW104" s="512">
        <f t="shared" si="20"/>
        <v>702</v>
      </c>
      <c r="AX104" s="602"/>
      <c r="AY104" s="574"/>
      <c r="AZ104" s="438"/>
      <c r="BC104" s="621" t="s">
        <v>1265</v>
      </c>
    </row>
    <row r="105" spans="1:55" s="588" customFormat="1" ht="15" x14ac:dyDescent="0.25">
      <c r="A105" s="630" t="s">
        <v>1422</v>
      </c>
      <c r="B105" s="628"/>
      <c r="C105" s="628">
        <v>462623</v>
      </c>
      <c r="D105" s="578">
        <v>462623</v>
      </c>
      <c r="E105" s="605"/>
      <c r="F105" s="606"/>
      <c r="G105" s="499">
        <v>180</v>
      </c>
      <c r="H105" s="499">
        <v>210</v>
      </c>
      <c r="I105" s="499">
        <v>0</v>
      </c>
      <c r="J105" s="592">
        <f t="shared" si="21"/>
        <v>390</v>
      </c>
      <c r="K105" s="593"/>
      <c r="L105" s="594">
        <f t="shared" si="17"/>
        <v>390</v>
      </c>
      <c r="M105" s="610" t="s">
        <v>255</v>
      </c>
      <c r="N105" s="501">
        <f t="shared" si="22"/>
        <v>3.9013285001896651</v>
      </c>
      <c r="O105" s="595">
        <f t="shared" si="18"/>
        <v>1522</v>
      </c>
      <c r="P105" s="583"/>
      <c r="Q105" s="1149">
        <v>180</v>
      </c>
      <c r="R105" s="1149">
        <v>210</v>
      </c>
      <c r="S105" s="1149">
        <v>0</v>
      </c>
      <c r="T105" s="593">
        <v>0.2036</v>
      </c>
      <c r="U105" s="595">
        <f t="shared" si="23"/>
        <v>79.403999999999996</v>
      </c>
      <c r="V105" s="583"/>
      <c r="W105" s="432">
        <v>0</v>
      </c>
      <c r="X105" s="432">
        <v>210</v>
      </c>
      <c r="Y105" s="432">
        <v>0</v>
      </c>
      <c r="Z105" s="593">
        <v>1.7611399999999999</v>
      </c>
      <c r="AA105" s="596">
        <f t="shared" si="24"/>
        <v>369.83940000000001</v>
      </c>
      <c r="AB105" s="578"/>
      <c r="AC105" s="611"/>
      <c r="AD105" s="585"/>
      <c r="AE105" s="611"/>
      <c r="AF105" s="585"/>
      <c r="AG105" s="611"/>
      <c r="AH105" s="578"/>
      <c r="AI105" s="612"/>
      <c r="AJ105" s="613"/>
      <c r="AK105" s="600">
        <f t="shared" si="19"/>
        <v>0</v>
      </c>
      <c r="AL105" s="578"/>
      <c r="AM105" s="1150">
        <v>0</v>
      </c>
      <c r="AN105" s="1150">
        <v>0</v>
      </c>
      <c r="AO105" s="1150">
        <v>0</v>
      </c>
      <c r="AP105" s="593">
        <v>0.2036</v>
      </c>
      <c r="AQ105" s="595">
        <f t="shared" si="25"/>
        <v>0</v>
      </c>
      <c r="AR105" s="578"/>
      <c r="AS105" s="601">
        <f t="shared" si="26"/>
        <v>1971.2434000000001</v>
      </c>
      <c r="AT105" s="586"/>
      <c r="AU105" s="512"/>
      <c r="AV105" s="512"/>
      <c r="AW105" s="512">
        <f t="shared" si="20"/>
        <v>1971.2434000000001</v>
      </c>
      <c r="AX105" s="602"/>
      <c r="AY105" s="574"/>
      <c r="AZ105" s="438"/>
      <c r="BC105" s="621" t="s">
        <v>1380</v>
      </c>
    </row>
    <row r="106" spans="1:55" s="588" customFormat="1" ht="15" x14ac:dyDescent="0.25">
      <c r="A106" s="627" t="s">
        <v>745</v>
      </c>
      <c r="B106" s="437"/>
      <c r="C106" s="529">
        <v>205881</v>
      </c>
      <c r="D106" s="578">
        <v>205881</v>
      </c>
      <c r="E106" s="605"/>
      <c r="F106" s="606"/>
      <c r="G106" s="499">
        <v>540</v>
      </c>
      <c r="H106" s="499">
        <v>420</v>
      </c>
      <c r="I106" s="499">
        <v>360</v>
      </c>
      <c r="J106" s="592">
        <f t="shared" si="21"/>
        <v>1320</v>
      </c>
      <c r="K106" s="593"/>
      <c r="L106" s="594">
        <f t="shared" si="17"/>
        <v>1320</v>
      </c>
      <c r="M106" s="610" t="s">
        <v>255</v>
      </c>
      <c r="N106" s="501">
        <f t="shared" si="22"/>
        <v>3.9013285001896651</v>
      </c>
      <c r="O106" s="595">
        <f t="shared" si="18"/>
        <v>5150</v>
      </c>
      <c r="P106" s="583"/>
      <c r="Q106" s="1149">
        <v>180</v>
      </c>
      <c r="R106" s="1149">
        <v>0</v>
      </c>
      <c r="S106" s="1149">
        <v>0</v>
      </c>
      <c r="T106" s="593">
        <v>0.2036</v>
      </c>
      <c r="U106" s="595">
        <f t="shared" si="23"/>
        <v>36.648000000000003</v>
      </c>
      <c r="V106" s="583"/>
      <c r="W106" s="432">
        <v>0</v>
      </c>
      <c r="X106" s="432">
        <v>0</v>
      </c>
      <c r="Y106" s="432">
        <v>0</v>
      </c>
      <c r="Z106" s="593">
        <v>1.7611399999999999</v>
      </c>
      <c r="AA106" s="596">
        <f t="shared" si="24"/>
        <v>0</v>
      </c>
      <c r="AB106" s="578"/>
      <c r="AC106" s="611"/>
      <c r="AD106" s="585"/>
      <c r="AE106" s="611"/>
      <c r="AF106" s="585"/>
      <c r="AG106" s="611"/>
      <c r="AH106" s="578"/>
      <c r="AI106" s="612"/>
      <c r="AJ106" s="613"/>
      <c r="AK106" s="600">
        <f t="shared" si="19"/>
        <v>0</v>
      </c>
      <c r="AL106" s="578"/>
      <c r="AM106" s="1150">
        <v>0</v>
      </c>
      <c r="AN106" s="1150">
        <v>0</v>
      </c>
      <c r="AO106" s="1150">
        <v>0</v>
      </c>
      <c r="AP106" s="593">
        <v>0.2036</v>
      </c>
      <c r="AQ106" s="595">
        <f t="shared" si="25"/>
        <v>0</v>
      </c>
      <c r="AR106" s="578"/>
      <c r="AS106" s="601">
        <f t="shared" si="26"/>
        <v>5186.6480000000001</v>
      </c>
      <c r="AT106" s="586"/>
      <c r="AU106" s="512"/>
      <c r="AV106" s="512"/>
      <c r="AW106" s="512">
        <f t="shared" si="20"/>
        <v>5186.6480000000001</v>
      </c>
      <c r="AX106" s="602"/>
      <c r="AY106" s="574"/>
      <c r="AZ106" s="438"/>
      <c r="BC106" s="621" t="s">
        <v>1267</v>
      </c>
    </row>
    <row r="107" spans="1:55" s="588" customFormat="1" ht="15" x14ac:dyDescent="0.25">
      <c r="A107" s="629" t="s">
        <v>746</v>
      </c>
      <c r="B107" s="624"/>
      <c r="C107" s="624">
        <v>205922</v>
      </c>
      <c r="D107" s="578">
        <v>205922</v>
      </c>
      <c r="E107" s="605"/>
      <c r="F107" s="606"/>
      <c r="G107" s="499">
        <v>150</v>
      </c>
      <c r="H107" s="499">
        <v>210</v>
      </c>
      <c r="I107" s="499">
        <v>180</v>
      </c>
      <c r="J107" s="592">
        <f t="shared" si="21"/>
        <v>540</v>
      </c>
      <c r="K107" s="593"/>
      <c r="L107" s="594">
        <f t="shared" si="17"/>
        <v>540</v>
      </c>
      <c r="M107" s="610" t="s">
        <v>255</v>
      </c>
      <c r="N107" s="501">
        <f t="shared" si="22"/>
        <v>3.9013285001896651</v>
      </c>
      <c r="O107" s="595">
        <f t="shared" si="18"/>
        <v>2107</v>
      </c>
      <c r="P107" s="583"/>
      <c r="Q107" s="1149">
        <v>43.689320388349515</v>
      </c>
      <c r="R107" s="1149">
        <v>0</v>
      </c>
      <c r="S107" s="1149">
        <v>46.274887218045102</v>
      </c>
      <c r="T107" s="593">
        <v>0.2036</v>
      </c>
      <c r="U107" s="595">
        <f t="shared" si="23"/>
        <v>18.316712668661943</v>
      </c>
      <c r="V107" s="583"/>
      <c r="W107" s="432">
        <v>0</v>
      </c>
      <c r="X107" s="432">
        <v>0</v>
      </c>
      <c r="Y107" s="432">
        <v>0</v>
      </c>
      <c r="Z107" s="593">
        <v>1.7611399999999999</v>
      </c>
      <c r="AA107" s="596">
        <f t="shared" si="24"/>
        <v>0</v>
      </c>
      <c r="AB107" s="578"/>
      <c r="AC107" s="611"/>
      <c r="AD107" s="585"/>
      <c r="AE107" s="611"/>
      <c r="AF107" s="585"/>
      <c r="AG107" s="611"/>
      <c r="AH107" s="578"/>
      <c r="AI107" s="612"/>
      <c r="AJ107" s="613"/>
      <c r="AK107" s="600">
        <f t="shared" si="19"/>
        <v>0</v>
      </c>
      <c r="AL107" s="578"/>
      <c r="AM107" s="1150">
        <v>0</v>
      </c>
      <c r="AN107" s="1150">
        <v>0</v>
      </c>
      <c r="AO107" s="1150">
        <v>0</v>
      </c>
      <c r="AP107" s="593">
        <v>0.2036</v>
      </c>
      <c r="AQ107" s="595">
        <f t="shared" si="25"/>
        <v>0</v>
      </c>
      <c r="AR107" s="578"/>
      <c r="AS107" s="601">
        <f t="shared" si="26"/>
        <v>2125.3167126686621</v>
      </c>
      <c r="AT107" s="586"/>
      <c r="AU107" s="512"/>
      <c r="AV107" s="512"/>
      <c r="AW107" s="512">
        <f t="shared" si="20"/>
        <v>2125.3167126686621</v>
      </c>
      <c r="AX107" s="602"/>
      <c r="AY107" s="574"/>
      <c r="AZ107" s="438"/>
      <c r="BC107" s="621" t="s">
        <v>1268</v>
      </c>
    </row>
    <row r="108" spans="1:55" s="588" customFormat="1" ht="15" x14ac:dyDescent="0.25">
      <c r="A108" s="621" t="s">
        <v>747</v>
      </c>
      <c r="B108" s="624"/>
      <c r="C108" s="624" t="s">
        <v>278</v>
      </c>
      <c r="D108" s="578">
        <v>369088</v>
      </c>
      <c r="E108" s="605"/>
      <c r="F108" s="606"/>
      <c r="G108" s="499">
        <v>180</v>
      </c>
      <c r="H108" s="499">
        <v>210</v>
      </c>
      <c r="I108" s="499">
        <v>180</v>
      </c>
      <c r="J108" s="592">
        <f t="shared" si="21"/>
        <v>570</v>
      </c>
      <c r="K108" s="593"/>
      <c r="L108" s="594">
        <f t="shared" si="17"/>
        <v>570</v>
      </c>
      <c r="M108" s="610" t="s">
        <v>255</v>
      </c>
      <c r="N108" s="501">
        <f t="shared" si="22"/>
        <v>3.9013285001896651</v>
      </c>
      <c r="O108" s="595">
        <f t="shared" si="18"/>
        <v>2224</v>
      </c>
      <c r="P108" s="583"/>
      <c r="Q108" s="1149">
        <v>180</v>
      </c>
      <c r="R108" s="1149">
        <v>0</v>
      </c>
      <c r="S108" s="1149">
        <v>0</v>
      </c>
      <c r="T108" s="593">
        <v>0.2036</v>
      </c>
      <c r="U108" s="595">
        <f t="shared" si="23"/>
        <v>36.648000000000003</v>
      </c>
      <c r="V108" s="583"/>
      <c r="W108" s="432">
        <v>0</v>
      </c>
      <c r="X108" s="432">
        <v>0</v>
      </c>
      <c r="Y108" s="432">
        <v>0</v>
      </c>
      <c r="Z108" s="593">
        <v>1.7611399999999999</v>
      </c>
      <c r="AA108" s="596">
        <f t="shared" si="24"/>
        <v>0</v>
      </c>
      <c r="AB108" s="578"/>
      <c r="AC108" s="611"/>
      <c r="AD108" s="585"/>
      <c r="AE108" s="611"/>
      <c r="AF108" s="585"/>
      <c r="AG108" s="611"/>
      <c r="AH108" s="578"/>
      <c r="AI108" s="612"/>
      <c r="AJ108" s="613"/>
      <c r="AK108" s="600">
        <f t="shared" si="19"/>
        <v>0</v>
      </c>
      <c r="AL108" s="578"/>
      <c r="AM108" s="1150">
        <v>0</v>
      </c>
      <c r="AN108" s="1150">
        <v>0</v>
      </c>
      <c r="AO108" s="1150">
        <v>0</v>
      </c>
      <c r="AP108" s="593">
        <v>0.2036</v>
      </c>
      <c r="AQ108" s="595">
        <f t="shared" si="25"/>
        <v>0</v>
      </c>
      <c r="AR108" s="578"/>
      <c r="AS108" s="601">
        <f t="shared" si="26"/>
        <v>2260.6480000000001</v>
      </c>
      <c r="AT108" s="586"/>
      <c r="AU108" s="512"/>
      <c r="AV108" s="512"/>
      <c r="AW108" s="512">
        <f t="shared" si="20"/>
        <v>2260.6480000000001</v>
      </c>
      <c r="AX108" s="602"/>
      <c r="AY108" s="574"/>
      <c r="AZ108" s="438"/>
      <c r="BC108" s="621" t="s">
        <v>527</v>
      </c>
    </row>
    <row r="109" spans="1:55" s="588" customFormat="1" ht="15" x14ac:dyDescent="0.25">
      <c r="A109" s="621" t="s">
        <v>748</v>
      </c>
      <c r="B109" s="437"/>
      <c r="C109" s="529" t="s">
        <v>749</v>
      </c>
      <c r="D109" s="578" t="s">
        <v>749</v>
      </c>
      <c r="E109" s="605"/>
      <c r="F109" s="606"/>
      <c r="G109" s="499">
        <v>0</v>
      </c>
      <c r="H109" s="499">
        <v>0</v>
      </c>
      <c r="I109" s="499">
        <v>0</v>
      </c>
      <c r="J109" s="592">
        <f t="shared" si="21"/>
        <v>0</v>
      </c>
      <c r="K109" s="593"/>
      <c r="L109" s="594">
        <f t="shared" si="17"/>
        <v>0</v>
      </c>
      <c r="M109" s="610" t="s">
        <v>255</v>
      </c>
      <c r="N109" s="501">
        <f t="shared" si="22"/>
        <v>3.9013285001896651</v>
      </c>
      <c r="O109" s="595">
        <f t="shared" si="18"/>
        <v>0</v>
      </c>
      <c r="P109" s="583"/>
      <c r="Q109" s="1149">
        <v>0</v>
      </c>
      <c r="R109" s="1149">
        <v>0</v>
      </c>
      <c r="S109" s="1149">
        <v>0</v>
      </c>
      <c r="T109" s="593">
        <v>0.2036</v>
      </c>
      <c r="U109" s="595">
        <f t="shared" si="23"/>
        <v>0</v>
      </c>
      <c r="V109" s="583"/>
      <c r="W109" s="432">
        <v>0</v>
      </c>
      <c r="X109" s="432">
        <v>0</v>
      </c>
      <c r="Y109" s="432">
        <v>0</v>
      </c>
      <c r="Z109" s="593">
        <v>1.7611399999999999</v>
      </c>
      <c r="AA109" s="596">
        <f t="shared" si="24"/>
        <v>0</v>
      </c>
      <c r="AB109" s="578"/>
      <c r="AC109" s="611"/>
      <c r="AD109" s="585"/>
      <c r="AE109" s="611"/>
      <c r="AF109" s="585"/>
      <c r="AG109" s="611"/>
      <c r="AH109" s="578"/>
      <c r="AI109" s="612"/>
      <c r="AJ109" s="613"/>
      <c r="AK109" s="600">
        <f t="shared" si="19"/>
        <v>0</v>
      </c>
      <c r="AL109" s="578"/>
      <c r="AM109" s="1150">
        <v>0</v>
      </c>
      <c r="AN109" s="1150">
        <v>0</v>
      </c>
      <c r="AO109" s="1150">
        <v>0</v>
      </c>
      <c r="AP109" s="593">
        <v>0.2036</v>
      </c>
      <c r="AQ109" s="595">
        <f t="shared" si="25"/>
        <v>0</v>
      </c>
      <c r="AR109" s="578"/>
      <c r="AS109" s="601">
        <f t="shared" si="26"/>
        <v>0</v>
      </c>
      <c r="AT109" s="586"/>
      <c r="AU109" s="512"/>
      <c r="AV109" s="512"/>
      <c r="AW109" s="512">
        <f t="shared" si="20"/>
        <v>0</v>
      </c>
      <c r="AX109" s="602"/>
      <c r="AY109" s="574"/>
      <c r="AZ109" s="438"/>
      <c r="BC109" s="621" t="s">
        <v>1266</v>
      </c>
    </row>
    <row r="110" spans="1:55" s="588" customFormat="1" ht="15" x14ac:dyDescent="0.25">
      <c r="A110" s="627" t="s">
        <v>750</v>
      </c>
      <c r="B110" s="437"/>
      <c r="C110" s="529" t="s">
        <v>751</v>
      </c>
      <c r="D110" s="578">
        <v>334731</v>
      </c>
      <c r="E110" s="605"/>
      <c r="F110" s="606"/>
      <c r="G110" s="499">
        <v>72</v>
      </c>
      <c r="H110" s="499">
        <v>0</v>
      </c>
      <c r="I110" s="499">
        <v>72</v>
      </c>
      <c r="J110" s="592">
        <f t="shared" si="21"/>
        <v>144</v>
      </c>
      <c r="K110" s="593"/>
      <c r="L110" s="594">
        <f t="shared" si="17"/>
        <v>144</v>
      </c>
      <c r="M110" s="610" t="s">
        <v>255</v>
      </c>
      <c r="N110" s="501">
        <f t="shared" si="22"/>
        <v>3.9013285001896651</v>
      </c>
      <c r="O110" s="595">
        <f t="shared" si="18"/>
        <v>562</v>
      </c>
      <c r="P110" s="583"/>
      <c r="Q110" s="1149">
        <v>0</v>
      </c>
      <c r="R110" s="1149">
        <v>0</v>
      </c>
      <c r="S110" s="1149">
        <v>0</v>
      </c>
      <c r="T110" s="593">
        <v>0.2036</v>
      </c>
      <c r="U110" s="595">
        <f t="shared" si="23"/>
        <v>0</v>
      </c>
      <c r="V110" s="583"/>
      <c r="W110" s="432">
        <v>72</v>
      </c>
      <c r="X110" s="432">
        <v>0</v>
      </c>
      <c r="Y110" s="432">
        <v>0</v>
      </c>
      <c r="Z110" s="593">
        <v>1.7611399999999999</v>
      </c>
      <c r="AA110" s="596">
        <f t="shared" si="24"/>
        <v>126.80207999999999</v>
      </c>
      <c r="AB110" s="578"/>
      <c r="AC110" s="611"/>
      <c r="AD110" s="585"/>
      <c r="AE110" s="611"/>
      <c r="AF110" s="585"/>
      <c r="AG110" s="611"/>
      <c r="AH110" s="578"/>
      <c r="AI110" s="612"/>
      <c r="AJ110" s="613"/>
      <c r="AK110" s="600">
        <f t="shared" si="19"/>
        <v>0</v>
      </c>
      <c r="AL110" s="578"/>
      <c r="AM110" s="1150">
        <v>0</v>
      </c>
      <c r="AN110" s="1150">
        <v>0</v>
      </c>
      <c r="AO110" s="1150">
        <v>180</v>
      </c>
      <c r="AP110" s="593">
        <v>0.2036</v>
      </c>
      <c r="AQ110" s="595">
        <f t="shared" si="25"/>
        <v>36.648000000000003</v>
      </c>
      <c r="AR110" s="578"/>
      <c r="AS110" s="601">
        <f t="shared" si="26"/>
        <v>725.45007999999996</v>
      </c>
      <c r="AT110" s="586"/>
      <c r="AU110" s="512"/>
      <c r="AV110" s="512"/>
      <c r="AW110" s="512">
        <f t="shared" si="20"/>
        <v>725.45007999999996</v>
      </c>
      <c r="AX110" s="602"/>
      <c r="AY110" s="574"/>
      <c r="AZ110" s="438"/>
      <c r="BC110" s="621" t="s">
        <v>1436</v>
      </c>
    </row>
    <row r="111" spans="1:55" s="588" customFormat="1" ht="15" x14ac:dyDescent="0.25">
      <c r="A111" s="627" t="s">
        <v>752</v>
      </c>
      <c r="B111" s="624"/>
      <c r="C111" s="624">
        <v>2</v>
      </c>
      <c r="D111" s="578">
        <v>2</v>
      </c>
      <c r="E111" s="605"/>
      <c r="F111" s="606"/>
      <c r="G111" s="499">
        <v>0</v>
      </c>
      <c r="H111" s="499">
        <v>0</v>
      </c>
      <c r="I111" s="499">
        <v>0</v>
      </c>
      <c r="J111" s="592">
        <f t="shared" si="21"/>
        <v>0</v>
      </c>
      <c r="K111" s="593"/>
      <c r="L111" s="594">
        <f t="shared" si="17"/>
        <v>0</v>
      </c>
      <c r="M111" s="610" t="s">
        <v>255</v>
      </c>
      <c r="N111" s="501">
        <f t="shared" si="22"/>
        <v>3.9013285001896651</v>
      </c>
      <c r="O111" s="595">
        <f t="shared" si="18"/>
        <v>0</v>
      </c>
      <c r="P111" s="583"/>
      <c r="Q111" s="1149">
        <v>0</v>
      </c>
      <c r="R111" s="1149">
        <v>0</v>
      </c>
      <c r="S111" s="1149">
        <v>0</v>
      </c>
      <c r="T111" s="593">
        <v>0.2036</v>
      </c>
      <c r="U111" s="595">
        <f t="shared" si="23"/>
        <v>0</v>
      </c>
      <c r="V111" s="583"/>
      <c r="W111" s="432">
        <v>0</v>
      </c>
      <c r="X111" s="432">
        <v>0</v>
      </c>
      <c r="Y111" s="432">
        <v>0</v>
      </c>
      <c r="Z111" s="593">
        <v>1.7611399999999999</v>
      </c>
      <c r="AA111" s="596">
        <f t="shared" si="24"/>
        <v>0</v>
      </c>
      <c r="AB111" s="578"/>
      <c r="AC111" s="611"/>
      <c r="AD111" s="585"/>
      <c r="AE111" s="611"/>
      <c r="AF111" s="585"/>
      <c r="AG111" s="611"/>
      <c r="AH111" s="578"/>
      <c r="AI111" s="612"/>
      <c r="AJ111" s="613"/>
      <c r="AK111" s="600">
        <f t="shared" si="19"/>
        <v>0</v>
      </c>
      <c r="AL111" s="578"/>
      <c r="AM111" s="1150">
        <v>0</v>
      </c>
      <c r="AN111" s="1150">
        <v>0</v>
      </c>
      <c r="AO111" s="1150">
        <v>0</v>
      </c>
      <c r="AP111" s="593">
        <v>0.2036</v>
      </c>
      <c r="AQ111" s="595">
        <f t="shared" si="25"/>
        <v>0</v>
      </c>
      <c r="AR111" s="578"/>
      <c r="AS111" s="601">
        <f t="shared" si="26"/>
        <v>0</v>
      </c>
      <c r="AT111" s="586"/>
      <c r="AU111" s="512"/>
      <c r="AV111" s="512"/>
      <c r="AW111" s="512">
        <f t="shared" si="20"/>
        <v>0</v>
      </c>
      <c r="AX111" s="602"/>
      <c r="AY111" s="574"/>
      <c r="AZ111" s="438"/>
      <c r="BC111" s="621" t="s">
        <v>528</v>
      </c>
    </row>
    <row r="112" spans="1:55" s="588" customFormat="1" ht="15" x14ac:dyDescent="0.25">
      <c r="A112" s="627" t="s">
        <v>753</v>
      </c>
      <c r="B112" s="437"/>
      <c r="C112" s="624" t="s">
        <v>754</v>
      </c>
      <c r="D112" s="578">
        <v>405755</v>
      </c>
      <c r="E112" s="605"/>
      <c r="F112" s="606"/>
      <c r="G112" s="499">
        <v>180</v>
      </c>
      <c r="H112" s="499">
        <v>0</v>
      </c>
      <c r="I112" s="499">
        <v>180</v>
      </c>
      <c r="J112" s="592">
        <f t="shared" si="21"/>
        <v>360</v>
      </c>
      <c r="K112" s="593"/>
      <c r="L112" s="594">
        <f t="shared" si="17"/>
        <v>360</v>
      </c>
      <c r="M112" s="610" t="s">
        <v>255</v>
      </c>
      <c r="N112" s="501">
        <f t="shared" si="22"/>
        <v>3.9013285001896651</v>
      </c>
      <c r="O112" s="595">
        <f t="shared" si="18"/>
        <v>1404</v>
      </c>
      <c r="P112" s="583"/>
      <c r="Q112" s="1149">
        <v>0</v>
      </c>
      <c r="R112" s="1149">
        <v>0</v>
      </c>
      <c r="S112" s="1149">
        <v>0</v>
      </c>
      <c r="T112" s="593">
        <v>0.2036</v>
      </c>
      <c r="U112" s="595">
        <f t="shared" si="23"/>
        <v>0</v>
      </c>
      <c r="V112" s="583"/>
      <c r="W112" s="432">
        <v>0</v>
      </c>
      <c r="X112" s="432">
        <v>0</v>
      </c>
      <c r="Y112" s="432">
        <v>0</v>
      </c>
      <c r="Z112" s="593">
        <v>1.7611399999999999</v>
      </c>
      <c r="AA112" s="596">
        <f t="shared" si="24"/>
        <v>0</v>
      </c>
      <c r="AB112" s="578"/>
      <c r="AC112" s="611"/>
      <c r="AD112" s="585"/>
      <c r="AE112" s="611"/>
      <c r="AF112" s="585"/>
      <c r="AG112" s="611"/>
      <c r="AH112" s="578"/>
      <c r="AI112" s="612"/>
      <c r="AJ112" s="613"/>
      <c r="AK112" s="600">
        <f t="shared" si="19"/>
        <v>0</v>
      </c>
      <c r="AL112" s="578"/>
      <c r="AM112" s="1150">
        <v>0</v>
      </c>
      <c r="AN112" s="1150">
        <v>0</v>
      </c>
      <c r="AO112" s="1150">
        <v>0</v>
      </c>
      <c r="AP112" s="593">
        <v>0.2036</v>
      </c>
      <c r="AQ112" s="595">
        <f t="shared" si="25"/>
        <v>0</v>
      </c>
      <c r="AR112" s="578"/>
      <c r="AS112" s="601">
        <f t="shared" si="26"/>
        <v>1404</v>
      </c>
      <c r="AT112" s="586"/>
      <c r="AU112" s="512"/>
      <c r="AV112" s="512"/>
      <c r="AW112" s="512">
        <f t="shared" si="20"/>
        <v>1404</v>
      </c>
      <c r="AX112" s="602"/>
      <c r="AY112" s="574"/>
      <c r="AZ112" s="438"/>
      <c r="BC112" s="621" t="s">
        <v>1269</v>
      </c>
    </row>
    <row r="113" spans="1:55" s="588" customFormat="1" ht="15" x14ac:dyDescent="0.25">
      <c r="A113" s="631" t="s">
        <v>1423</v>
      </c>
      <c r="B113" s="624"/>
      <c r="C113" s="529">
        <v>343478</v>
      </c>
      <c r="D113" s="578">
        <v>343478</v>
      </c>
      <c r="E113" s="605"/>
      <c r="F113" s="606"/>
      <c r="G113" s="499">
        <v>0</v>
      </c>
      <c r="H113" s="499">
        <v>210</v>
      </c>
      <c r="I113" s="499">
        <v>0</v>
      </c>
      <c r="J113" s="592">
        <f t="shared" si="21"/>
        <v>210</v>
      </c>
      <c r="K113" s="593"/>
      <c r="L113" s="594">
        <f t="shared" si="17"/>
        <v>210</v>
      </c>
      <c r="M113" s="610" t="s">
        <v>255</v>
      </c>
      <c r="N113" s="501">
        <f t="shared" si="22"/>
        <v>3.9013285001896651</v>
      </c>
      <c r="O113" s="595">
        <f t="shared" si="18"/>
        <v>819</v>
      </c>
      <c r="P113" s="583"/>
      <c r="Q113" s="1149">
        <v>0</v>
      </c>
      <c r="R113" s="1149">
        <v>210</v>
      </c>
      <c r="S113" s="1149">
        <v>0</v>
      </c>
      <c r="T113" s="593">
        <v>0.2036</v>
      </c>
      <c r="U113" s="595">
        <f t="shared" si="23"/>
        <v>42.756</v>
      </c>
      <c r="V113" s="583"/>
      <c r="W113" s="432">
        <v>0</v>
      </c>
      <c r="X113" s="432">
        <v>0</v>
      </c>
      <c r="Y113" s="432">
        <v>0</v>
      </c>
      <c r="Z113" s="593">
        <v>1.7611399999999999</v>
      </c>
      <c r="AA113" s="596">
        <f t="shared" si="24"/>
        <v>0</v>
      </c>
      <c r="AB113" s="578"/>
      <c r="AC113" s="611"/>
      <c r="AD113" s="585"/>
      <c r="AE113" s="611"/>
      <c r="AF113" s="585"/>
      <c r="AG113" s="611"/>
      <c r="AH113" s="578"/>
      <c r="AI113" s="612"/>
      <c r="AJ113" s="613"/>
      <c r="AK113" s="600">
        <f t="shared" si="19"/>
        <v>0</v>
      </c>
      <c r="AL113" s="578"/>
      <c r="AM113" s="1150">
        <v>0</v>
      </c>
      <c r="AN113" s="1150">
        <v>0</v>
      </c>
      <c r="AO113" s="1150">
        <v>0</v>
      </c>
      <c r="AP113" s="593">
        <v>0.2036</v>
      </c>
      <c r="AQ113" s="595">
        <f t="shared" si="25"/>
        <v>0</v>
      </c>
      <c r="AR113" s="578"/>
      <c r="AS113" s="601">
        <f t="shared" si="26"/>
        <v>861.75599999999997</v>
      </c>
      <c r="AT113" s="586"/>
      <c r="AU113" s="512"/>
      <c r="AV113" s="512"/>
      <c r="AW113" s="512">
        <f t="shared" si="20"/>
        <v>861.75599999999997</v>
      </c>
      <c r="AX113" s="602"/>
      <c r="AY113" s="574"/>
      <c r="AZ113" s="438"/>
      <c r="BC113" s="621" t="s">
        <v>1385</v>
      </c>
    </row>
    <row r="114" spans="1:55" s="588" customFormat="1" ht="15" x14ac:dyDescent="0.25">
      <c r="A114" s="631" t="s">
        <v>1424</v>
      </c>
      <c r="B114" s="624"/>
      <c r="C114" s="624">
        <v>447579</v>
      </c>
      <c r="D114" s="578">
        <v>447579</v>
      </c>
      <c r="E114" s="605"/>
      <c r="F114" s="606"/>
      <c r="G114" s="499">
        <v>180</v>
      </c>
      <c r="H114" s="499">
        <v>210</v>
      </c>
      <c r="I114" s="499">
        <v>180</v>
      </c>
      <c r="J114" s="592">
        <f t="shared" si="21"/>
        <v>570</v>
      </c>
      <c r="K114" s="593"/>
      <c r="L114" s="594">
        <f t="shared" si="17"/>
        <v>570</v>
      </c>
      <c r="M114" s="610" t="s">
        <v>255</v>
      </c>
      <c r="N114" s="501">
        <f t="shared" si="22"/>
        <v>3.9013285001896651</v>
      </c>
      <c r="O114" s="595">
        <f t="shared" si="18"/>
        <v>2224</v>
      </c>
      <c r="P114" s="583"/>
      <c r="Q114" s="1149">
        <v>0</v>
      </c>
      <c r="R114" s="1149">
        <v>0</v>
      </c>
      <c r="S114" s="1149">
        <v>0</v>
      </c>
      <c r="T114" s="593">
        <v>0.2036</v>
      </c>
      <c r="U114" s="595">
        <f t="shared" si="23"/>
        <v>0</v>
      </c>
      <c r="V114" s="583"/>
      <c r="W114" s="432">
        <v>0</v>
      </c>
      <c r="X114" s="432">
        <v>0</v>
      </c>
      <c r="Y114" s="432">
        <v>0</v>
      </c>
      <c r="Z114" s="593">
        <v>1.7611399999999999</v>
      </c>
      <c r="AA114" s="596">
        <f t="shared" si="24"/>
        <v>0</v>
      </c>
      <c r="AB114" s="578"/>
      <c r="AC114" s="611"/>
      <c r="AD114" s="585"/>
      <c r="AE114" s="611"/>
      <c r="AF114" s="585"/>
      <c r="AG114" s="611"/>
      <c r="AH114" s="578"/>
      <c r="AI114" s="612"/>
      <c r="AJ114" s="613"/>
      <c r="AK114" s="600">
        <f t="shared" si="19"/>
        <v>0</v>
      </c>
      <c r="AL114" s="578"/>
      <c r="AM114" s="1150">
        <v>0</v>
      </c>
      <c r="AN114" s="1150">
        <v>0</v>
      </c>
      <c r="AO114" s="1150">
        <v>0</v>
      </c>
      <c r="AP114" s="593">
        <v>0.2036</v>
      </c>
      <c r="AQ114" s="595">
        <f t="shared" si="25"/>
        <v>0</v>
      </c>
      <c r="AR114" s="578"/>
      <c r="AS114" s="601">
        <f t="shared" si="26"/>
        <v>2224</v>
      </c>
      <c r="AT114" s="586"/>
      <c r="AU114" s="512"/>
      <c r="AV114" s="512"/>
      <c r="AW114" s="512">
        <f t="shared" si="20"/>
        <v>2224</v>
      </c>
      <c r="AX114" s="602"/>
      <c r="AY114" s="574"/>
      <c r="AZ114" s="438"/>
      <c r="BC114" s="621" t="s">
        <v>1381</v>
      </c>
    </row>
    <row r="115" spans="1:55" s="588" customFormat="1" ht="15" x14ac:dyDescent="0.25">
      <c r="A115" s="631" t="s">
        <v>1425</v>
      </c>
      <c r="B115" s="624"/>
      <c r="C115" s="624">
        <v>472319</v>
      </c>
      <c r="D115" s="578">
        <v>472319</v>
      </c>
      <c r="E115" s="605"/>
      <c r="F115" s="606"/>
      <c r="G115" s="499">
        <v>72</v>
      </c>
      <c r="H115" s="499">
        <v>0</v>
      </c>
      <c r="I115" s="499">
        <v>72</v>
      </c>
      <c r="J115" s="592">
        <f t="shared" si="21"/>
        <v>144</v>
      </c>
      <c r="K115" s="593"/>
      <c r="L115" s="594">
        <f t="shared" si="17"/>
        <v>144</v>
      </c>
      <c r="M115" s="610" t="s">
        <v>255</v>
      </c>
      <c r="N115" s="501">
        <f t="shared" si="22"/>
        <v>3.9013285001896651</v>
      </c>
      <c r="O115" s="595">
        <f t="shared" si="18"/>
        <v>562</v>
      </c>
      <c r="P115" s="583"/>
      <c r="Q115" s="1149">
        <v>108</v>
      </c>
      <c r="R115" s="1149">
        <v>0</v>
      </c>
      <c r="S115" s="1149">
        <v>0</v>
      </c>
      <c r="T115" s="593">
        <v>0.2036</v>
      </c>
      <c r="U115" s="595">
        <f t="shared" si="23"/>
        <v>21.988800000000001</v>
      </c>
      <c r="V115" s="583"/>
      <c r="W115" s="432">
        <v>0</v>
      </c>
      <c r="X115" s="432">
        <v>0</v>
      </c>
      <c r="Y115" s="432">
        <v>0</v>
      </c>
      <c r="Z115" s="593">
        <v>1.7611399999999999</v>
      </c>
      <c r="AA115" s="596">
        <f t="shared" si="24"/>
        <v>0</v>
      </c>
      <c r="AB115" s="578"/>
      <c r="AC115" s="611"/>
      <c r="AD115" s="585"/>
      <c r="AE115" s="611"/>
      <c r="AF115" s="585"/>
      <c r="AG115" s="611"/>
      <c r="AH115" s="578"/>
      <c r="AI115" s="612"/>
      <c r="AJ115" s="613"/>
      <c r="AK115" s="600">
        <f t="shared" si="19"/>
        <v>0</v>
      </c>
      <c r="AL115" s="578"/>
      <c r="AM115" s="1150">
        <v>0</v>
      </c>
      <c r="AN115" s="1150">
        <v>0</v>
      </c>
      <c r="AO115" s="1150">
        <v>0</v>
      </c>
      <c r="AP115" s="593">
        <v>0.2036</v>
      </c>
      <c r="AQ115" s="595">
        <f t="shared" si="25"/>
        <v>0</v>
      </c>
      <c r="AR115" s="578"/>
      <c r="AS115" s="601">
        <f t="shared" si="26"/>
        <v>583.98879999999997</v>
      </c>
      <c r="AT115" s="586"/>
      <c r="AU115" s="512"/>
      <c r="AV115" s="512"/>
      <c r="AW115" s="512">
        <f t="shared" si="20"/>
        <v>583.98879999999997</v>
      </c>
      <c r="AX115" s="602"/>
      <c r="AY115" s="574"/>
      <c r="AZ115" s="438"/>
      <c r="BC115" s="621" t="s">
        <v>1382</v>
      </c>
    </row>
    <row r="116" spans="1:55" s="588" customFormat="1" ht="15" x14ac:dyDescent="0.25">
      <c r="A116" s="632" t="s">
        <v>755</v>
      </c>
      <c r="B116" s="622"/>
      <c r="C116" s="624">
        <v>205956</v>
      </c>
      <c r="D116" s="578">
        <v>205956</v>
      </c>
      <c r="E116" s="605"/>
      <c r="F116" s="606"/>
      <c r="G116" s="499">
        <v>0</v>
      </c>
      <c r="H116" s="499">
        <v>0</v>
      </c>
      <c r="I116" s="499">
        <v>0</v>
      </c>
      <c r="J116" s="592">
        <f t="shared" si="21"/>
        <v>0</v>
      </c>
      <c r="K116" s="593"/>
      <c r="L116" s="594">
        <f t="shared" si="17"/>
        <v>0</v>
      </c>
      <c r="M116" s="610" t="s">
        <v>255</v>
      </c>
      <c r="N116" s="501">
        <f t="shared" si="22"/>
        <v>3.9013285001896651</v>
      </c>
      <c r="O116" s="595">
        <f t="shared" si="18"/>
        <v>0</v>
      </c>
      <c r="P116" s="583"/>
      <c r="Q116" s="1149">
        <v>0</v>
      </c>
      <c r="R116" s="1149">
        <v>0</v>
      </c>
      <c r="S116" s="1149">
        <v>0</v>
      </c>
      <c r="T116" s="593">
        <v>0.2036</v>
      </c>
      <c r="U116" s="595">
        <f t="shared" si="23"/>
        <v>0</v>
      </c>
      <c r="V116" s="583"/>
      <c r="W116" s="432">
        <v>0</v>
      </c>
      <c r="X116" s="432">
        <v>0</v>
      </c>
      <c r="Y116" s="432">
        <v>0</v>
      </c>
      <c r="Z116" s="593">
        <v>1.7611399999999999</v>
      </c>
      <c r="AA116" s="596">
        <f t="shared" si="24"/>
        <v>0</v>
      </c>
      <c r="AB116" s="578"/>
      <c r="AC116" s="611"/>
      <c r="AD116" s="585"/>
      <c r="AE116" s="611"/>
      <c r="AF116" s="585"/>
      <c r="AG116" s="611"/>
      <c r="AH116" s="578"/>
      <c r="AI116" s="612"/>
      <c r="AJ116" s="613"/>
      <c r="AK116" s="600">
        <f t="shared" si="19"/>
        <v>0</v>
      </c>
      <c r="AL116" s="578"/>
      <c r="AM116" s="1150">
        <v>0</v>
      </c>
      <c r="AN116" s="1150">
        <v>0</v>
      </c>
      <c r="AO116" s="1150">
        <v>0</v>
      </c>
      <c r="AP116" s="593">
        <v>0.2036</v>
      </c>
      <c r="AQ116" s="595">
        <f t="shared" si="25"/>
        <v>0</v>
      </c>
      <c r="AR116" s="578"/>
      <c r="AS116" s="601">
        <f t="shared" si="26"/>
        <v>0</v>
      </c>
      <c r="AT116" s="586"/>
      <c r="AU116" s="512"/>
      <c r="AV116" s="512"/>
      <c r="AW116" s="512">
        <f t="shared" si="20"/>
        <v>0</v>
      </c>
      <c r="AX116" s="602"/>
      <c r="AY116" s="574"/>
      <c r="AZ116" s="438"/>
      <c r="BC116" s="621" t="s">
        <v>529</v>
      </c>
    </row>
    <row r="117" spans="1:55" s="588" customFormat="1" ht="15" x14ac:dyDescent="0.25">
      <c r="A117" s="627" t="s">
        <v>756</v>
      </c>
      <c r="B117" s="437"/>
      <c r="C117" s="529">
        <v>205878</v>
      </c>
      <c r="D117" s="578">
        <v>205878</v>
      </c>
      <c r="E117" s="605"/>
      <c r="F117" s="606"/>
      <c r="G117" s="499">
        <v>540</v>
      </c>
      <c r="H117" s="499">
        <v>210</v>
      </c>
      <c r="I117" s="499">
        <v>540</v>
      </c>
      <c r="J117" s="592">
        <f t="shared" si="21"/>
        <v>1290</v>
      </c>
      <c r="K117" s="593"/>
      <c r="L117" s="594">
        <f t="shared" si="17"/>
        <v>1290</v>
      </c>
      <c r="M117" s="610" t="s">
        <v>255</v>
      </c>
      <c r="N117" s="501">
        <f t="shared" si="22"/>
        <v>3.9013285001896651</v>
      </c>
      <c r="O117" s="595">
        <f t="shared" si="18"/>
        <v>5033</v>
      </c>
      <c r="P117" s="583"/>
      <c r="Q117" s="1149">
        <v>1080</v>
      </c>
      <c r="R117" s="1149">
        <v>630</v>
      </c>
      <c r="S117" s="1149">
        <v>0</v>
      </c>
      <c r="T117" s="593">
        <v>0.2036</v>
      </c>
      <c r="U117" s="595">
        <f t="shared" si="23"/>
        <v>348.15600000000001</v>
      </c>
      <c r="V117" s="583"/>
      <c r="W117" s="432">
        <v>0</v>
      </c>
      <c r="X117" s="432">
        <v>0</v>
      </c>
      <c r="Y117" s="432">
        <v>0</v>
      </c>
      <c r="Z117" s="593">
        <v>1.7611399999999999</v>
      </c>
      <c r="AA117" s="596">
        <f t="shared" si="24"/>
        <v>0</v>
      </c>
      <c r="AB117" s="578"/>
      <c r="AC117" s="611"/>
      <c r="AD117" s="585"/>
      <c r="AE117" s="611"/>
      <c r="AF117" s="585"/>
      <c r="AG117" s="611"/>
      <c r="AH117" s="578"/>
      <c r="AI117" s="612"/>
      <c r="AJ117" s="613"/>
      <c r="AK117" s="600">
        <f t="shared" si="19"/>
        <v>0</v>
      </c>
      <c r="AL117" s="578"/>
      <c r="AM117" s="1150">
        <v>0</v>
      </c>
      <c r="AN117" s="1150">
        <v>0</v>
      </c>
      <c r="AO117" s="1150">
        <v>0</v>
      </c>
      <c r="AP117" s="593">
        <v>0.2036</v>
      </c>
      <c r="AQ117" s="595">
        <f t="shared" si="25"/>
        <v>0</v>
      </c>
      <c r="AR117" s="578"/>
      <c r="AS117" s="601">
        <f t="shared" si="26"/>
        <v>5381.1559999999999</v>
      </c>
      <c r="AT117" s="586"/>
      <c r="AU117" s="512"/>
      <c r="AV117" s="512"/>
      <c r="AW117" s="512">
        <f t="shared" si="20"/>
        <v>5381.1559999999999</v>
      </c>
      <c r="AX117" s="602"/>
      <c r="AY117" s="574"/>
      <c r="AZ117" s="438"/>
      <c r="BC117" s="621" t="s">
        <v>1271</v>
      </c>
    </row>
    <row r="118" spans="1:55" s="588" customFormat="1" ht="15" x14ac:dyDescent="0.25">
      <c r="A118" s="627" t="s">
        <v>1426</v>
      </c>
      <c r="B118" s="437"/>
      <c r="C118" s="529">
        <v>482805</v>
      </c>
      <c r="D118" s="578">
        <v>482805</v>
      </c>
      <c r="E118" s="605"/>
      <c r="F118" s="606"/>
      <c r="G118" s="499">
        <v>360</v>
      </c>
      <c r="H118" s="499">
        <v>420</v>
      </c>
      <c r="I118" s="499">
        <v>360</v>
      </c>
      <c r="J118" s="592">
        <f t="shared" si="21"/>
        <v>1140</v>
      </c>
      <c r="K118" s="593"/>
      <c r="L118" s="594">
        <f t="shared" si="17"/>
        <v>1140</v>
      </c>
      <c r="M118" s="610" t="s">
        <v>255</v>
      </c>
      <c r="N118" s="501">
        <f t="shared" si="22"/>
        <v>3.9013285001896651</v>
      </c>
      <c r="O118" s="595">
        <f t="shared" si="18"/>
        <v>4448</v>
      </c>
      <c r="P118" s="583"/>
      <c r="Q118" s="1149">
        <v>1080</v>
      </c>
      <c r="R118" s="1149">
        <v>1260</v>
      </c>
      <c r="S118" s="1149">
        <v>0</v>
      </c>
      <c r="T118" s="593">
        <v>0.2036</v>
      </c>
      <c r="U118" s="595">
        <f t="shared" si="23"/>
        <v>476.42400000000004</v>
      </c>
      <c r="V118" s="583"/>
      <c r="W118" s="432">
        <v>0</v>
      </c>
      <c r="X118" s="432">
        <v>0</v>
      </c>
      <c r="Y118" s="432">
        <v>0</v>
      </c>
      <c r="Z118" s="593">
        <v>1.7611399999999999</v>
      </c>
      <c r="AA118" s="596">
        <f t="shared" si="24"/>
        <v>0</v>
      </c>
      <c r="AB118" s="578"/>
      <c r="AC118" s="611"/>
      <c r="AD118" s="585"/>
      <c r="AE118" s="611"/>
      <c r="AF118" s="585"/>
      <c r="AG118" s="611"/>
      <c r="AH118" s="578"/>
      <c r="AI118" s="612"/>
      <c r="AJ118" s="613"/>
      <c r="AK118" s="600">
        <f t="shared" si="19"/>
        <v>0</v>
      </c>
      <c r="AL118" s="578"/>
      <c r="AM118" s="1150">
        <v>0</v>
      </c>
      <c r="AN118" s="1150">
        <v>0</v>
      </c>
      <c r="AO118" s="1150">
        <v>0</v>
      </c>
      <c r="AP118" s="593">
        <v>0.2036</v>
      </c>
      <c r="AQ118" s="595">
        <f t="shared" si="25"/>
        <v>0</v>
      </c>
      <c r="AR118" s="578"/>
      <c r="AS118" s="601">
        <f t="shared" si="26"/>
        <v>4924.424</v>
      </c>
      <c r="AT118" s="586"/>
      <c r="AU118" s="512"/>
      <c r="AV118" s="512"/>
      <c r="AW118" s="512">
        <f t="shared" si="20"/>
        <v>4924.424</v>
      </c>
      <c r="AX118" s="602"/>
      <c r="AY118" s="574"/>
      <c r="AZ118" s="438"/>
      <c r="BC118" s="621" t="s">
        <v>1383</v>
      </c>
    </row>
    <row r="119" spans="1:55" s="588" customFormat="1" ht="15" x14ac:dyDescent="0.25">
      <c r="A119" s="632" t="s">
        <v>757</v>
      </c>
      <c r="B119" s="622"/>
      <c r="C119" s="529">
        <v>260849</v>
      </c>
      <c r="D119" s="578">
        <v>260849</v>
      </c>
      <c r="E119" s="605"/>
      <c r="F119" s="606"/>
      <c r="G119" s="499">
        <v>180</v>
      </c>
      <c r="H119" s="499">
        <v>0</v>
      </c>
      <c r="I119" s="499">
        <v>3150</v>
      </c>
      <c r="J119" s="592">
        <f t="shared" si="21"/>
        <v>3330</v>
      </c>
      <c r="K119" s="593"/>
      <c r="L119" s="594">
        <f t="shared" si="17"/>
        <v>3330</v>
      </c>
      <c r="M119" s="610" t="s">
        <v>255</v>
      </c>
      <c r="N119" s="501">
        <f t="shared" si="22"/>
        <v>3.9013285001896651</v>
      </c>
      <c r="O119" s="595">
        <f t="shared" si="18"/>
        <v>12991</v>
      </c>
      <c r="P119" s="583"/>
      <c r="Q119" s="1149">
        <v>0</v>
      </c>
      <c r="R119" s="1149">
        <v>0</v>
      </c>
      <c r="S119" s="1149">
        <v>0</v>
      </c>
      <c r="T119" s="593">
        <v>0.2036</v>
      </c>
      <c r="U119" s="595">
        <f t="shared" si="23"/>
        <v>0</v>
      </c>
      <c r="V119" s="583"/>
      <c r="W119" s="432">
        <v>0</v>
      </c>
      <c r="X119" s="432">
        <v>0</v>
      </c>
      <c r="Y119" s="432">
        <v>0</v>
      </c>
      <c r="Z119" s="593">
        <v>1.7611399999999999</v>
      </c>
      <c r="AA119" s="596">
        <f t="shared" si="24"/>
        <v>0</v>
      </c>
      <c r="AB119" s="578"/>
      <c r="AC119" s="611"/>
      <c r="AD119" s="585"/>
      <c r="AE119" s="611"/>
      <c r="AF119" s="585"/>
      <c r="AG119" s="611"/>
      <c r="AH119" s="578"/>
      <c r="AI119" s="612"/>
      <c r="AJ119" s="613"/>
      <c r="AK119" s="600">
        <f t="shared" si="19"/>
        <v>0</v>
      </c>
      <c r="AL119" s="578"/>
      <c r="AM119" s="1150">
        <v>0</v>
      </c>
      <c r="AN119" s="1150">
        <v>0</v>
      </c>
      <c r="AO119" s="1150">
        <v>0</v>
      </c>
      <c r="AP119" s="593">
        <v>0.2036</v>
      </c>
      <c r="AQ119" s="595">
        <f t="shared" si="25"/>
        <v>0</v>
      </c>
      <c r="AR119" s="578"/>
      <c r="AS119" s="601">
        <f t="shared" si="26"/>
        <v>12991</v>
      </c>
      <c r="AT119" s="586"/>
      <c r="AU119" s="512"/>
      <c r="AV119" s="512"/>
      <c r="AW119" s="512">
        <f t="shared" si="20"/>
        <v>12991</v>
      </c>
      <c r="AX119" s="602"/>
      <c r="AY119" s="574"/>
      <c r="AZ119" s="438"/>
      <c r="BC119" s="621" t="s">
        <v>1272</v>
      </c>
    </row>
    <row r="120" spans="1:55" s="588" customFormat="1" ht="15" x14ac:dyDescent="0.25">
      <c r="A120" s="627" t="s">
        <v>758</v>
      </c>
      <c r="B120" s="624"/>
      <c r="C120" s="529" t="s">
        <v>759</v>
      </c>
      <c r="D120" s="578">
        <v>463605</v>
      </c>
      <c r="E120" s="605"/>
      <c r="F120" s="606"/>
      <c r="G120" s="499">
        <v>180</v>
      </c>
      <c r="H120" s="499">
        <v>0</v>
      </c>
      <c r="I120" s="499">
        <v>0</v>
      </c>
      <c r="J120" s="592">
        <f t="shared" si="21"/>
        <v>180</v>
      </c>
      <c r="K120" s="593"/>
      <c r="L120" s="594">
        <f t="shared" si="17"/>
        <v>180</v>
      </c>
      <c r="M120" s="610" t="s">
        <v>255</v>
      </c>
      <c r="N120" s="501">
        <f t="shared" si="22"/>
        <v>3.9013285001896651</v>
      </c>
      <c r="O120" s="595">
        <f t="shared" si="18"/>
        <v>702</v>
      </c>
      <c r="P120" s="583"/>
      <c r="Q120" s="1149">
        <v>0</v>
      </c>
      <c r="R120" s="1149">
        <v>0</v>
      </c>
      <c r="S120" s="1149">
        <v>0</v>
      </c>
      <c r="T120" s="593">
        <v>0.2036</v>
      </c>
      <c r="U120" s="595">
        <f t="shared" si="23"/>
        <v>0</v>
      </c>
      <c r="V120" s="583"/>
      <c r="W120" s="432">
        <v>0</v>
      </c>
      <c r="X120" s="432">
        <v>0</v>
      </c>
      <c r="Y120" s="432">
        <v>0</v>
      </c>
      <c r="Z120" s="593">
        <v>1.7611399999999999</v>
      </c>
      <c r="AA120" s="596">
        <f t="shared" si="24"/>
        <v>0</v>
      </c>
      <c r="AB120" s="578"/>
      <c r="AC120" s="611"/>
      <c r="AD120" s="585"/>
      <c r="AE120" s="611"/>
      <c r="AF120" s="585"/>
      <c r="AG120" s="611"/>
      <c r="AH120" s="578"/>
      <c r="AI120" s="612"/>
      <c r="AJ120" s="613"/>
      <c r="AK120" s="600">
        <f t="shared" si="19"/>
        <v>0</v>
      </c>
      <c r="AL120" s="578"/>
      <c r="AM120" s="1150">
        <v>0</v>
      </c>
      <c r="AN120" s="1150">
        <v>0</v>
      </c>
      <c r="AO120" s="1150">
        <v>0</v>
      </c>
      <c r="AP120" s="593">
        <v>0.2036</v>
      </c>
      <c r="AQ120" s="595">
        <f t="shared" si="25"/>
        <v>0</v>
      </c>
      <c r="AR120" s="578"/>
      <c r="AS120" s="601">
        <f t="shared" si="26"/>
        <v>702</v>
      </c>
      <c r="AT120" s="586"/>
      <c r="AU120" s="512"/>
      <c r="AV120" s="512"/>
      <c r="AW120" s="512">
        <f t="shared" si="20"/>
        <v>702</v>
      </c>
      <c r="AX120" s="602"/>
      <c r="AY120" s="574"/>
      <c r="AZ120" s="438"/>
      <c r="BC120" s="621" t="s">
        <v>1273</v>
      </c>
    </row>
    <row r="121" spans="1:55" s="588" customFormat="1" ht="15" x14ac:dyDescent="0.25">
      <c r="A121" s="633" t="s">
        <v>760</v>
      </c>
      <c r="B121" s="622"/>
      <c r="C121" s="529" t="s">
        <v>280</v>
      </c>
      <c r="D121" s="578">
        <v>340934</v>
      </c>
      <c r="E121" s="605"/>
      <c r="F121" s="606"/>
      <c r="G121" s="499">
        <v>540</v>
      </c>
      <c r="H121" s="499">
        <v>210</v>
      </c>
      <c r="I121" s="499">
        <v>360</v>
      </c>
      <c r="J121" s="592">
        <f t="shared" si="21"/>
        <v>1110</v>
      </c>
      <c r="K121" s="593"/>
      <c r="L121" s="594">
        <f t="shared" si="17"/>
        <v>1110</v>
      </c>
      <c r="M121" s="610" t="s">
        <v>255</v>
      </c>
      <c r="N121" s="501">
        <f t="shared" si="22"/>
        <v>3.9013285001896651</v>
      </c>
      <c r="O121" s="595">
        <f t="shared" si="18"/>
        <v>4330</v>
      </c>
      <c r="P121" s="583"/>
      <c r="Q121" s="1149">
        <v>1080</v>
      </c>
      <c r="R121" s="1149">
        <v>630</v>
      </c>
      <c r="S121" s="1149">
        <v>0</v>
      </c>
      <c r="T121" s="593">
        <v>0.2036</v>
      </c>
      <c r="U121" s="595">
        <f t="shared" si="23"/>
        <v>348.15600000000001</v>
      </c>
      <c r="V121" s="583"/>
      <c r="W121" s="432">
        <v>180</v>
      </c>
      <c r="X121" s="432">
        <v>0</v>
      </c>
      <c r="Y121" s="432">
        <v>0</v>
      </c>
      <c r="Z121" s="593">
        <v>1.7611399999999999</v>
      </c>
      <c r="AA121" s="596">
        <f t="shared" si="24"/>
        <v>317.0052</v>
      </c>
      <c r="AB121" s="578"/>
      <c r="AC121" s="611"/>
      <c r="AD121" s="585"/>
      <c r="AE121" s="611"/>
      <c r="AF121" s="585"/>
      <c r="AG121" s="611"/>
      <c r="AH121" s="578"/>
      <c r="AI121" s="612"/>
      <c r="AJ121" s="613"/>
      <c r="AK121" s="600">
        <f t="shared" si="19"/>
        <v>0</v>
      </c>
      <c r="AL121" s="578"/>
      <c r="AM121" s="1150">
        <v>0</v>
      </c>
      <c r="AN121" s="1150">
        <v>0</v>
      </c>
      <c r="AO121" s="1150">
        <v>0</v>
      </c>
      <c r="AP121" s="593">
        <v>0.2036</v>
      </c>
      <c r="AQ121" s="595">
        <f t="shared" si="25"/>
        <v>0</v>
      </c>
      <c r="AR121" s="578"/>
      <c r="AS121" s="601">
        <f t="shared" si="26"/>
        <v>4995.1612000000005</v>
      </c>
      <c r="AT121" s="586"/>
      <c r="AU121" s="512"/>
      <c r="AV121" s="512"/>
      <c r="AW121" s="512">
        <f t="shared" si="20"/>
        <v>4995.1612000000005</v>
      </c>
      <c r="AX121" s="602"/>
      <c r="AY121" s="574"/>
      <c r="AZ121" s="438"/>
      <c r="BC121" s="621" t="s">
        <v>1274</v>
      </c>
    </row>
    <row r="122" spans="1:55" s="588" customFormat="1" ht="15" x14ac:dyDescent="0.25">
      <c r="A122" s="621" t="s">
        <v>761</v>
      </c>
      <c r="B122" s="437"/>
      <c r="C122" s="529" t="s">
        <v>762</v>
      </c>
      <c r="D122" s="578">
        <v>357686</v>
      </c>
      <c r="E122" s="605"/>
      <c r="F122" s="606"/>
      <c r="G122" s="499">
        <v>0</v>
      </c>
      <c r="H122" s="499">
        <v>0</v>
      </c>
      <c r="I122" s="499">
        <v>540</v>
      </c>
      <c r="J122" s="592">
        <f t="shared" si="21"/>
        <v>540</v>
      </c>
      <c r="K122" s="593"/>
      <c r="L122" s="594">
        <f t="shared" si="17"/>
        <v>540</v>
      </c>
      <c r="M122" s="610" t="s">
        <v>255</v>
      </c>
      <c r="N122" s="501">
        <f t="shared" si="22"/>
        <v>3.9013285001896651</v>
      </c>
      <c r="O122" s="595">
        <f t="shared" si="18"/>
        <v>2107</v>
      </c>
      <c r="P122" s="583"/>
      <c r="Q122" s="1149">
        <v>0</v>
      </c>
      <c r="R122" s="1149">
        <v>0</v>
      </c>
      <c r="S122" s="1149">
        <v>0</v>
      </c>
      <c r="T122" s="593">
        <v>0.2036</v>
      </c>
      <c r="U122" s="595">
        <f t="shared" si="23"/>
        <v>0</v>
      </c>
      <c r="V122" s="583"/>
      <c r="W122" s="432">
        <v>0</v>
      </c>
      <c r="X122" s="432">
        <v>0</v>
      </c>
      <c r="Y122" s="432">
        <v>0</v>
      </c>
      <c r="Z122" s="593">
        <v>1.7611399999999999</v>
      </c>
      <c r="AA122" s="596">
        <f t="shared" si="24"/>
        <v>0</v>
      </c>
      <c r="AB122" s="578"/>
      <c r="AC122" s="611"/>
      <c r="AD122" s="585"/>
      <c r="AE122" s="611"/>
      <c r="AF122" s="585"/>
      <c r="AG122" s="611"/>
      <c r="AH122" s="578"/>
      <c r="AI122" s="612"/>
      <c r="AJ122" s="613"/>
      <c r="AK122" s="600">
        <f t="shared" si="19"/>
        <v>0</v>
      </c>
      <c r="AL122" s="578"/>
      <c r="AM122" s="1150">
        <v>0</v>
      </c>
      <c r="AN122" s="1150">
        <v>0</v>
      </c>
      <c r="AO122" s="1150">
        <v>0</v>
      </c>
      <c r="AP122" s="593">
        <v>0.2036</v>
      </c>
      <c r="AQ122" s="595">
        <f t="shared" si="25"/>
        <v>0</v>
      </c>
      <c r="AR122" s="578"/>
      <c r="AS122" s="601">
        <f t="shared" si="26"/>
        <v>2107</v>
      </c>
      <c r="AT122" s="586"/>
      <c r="AU122" s="512"/>
      <c r="AV122" s="512"/>
      <c r="AW122" s="512">
        <f t="shared" si="20"/>
        <v>2107</v>
      </c>
      <c r="AX122" s="602"/>
      <c r="AY122" s="574"/>
      <c r="AZ122" s="438"/>
      <c r="BC122" s="621" t="s">
        <v>1275</v>
      </c>
    </row>
    <row r="123" spans="1:55" s="588" customFormat="1" ht="15" x14ac:dyDescent="0.25">
      <c r="A123" s="626" t="s">
        <v>763</v>
      </c>
      <c r="B123" s="587"/>
      <c r="C123" s="529" t="s">
        <v>764</v>
      </c>
      <c r="D123" s="578" t="s">
        <v>764</v>
      </c>
      <c r="E123" s="605"/>
      <c r="F123" s="606"/>
      <c r="G123" s="499">
        <v>0</v>
      </c>
      <c r="H123" s="499">
        <v>0</v>
      </c>
      <c r="I123" s="499">
        <v>0</v>
      </c>
      <c r="J123" s="592">
        <f t="shared" si="21"/>
        <v>0</v>
      </c>
      <c r="K123" s="593"/>
      <c r="L123" s="594">
        <f t="shared" si="17"/>
        <v>0</v>
      </c>
      <c r="M123" s="610" t="s">
        <v>255</v>
      </c>
      <c r="N123" s="501">
        <f t="shared" si="22"/>
        <v>3.9013285001896651</v>
      </c>
      <c r="O123" s="595">
        <f t="shared" si="18"/>
        <v>0</v>
      </c>
      <c r="P123" s="583"/>
      <c r="Q123" s="1149">
        <v>0</v>
      </c>
      <c r="R123" s="1149">
        <v>0</v>
      </c>
      <c r="S123" s="1149">
        <v>0</v>
      </c>
      <c r="T123" s="593">
        <v>0.2036</v>
      </c>
      <c r="U123" s="595">
        <f t="shared" si="23"/>
        <v>0</v>
      </c>
      <c r="V123" s="583"/>
      <c r="W123" s="432">
        <v>0</v>
      </c>
      <c r="X123" s="432">
        <v>0</v>
      </c>
      <c r="Y123" s="432">
        <v>0</v>
      </c>
      <c r="Z123" s="593">
        <v>1.7611399999999999</v>
      </c>
      <c r="AA123" s="596">
        <f t="shared" si="24"/>
        <v>0</v>
      </c>
      <c r="AB123" s="578"/>
      <c r="AC123" s="611"/>
      <c r="AD123" s="585"/>
      <c r="AE123" s="611"/>
      <c r="AF123" s="585"/>
      <c r="AG123" s="611"/>
      <c r="AH123" s="578"/>
      <c r="AI123" s="612"/>
      <c r="AJ123" s="613"/>
      <c r="AK123" s="600">
        <f t="shared" si="19"/>
        <v>0</v>
      </c>
      <c r="AL123" s="578"/>
      <c r="AM123" s="1150">
        <v>0</v>
      </c>
      <c r="AN123" s="1150">
        <v>0</v>
      </c>
      <c r="AO123" s="1150">
        <v>0</v>
      </c>
      <c r="AP123" s="593">
        <v>0.2036</v>
      </c>
      <c r="AQ123" s="595">
        <f t="shared" si="25"/>
        <v>0</v>
      </c>
      <c r="AR123" s="578"/>
      <c r="AS123" s="601">
        <f t="shared" si="26"/>
        <v>0</v>
      </c>
      <c r="AT123" s="586"/>
      <c r="AU123" s="512"/>
      <c r="AV123" s="512"/>
      <c r="AW123" s="512">
        <f t="shared" si="20"/>
        <v>0</v>
      </c>
      <c r="AX123" s="602"/>
      <c r="AY123" s="574"/>
      <c r="AZ123" s="438"/>
      <c r="BC123" s="621" t="s">
        <v>1276</v>
      </c>
    </row>
    <row r="124" spans="1:55" s="588" customFormat="1" ht="15" x14ac:dyDescent="0.25">
      <c r="A124" s="626" t="s">
        <v>765</v>
      </c>
      <c r="B124" s="622"/>
      <c r="C124" s="625" t="s">
        <v>766</v>
      </c>
      <c r="D124" s="578">
        <v>396733</v>
      </c>
      <c r="E124" s="605"/>
      <c r="F124" s="606"/>
      <c r="G124" s="499">
        <v>180</v>
      </c>
      <c r="H124" s="499">
        <v>210</v>
      </c>
      <c r="I124" s="499">
        <v>180</v>
      </c>
      <c r="J124" s="592">
        <f t="shared" si="21"/>
        <v>570</v>
      </c>
      <c r="K124" s="593"/>
      <c r="L124" s="594">
        <f t="shared" ref="L124:L184" si="27">IF(K124&lt;0,F124,J124)</f>
        <v>570</v>
      </c>
      <c r="M124" s="610" t="s">
        <v>255</v>
      </c>
      <c r="N124" s="501">
        <f t="shared" si="22"/>
        <v>3.9013285001896651</v>
      </c>
      <c r="O124" s="595">
        <f t="shared" si="18"/>
        <v>2224</v>
      </c>
      <c r="P124" s="583"/>
      <c r="Q124" s="1149">
        <v>540</v>
      </c>
      <c r="R124" s="1149">
        <v>630</v>
      </c>
      <c r="S124" s="1149">
        <v>0</v>
      </c>
      <c r="T124" s="593">
        <v>0.2036</v>
      </c>
      <c r="U124" s="595">
        <f t="shared" si="23"/>
        <v>238.21200000000002</v>
      </c>
      <c r="V124" s="583"/>
      <c r="W124" s="432">
        <v>0</v>
      </c>
      <c r="X124" s="432">
        <v>0</v>
      </c>
      <c r="Y124" s="432">
        <v>0</v>
      </c>
      <c r="Z124" s="593">
        <v>1.7611399999999999</v>
      </c>
      <c r="AA124" s="596">
        <f t="shared" si="24"/>
        <v>0</v>
      </c>
      <c r="AB124" s="578"/>
      <c r="AC124" s="611"/>
      <c r="AD124" s="585"/>
      <c r="AE124" s="611"/>
      <c r="AF124" s="585"/>
      <c r="AG124" s="611"/>
      <c r="AH124" s="578"/>
      <c r="AI124" s="612"/>
      <c r="AJ124" s="613"/>
      <c r="AK124" s="600">
        <f t="shared" si="19"/>
        <v>0</v>
      </c>
      <c r="AL124" s="578"/>
      <c r="AM124" s="1150">
        <v>0</v>
      </c>
      <c r="AN124" s="1150">
        <v>0</v>
      </c>
      <c r="AO124" s="1150">
        <v>0</v>
      </c>
      <c r="AP124" s="593">
        <v>0.2036</v>
      </c>
      <c r="AQ124" s="595">
        <f t="shared" si="25"/>
        <v>0</v>
      </c>
      <c r="AR124" s="578"/>
      <c r="AS124" s="601">
        <f t="shared" si="26"/>
        <v>2462.212</v>
      </c>
      <c r="AT124" s="586"/>
      <c r="AU124" s="512"/>
      <c r="AV124" s="512"/>
      <c r="AW124" s="512">
        <f t="shared" ref="AW124:AW184" si="28">AU124+AS124+AV124</f>
        <v>2462.212</v>
      </c>
      <c r="AX124" s="602"/>
      <c r="AY124" s="574"/>
      <c r="AZ124" s="438"/>
      <c r="BC124" s="621" t="s">
        <v>1277</v>
      </c>
    </row>
    <row r="125" spans="1:55" s="588" customFormat="1" ht="15" x14ac:dyDescent="0.25">
      <c r="A125" s="627" t="s">
        <v>767</v>
      </c>
      <c r="B125" s="437"/>
      <c r="C125" s="625" t="s">
        <v>768</v>
      </c>
      <c r="D125" s="578">
        <v>405054</v>
      </c>
      <c r="E125" s="605"/>
      <c r="F125" s="606"/>
      <c r="G125" s="499">
        <v>0</v>
      </c>
      <c r="H125" s="499">
        <v>0</v>
      </c>
      <c r="I125" s="499">
        <v>0</v>
      </c>
      <c r="J125" s="592">
        <f t="shared" ref="J125:J185" si="29">SUM(G125:I125)</f>
        <v>0</v>
      </c>
      <c r="K125" s="593"/>
      <c r="L125" s="594">
        <f t="shared" si="27"/>
        <v>0</v>
      </c>
      <c r="M125" s="610" t="s">
        <v>255</v>
      </c>
      <c r="N125" s="501">
        <f t="shared" ref="N125:N185" si="30">3.68049858508459/100*106</f>
        <v>3.9013285001896651</v>
      </c>
      <c r="O125" s="595">
        <f t="shared" si="18"/>
        <v>0</v>
      </c>
      <c r="P125" s="583"/>
      <c r="Q125" s="1149">
        <v>0</v>
      </c>
      <c r="R125" s="1149">
        <v>0</v>
      </c>
      <c r="S125" s="1149">
        <v>0</v>
      </c>
      <c r="T125" s="593">
        <v>0.2036</v>
      </c>
      <c r="U125" s="595">
        <f t="shared" ref="U125:U185" si="31">SUM(Q125+R125+S125)*T125</f>
        <v>0</v>
      </c>
      <c r="V125" s="583"/>
      <c r="W125" s="432">
        <v>0</v>
      </c>
      <c r="X125" s="432">
        <v>0</v>
      </c>
      <c r="Y125" s="432">
        <v>0</v>
      </c>
      <c r="Z125" s="593">
        <v>1.7611399999999999</v>
      </c>
      <c r="AA125" s="596">
        <f t="shared" ref="AA125:AA185" si="32">SUM(W125+X125+Y125)*Z125</f>
        <v>0</v>
      </c>
      <c r="AB125" s="578"/>
      <c r="AC125" s="611"/>
      <c r="AD125" s="585"/>
      <c r="AE125" s="611"/>
      <c r="AF125" s="585"/>
      <c r="AG125" s="611"/>
      <c r="AH125" s="578"/>
      <c r="AI125" s="612"/>
      <c r="AJ125" s="613"/>
      <c r="AK125" s="600">
        <f t="shared" si="19"/>
        <v>0</v>
      </c>
      <c r="AL125" s="578"/>
      <c r="AM125" s="1150">
        <v>0</v>
      </c>
      <c r="AN125" s="1150">
        <v>0</v>
      </c>
      <c r="AO125" s="1150">
        <v>0</v>
      </c>
      <c r="AP125" s="593">
        <v>0.2036</v>
      </c>
      <c r="AQ125" s="595">
        <f t="shared" ref="AQ125:AQ185" si="33">SUM(AM125+AN125+AO125)*AP125</f>
        <v>0</v>
      </c>
      <c r="AR125" s="578"/>
      <c r="AS125" s="601">
        <f t="shared" ref="AS125:AS185" si="34">SUM(AQ125,AK125,AA125,U125,O125,AC125,AE125,AG125)</f>
        <v>0</v>
      </c>
      <c r="AT125" s="586"/>
      <c r="AU125" s="512"/>
      <c r="AV125" s="512"/>
      <c r="AW125" s="512">
        <f t="shared" si="28"/>
        <v>0</v>
      </c>
      <c r="AX125" s="602"/>
      <c r="AY125" s="574"/>
      <c r="AZ125" s="438"/>
      <c r="BC125" s="621" t="s">
        <v>1278</v>
      </c>
    </row>
    <row r="126" spans="1:55" s="588" customFormat="1" ht="15" x14ac:dyDescent="0.25">
      <c r="A126" s="627" t="s">
        <v>769</v>
      </c>
      <c r="B126" s="622"/>
      <c r="C126" s="624" t="s">
        <v>281</v>
      </c>
      <c r="D126" s="578">
        <v>225750</v>
      </c>
      <c r="E126" s="605"/>
      <c r="F126" s="606"/>
      <c r="G126" s="499">
        <v>360</v>
      </c>
      <c r="H126" s="499">
        <v>0</v>
      </c>
      <c r="I126" s="499">
        <v>360</v>
      </c>
      <c r="J126" s="592">
        <f t="shared" si="29"/>
        <v>720</v>
      </c>
      <c r="K126" s="593"/>
      <c r="L126" s="594">
        <f t="shared" si="27"/>
        <v>720</v>
      </c>
      <c r="M126" s="610" t="s">
        <v>255</v>
      </c>
      <c r="N126" s="501">
        <f t="shared" si="30"/>
        <v>3.9013285001896651</v>
      </c>
      <c r="O126" s="595">
        <f t="shared" si="18"/>
        <v>2809</v>
      </c>
      <c r="P126" s="583"/>
      <c r="Q126" s="1149">
        <v>0</v>
      </c>
      <c r="R126" s="1149">
        <v>0</v>
      </c>
      <c r="S126" s="1149">
        <v>131.59421052631581</v>
      </c>
      <c r="T126" s="593">
        <v>0.2036</v>
      </c>
      <c r="U126" s="595">
        <f t="shared" si="31"/>
        <v>26.792581263157899</v>
      </c>
      <c r="V126" s="583"/>
      <c r="W126" s="432">
        <v>0</v>
      </c>
      <c r="X126" s="432">
        <v>0</v>
      </c>
      <c r="Y126" s="432">
        <v>0</v>
      </c>
      <c r="Z126" s="593">
        <v>1.7611399999999999</v>
      </c>
      <c r="AA126" s="596">
        <f t="shared" si="32"/>
        <v>0</v>
      </c>
      <c r="AB126" s="578"/>
      <c r="AC126" s="611"/>
      <c r="AD126" s="585"/>
      <c r="AE126" s="611"/>
      <c r="AF126" s="585"/>
      <c r="AG126" s="611"/>
      <c r="AH126" s="578"/>
      <c r="AI126" s="612"/>
      <c r="AJ126" s="613"/>
      <c r="AK126" s="600">
        <f t="shared" si="19"/>
        <v>0</v>
      </c>
      <c r="AL126" s="578"/>
      <c r="AM126" s="1150">
        <v>0</v>
      </c>
      <c r="AN126" s="1150">
        <v>0</v>
      </c>
      <c r="AO126" s="1150">
        <v>0</v>
      </c>
      <c r="AP126" s="593">
        <v>0.2036</v>
      </c>
      <c r="AQ126" s="595">
        <f t="shared" si="33"/>
        <v>0</v>
      </c>
      <c r="AR126" s="578"/>
      <c r="AS126" s="601">
        <f t="shared" si="34"/>
        <v>2835.7925812631579</v>
      </c>
      <c r="AT126" s="586"/>
      <c r="AU126" s="512"/>
      <c r="AV126" s="512"/>
      <c r="AW126" s="512">
        <f t="shared" si="28"/>
        <v>2835.7925812631579</v>
      </c>
      <c r="AX126" s="602"/>
      <c r="AY126" s="574"/>
      <c r="AZ126" s="438"/>
      <c r="BC126" s="621" t="s">
        <v>564</v>
      </c>
    </row>
    <row r="127" spans="1:55" s="588" customFormat="1" ht="15" x14ac:dyDescent="0.25">
      <c r="A127" s="437" t="s">
        <v>770</v>
      </c>
      <c r="B127" s="437"/>
      <c r="C127" s="625" t="s">
        <v>771</v>
      </c>
      <c r="D127" s="578">
        <v>453657</v>
      </c>
      <c r="E127" s="605"/>
      <c r="F127" s="606"/>
      <c r="G127" s="499">
        <v>0</v>
      </c>
      <c r="H127" s="499">
        <v>0</v>
      </c>
      <c r="I127" s="499">
        <v>0</v>
      </c>
      <c r="J127" s="592">
        <f t="shared" si="29"/>
        <v>0</v>
      </c>
      <c r="K127" s="593"/>
      <c r="L127" s="594">
        <f t="shared" si="27"/>
        <v>0</v>
      </c>
      <c r="M127" s="610" t="s">
        <v>255</v>
      </c>
      <c r="N127" s="501">
        <f t="shared" si="30"/>
        <v>3.9013285001896651</v>
      </c>
      <c r="O127" s="595">
        <f t="shared" si="18"/>
        <v>0</v>
      </c>
      <c r="P127" s="583"/>
      <c r="Q127" s="1149">
        <v>0</v>
      </c>
      <c r="R127" s="1149">
        <v>0</v>
      </c>
      <c r="S127" s="1149">
        <v>0</v>
      </c>
      <c r="T127" s="593">
        <v>0.2036</v>
      </c>
      <c r="U127" s="595">
        <f t="shared" si="31"/>
        <v>0</v>
      </c>
      <c r="V127" s="583"/>
      <c r="W127" s="432">
        <v>0</v>
      </c>
      <c r="X127" s="432">
        <v>0</v>
      </c>
      <c r="Y127" s="432">
        <v>0</v>
      </c>
      <c r="Z127" s="593">
        <v>1.7611399999999999</v>
      </c>
      <c r="AA127" s="596">
        <f t="shared" si="32"/>
        <v>0</v>
      </c>
      <c r="AB127" s="578"/>
      <c r="AC127" s="611"/>
      <c r="AD127" s="585"/>
      <c r="AE127" s="611"/>
      <c r="AF127" s="585"/>
      <c r="AG127" s="611"/>
      <c r="AH127" s="578"/>
      <c r="AI127" s="612"/>
      <c r="AJ127" s="613"/>
      <c r="AK127" s="600">
        <f t="shared" si="19"/>
        <v>0</v>
      </c>
      <c r="AL127" s="578"/>
      <c r="AM127" s="1150">
        <v>0</v>
      </c>
      <c r="AN127" s="1150">
        <v>0</v>
      </c>
      <c r="AO127" s="1150">
        <v>0</v>
      </c>
      <c r="AP127" s="593">
        <v>0.2036</v>
      </c>
      <c r="AQ127" s="595">
        <f t="shared" si="33"/>
        <v>0</v>
      </c>
      <c r="AR127" s="578"/>
      <c r="AS127" s="601">
        <f t="shared" si="34"/>
        <v>0</v>
      </c>
      <c r="AT127" s="586"/>
      <c r="AU127" s="512"/>
      <c r="AV127" s="512"/>
      <c r="AW127" s="512">
        <f t="shared" si="28"/>
        <v>0</v>
      </c>
      <c r="AX127" s="602"/>
      <c r="AY127" s="574"/>
      <c r="AZ127" s="438"/>
      <c r="BC127" s="621" t="s">
        <v>1279</v>
      </c>
    </row>
    <row r="128" spans="1:55" s="588" customFormat="1" ht="15" x14ac:dyDescent="0.25">
      <c r="A128" s="437" t="s">
        <v>1427</v>
      </c>
      <c r="B128" s="437"/>
      <c r="C128" s="625">
        <v>484039</v>
      </c>
      <c r="D128" s="578">
        <v>484039</v>
      </c>
      <c r="E128" s="605"/>
      <c r="F128" s="606"/>
      <c r="G128" s="499">
        <v>324</v>
      </c>
      <c r="H128" s="499">
        <v>336</v>
      </c>
      <c r="I128" s="499">
        <v>720</v>
      </c>
      <c r="J128" s="592">
        <f t="shared" si="29"/>
        <v>1380</v>
      </c>
      <c r="K128" s="593"/>
      <c r="L128" s="594">
        <f t="shared" si="27"/>
        <v>1380</v>
      </c>
      <c r="M128" s="610" t="s">
        <v>255</v>
      </c>
      <c r="N128" s="501">
        <f t="shared" si="30"/>
        <v>3.9013285001896651</v>
      </c>
      <c r="O128" s="595">
        <f t="shared" si="18"/>
        <v>5384</v>
      </c>
      <c r="P128" s="583"/>
      <c r="Q128" s="1149">
        <v>0</v>
      </c>
      <c r="R128" s="1149">
        <v>0</v>
      </c>
      <c r="S128" s="1149">
        <v>0</v>
      </c>
      <c r="T128" s="593">
        <v>0.2036</v>
      </c>
      <c r="U128" s="595">
        <f t="shared" si="31"/>
        <v>0</v>
      </c>
      <c r="V128" s="583"/>
      <c r="W128" s="432">
        <v>0</v>
      </c>
      <c r="X128" s="432">
        <v>0</v>
      </c>
      <c r="Y128" s="432">
        <v>0</v>
      </c>
      <c r="Z128" s="593">
        <v>1.7611399999999999</v>
      </c>
      <c r="AA128" s="596">
        <f t="shared" si="32"/>
        <v>0</v>
      </c>
      <c r="AB128" s="578"/>
      <c r="AC128" s="611"/>
      <c r="AD128" s="585"/>
      <c r="AE128" s="611"/>
      <c r="AF128" s="585"/>
      <c r="AG128" s="611"/>
      <c r="AH128" s="578"/>
      <c r="AI128" s="612"/>
      <c r="AJ128" s="613"/>
      <c r="AK128" s="600">
        <f t="shared" si="19"/>
        <v>0</v>
      </c>
      <c r="AL128" s="578"/>
      <c r="AM128" s="1150">
        <v>0</v>
      </c>
      <c r="AN128" s="1150">
        <v>0</v>
      </c>
      <c r="AO128" s="1150">
        <v>0</v>
      </c>
      <c r="AP128" s="593">
        <v>0.2036</v>
      </c>
      <c r="AQ128" s="595">
        <f t="shared" si="33"/>
        <v>0</v>
      </c>
      <c r="AR128" s="578"/>
      <c r="AS128" s="601">
        <f t="shared" si="34"/>
        <v>5384</v>
      </c>
      <c r="AT128" s="586"/>
      <c r="AU128" s="512"/>
      <c r="AV128" s="512"/>
      <c r="AW128" s="512">
        <f t="shared" si="28"/>
        <v>5384</v>
      </c>
      <c r="AX128" s="602"/>
      <c r="AY128" s="574"/>
      <c r="AZ128" s="438"/>
      <c r="BC128" s="621" t="s">
        <v>1384</v>
      </c>
    </row>
    <row r="129" spans="1:55" s="588" customFormat="1" ht="15" x14ac:dyDescent="0.25">
      <c r="A129" s="632" t="s">
        <v>772</v>
      </c>
      <c r="B129" s="622"/>
      <c r="C129" s="624" t="s">
        <v>282</v>
      </c>
      <c r="D129" s="578">
        <v>360259</v>
      </c>
      <c r="E129" s="605"/>
      <c r="F129" s="606"/>
      <c r="G129" s="499">
        <v>144</v>
      </c>
      <c r="H129" s="499">
        <v>0</v>
      </c>
      <c r="I129" s="499">
        <v>0</v>
      </c>
      <c r="J129" s="592">
        <f t="shared" si="29"/>
        <v>144</v>
      </c>
      <c r="K129" s="593"/>
      <c r="L129" s="594">
        <f t="shared" si="27"/>
        <v>144</v>
      </c>
      <c r="M129" s="610" t="s">
        <v>255</v>
      </c>
      <c r="N129" s="501">
        <f t="shared" si="30"/>
        <v>3.9013285001896651</v>
      </c>
      <c r="O129" s="595">
        <f t="shared" si="18"/>
        <v>562</v>
      </c>
      <c r="P129" s="583"/>
      <c r="Q129" s="1149">
        <v>0</v>
      </c>
      <c r="R129" s="1149">
        <v>0</v>
      </c>
      <c r="S129" s="1149">
        <v>0</v>
      </c>
      <c r="T129" s="593">
        <v>0.2036</v>
      </c>
      <c r="U129" s="595">
        <f t="shared" si="31"/>
        <v>0</v>
      </c>
      <c r="V129" s="583"/>
      <c r="W129" s="432">
        <v>0</v>
      </c>
      <c r="X129" s="432">
        <v>0</v>
      </c>
      <c r="Y129" s="432">
        <v>0</v>
      </c>
      <c r="Z129" s="593">
        <v>1.7611399999999999</v>
      </c>
      <c r="AA129" s="596">
        <f t="shared" si="32"/>
        <v>0</v>
      </c>
      <c r="AB129" s="578"/>
      <c r="AC129" s="611"/>
      <c r="AD129" s="585"/>
      <c r="AE129" s="611"/>
      <c r="AF129" s="585"/>
      <c r="AG129" s="611"/>
      <c r="AH129" s="578"/>
      <c r="AI129" s="612"/>
      <c r="AJ129" s="613"/>
      <c r="AK129" s="600">
        <f t="shared" si="19"/>
        <v>0</v>
      </c>
      <c r="AL129" s="578"/>
      <c r="AM129" s="1150">
        <v>0</v>
      </c>
      <c r="AN129" s="1150">
        <v>0</v>
      </c>
      <c r="AO129" s="1150">
        <v>0</v>
      </c>
      <c r="AP129" s="593">
        <v>0.2036</v>
      </c>
      <c r="AQ129" s="595">
        <f t="shared" si="33"/>
        <v>0</v>
      </c>
      <c r="AR129" s="578"/>
      <c r="AS129" s="601">
        <f t="shared" si="34"/>
        <v>562</v>
      </c>
      <c r="AT129" s="586"/>
      <c r="AU129" s="512"/>
      <c r="AV129" s="512"/>
      <c r="AW129" s="512">
        <f t="shared" si="28"/>
        <v>562</v>
      </c>
      <c r="AX129" s="602"/>
      <c r="AY129" s="574"/>
      <c r="AZ129" s="438"/>
      <c r="BB129" s="574"/>
      <c r="BC129" s="621" t="s">
        <v>530</v>
      </c>
    </row>
    <row r="130" spans="1:55" s="588" customFormat="1" ht="15" x14ac:dyDescent="0.25">
      <c r="A130" s="626" t="s">
        <v>773</v>
      </c>
      <c r="B130" s="622"/>
      <c r="C130" s="604" t="s">
        <v>774</v>
      </c>
      <c r="D130" s="578">
        <v>393682</v>
      </c>
      <c r="E130" s="605"/>
      <c r="F130" s="606"/>
      <c r="G130" s="499">
        <v>288</v>
      </c>
      <c r="H130" s="499">
        <v>126</v>
      </c>
      <c r="I130" s="499">
        <v>108</v>
      </c>
      <c r="J130" s="592">
        <f t="shared" si="29"/>
        <v>522</v>
      </c>
      <c r="K130" s="593"/>
      <c r="L130" s="594">
        <f t="shared" si="27"/>
        <v>522</v>
      </c>
      <c r="M130" s="610" t="s">
        <v>255</v>
      </c>
      <c r="N130" s="501">
        <f t="shared" si="30"/>
        <v>3.9013285001896651</v>
      </c>
      <c r="O130" s="595">
        <f t="shared" si="18"/>
        <v>2036</v>
      </c>
      <c r="P130" s="583"/>
      <c r="Q130" s="1149">
        <v>0</v>
      </c>
      <c r="R130" s="1149">
        <v>0</v>
      </c>
      <c r="S130" s="1149">
        <v>0</v>
      </c>
      <c r="T130" s="593">
        <v>0.2036</v>
      </c>
      <c r="U130" s="595">
        <f t="shared" si="31"/>
        <v>0</v>
      </c>
      <c r="V130" s="583"/>
      <c r="W130" s="432">
        <v>0</v>
      </c>
      <c r="X130" s="432">
        <v>0</v>
      </c>
      <c r="Y130" s="432">
        <v>0</v>
      </c>
      <c r="Z130" s="593">
        <v>1.7611399999999999</v>
      </c>
      <c r="AA130" s="596">
        <f t="shared" si="32"/>
        <v>0</v>
      </c>
      <c r="AB130" s="578"/>
      <c r="AC130" s="611"/>
      <c r="AD130" s="585"/>
      <c r="AE130" s="611"/>
      <c r="AF130" s="585"/>
      <c r="AG130" s="611"/>
      <c r="AH130" s="578"/>
      <c r="AI130" s="612"/>
      <c r="AJ130" s="613"/>
      <c r="AK130" s="600">
        <f t="shared" si="19"/>
        <v>0</v>
      </c>
      <c r="AL130" s="578"/>
      <c r="AM130" s="1150">
        <v>0</v>
      </c>
      <c r="AN130" s="1150">
        <v>0</v>
      </c>
      <c r="AO130" s="1150">
        <v>108</v>
      </c>
      <c r="AP130" s="593">
        <v>0.2036</v>
      </c>
      <c r="AQ130" s="595">
        <f t="shared" si="33"/>
        <v>21.988800000000001</v>
      </c>
      <c r="AR130" s="578"/>
      <c r="AS130" s="601">
        <f t="shared" si="34"/>
        <v>2057.9888000000001</v>
      </c>
      <c r="AT130" s="586"/>
      <c r="AU130" s="512"/>
      <c r="AV130" s="512"/>
      <c r="AW130" s="512">
        <f t="shared" si="28"/>
        <v>2057.9888000000001</v>
      </c>
      <c r="AX130" s="602"/>
      <c r="AY130" s="574"/>
      <c r="AZ130" s="438"/>
      <c r="BC130" s="621" t="s">
        <v>1284</v>
      </c>
    </row>
    <row r="131" spans="1:55" s="588" customFormat="1" ht="15" x14ac:dyDescent="0.25">
      <c r="A131" s="626" t="s">
        <v>775</v>
      </c>
      <c r="B131" s="622"/>
      <c r="C131" s="625" t="s">
        <v>776</v>
      </c>
      <c r="D131" s="578">
        <v>395288</v>
      </c>
      <c r="E131" s="605"/>
      <c r="F131" s="606"/>
      <c r="G131" s="499">
        <v>720</v>
      </c>
      <c r="H131" s="499">
        <v>210</v>
      </c>
      <c r="I131" s="499">
        <v>360</v>
      </c>
      <c r="J131" s="592">
        <f t="shared" si="29"/>
        <v>1290</v>
      </c>
      <c r="K131" s="593"/>
      <c r="L131" s="594">
        <f t="shared" si="27"/>
        <v>1290</v>
      </c>
      <c r="M131" s="610" t="s">
        <v>255</v>
      </c>
      <c r="N131" s="501">
        <f t="shared" si="30"/>
        <v>3.9013285001896651</v>
      </c>
      <c r="O131" s="595">
        <f t="shared" si="18"/>
        <v>5033</v>
      </c>
      <c r="P131" s="583"/>
      <c r="Q131" s="1149">
        <v>360</v>
      </c>
      <c r="R131" s="1149">
        <v>140</v>
      </c>
      <c r="S131" s="1149">
        <v>0</v>
      </c>
      <c r="T131" s="593">
        <v>0.2036</v>
      </c>
      <c r="U131" s="595">
        <f t="shared" si="31"/>
        <v>101.8</v>
      </c>
      <c r="V131" s="583"/>
      <c r="W131" s="432">
        <v>0</v>
      </c>
      <c r="X131" s="432">
        <v>0</v>
      </c>
      <c r="Y131" s="432">
        <v>0</v>
      </c>
      <c r="Z131" s="593">
        <v>1.7611399999999999</v>
      </c>
      <c r="AA131" s="596">
        <f t="shared" si="32"/>
        <v>0</v>
      </c>
      <c r="AB131" s="578"/>
      <c r="AC131" s="611"/>
      <c r="AD131" s="585"/>
      <c r="AE131" s="611"/>
      <c r="AF131" s="585"/>
      <c r="AG131" s="611"/>
      <c r="AH131" s="578"/>
      <c r="AI131" s="612"/>
      <c r="AJ131" s="613"/>
      <c r="AK131" s="600">
        <f t="shared" si="19"/>
        <v>0</v>
      </c>
      <c r="AL131" s="578"/>
      <c r="AM131" s="1150">
        <v>0</v>
      </c>
      <c r="AN131" s="1150">
        <v>0</v>
      </c>
      <c r="AO131" s="1150">
        <v>0</v>
      </c>
      <c r="AP131" s="593">
        <v>0.2036</v>
      </c>
      <c r="AQ131" s="595">
        <f t="shared" si="33"/>
        <v>0</v>
      </c>
      <c r="AR131" s="578"/>
      <c r="AS131" s="601">
        <f t="shared" si="34"/>
        <v>5134.8</v>
      </c>
      <c r="AT131" s="586"/>
      <c r="AU131" s="512"/>
      <c r="AV131" s="512"/>
      <c r="AW131" s="512">
        <f t="shared" si="28"/>
        <v>5134.8</v>
      </c>
      <c r="AX131" s="602"/>
      <c r="AY131" s="574"/>
      <c r="AZ131" s="438"/>
      <c r="BC131" s="621" t="s">
        <v>1285</v>
      </c>
    </row>
    <row r="132" spans="1:55" s="588" customFormat="1" ht="15" x14ac:dyDescent="0.25">
      <c r="A132" s="621" t="s">
        <v>777</v>
      </c>
      <c r="B132" s="622"/>
      <c r="C132" s="624" t="s">
        <v>284</v>
      </c>
      <c r="D132" s="578">
        <v>278371</v>
      </c>
      <c r="E132" s="605"/>
      <c r="F132" s="606"/>
      <c r="G132" s="499">
        <v>432</v>
      </c>
      <c r="H132" s="499">
        <v>294</v>
      </c>
      <c r="I132" s="499">
        <v>252</v>
      </c>
      <c r="J132" s="592">
        <f t="shared" si="29"/>
        <v>978</v>
      </c>
      <c r="K132" s="593"/>
      <c r="L132" s="594">
        <f t="shared" si="27"/>
        <v>978</v>
      </c>
      <c r="M132" s="610" t="s">
        <v>255</v>
      </c>
      <c r="N132" s="501">
        <f t="shared" si="30"/>
        <v>3.9013285001896651</v>
      </c>
      <c r="O132" s="595">
        <f t="shared" si="18"/>
        <v>3815</v>
      </c>
      <c r="P132" s="583"/>
      <c r="Q132" s="1149">
        <v>0</v>
      </c>
      <c r="R132" s="1149">
        <v>0</v>
      </c>
      <c r="S132" s="1149">
        <v>347.85043062200953</v>
      </c>
      <c r="T132" s="593">
        <v>0.2036</v>
      </c>
      <c r="U132" s="595">
        <f t="shared" si="31"/>
        <v>70.822347674641136</v>
      </c>
      <c r="V132" s="583"/>
      <c r="W132" s="432">
        <v>0</v>
      </c>
      <c r="X132" s="432">
        <v>0</v>
      </c>
      <c r="Y132" s="432">
        <v>0</v>
      </c>
      <c r="Z132" s="593">
        <v>1.7611399999999999</v>
      </c>
      <c r="AA132" s="596">
        <f t="shared" si="32"/>
        <v>0</v>
      </c>
      <c r="AB132" s="578"/>
      <c r="AC132" s="611"/>
      <c r="AD132" s="585"/>
      <c r="AE132" s="611"/>
      <c r="AF132" s="585"/>
      <c r="AG132" s="611"/>
      <c r="AH132" s="578"/>
      <c r="AI132" s="612"/>
      <c r="AJ132" s="613"/>
      <c r="AK132" s="600">
        <f t="shared" si="19"/>
        <v>0</v>
      </c>
      <c r="AL132" s="578"/>
      <c r="AM132" s="1150">
        <v>0</v>
      </c>
      <c r="AN132" s="1150">
        <v>0</v>
      </c>
      <c r="AO132" s="1150">
        <v>0</v>
      </c>
      <c r="AP132" s="593">
        <v>0.2036</v>
      </c>
      <c r="AQ132" s="595">
        <f t="shared" si="33"/>
        <v>0</v>
      </c>
      <c r="AR132" s="578"/>
      <c r="AS132" s="601">
        <f t="shared" si="34"/>
        <v>3885.8223476746412</v>
      </c>
      <c r="AT132" s="586"/>
      <c r="AU132" s="512"/>
      <c r="AV132" s="512"/>
      <c r="AW132" s="512">
        <f t="shared" si="28"/>
        <v>3885.8223476746412</v>
      </c>
      <c r="AX132" s="602"/>
      <c r="AY132" s="574"/>
      <c r="AZ132" s="438"/>
      <c r="BC132" s="621" t="s">
        <v>531</v>
      </c>
    </row>
    <row r="133" spans="1:55" s="588" customFormat="1" ht="15" x14ac:dyDescent="0.25">
      <c r="A133" s="621" t="s">
        <v>778</v>
      </c>
      <c r="B133" s="622"/>
      <c r="C133" s="624" t="s">
        <v>283</v>
      </c>
      <c r="D133" s="578">
        <v>268223</v>
      </c>
      <c r="E133" s="605"/>
      <c r="F133" s="606"/>
      <c r="G133" s="499">
        <v>510</v>
      </c>
      <c r="H133" s="499">
        <v>210</v>
      </c>
      <c r="I133" s="499">
        <v>0</v>
      </c>
      <c r="J133" s="592">
        <f t="shared" si="29"/>
        <v>720</v>
      </c>
      <c r="K133" s="593"/>
      <c r="L133" s="594">
        <f t="shared" si="27"/>
        <v>720</v>
      </c>
      <c r="M133" s="610" t="s">
        <v>255</v>
      </c>
      <c r="N133" s="501">
        <f t="shared" si="30"/>
        <v>3.9013285001896651</v>
      </c>
      <c r="O133" s="595">
        <f t="shared" si="18"/>
        <v>2809</v>
      </c>
      <c r="P133" s="583"/>
      <c r="Q133" s="1149">
        <v>510</v>
      </c>
      <c r="R133" s="1149">
        <v>0</v>
      </c>
      <c r="S133" s="1149">
        <v>0</v>
      </c>
      <c r="T133" s="593">
        <v>0.2036</v>
      </c>
      <c r="U133" s="595">
        <f t="shared" si="31"/>
        <v>103.836</v>
      </c>
      <c r="V133" s="583"/>
      <c r="W133" s="432">
        <v>0</v>
      </c>
      <c r="X133" s="432">
        <v>0</v>
      </c>
      <c r="Y133" s="432">
        <v>0</v>
      </c>
      <c r="Z133" s="593">
        <v>1.7611399999999999</v>
      </c>
      <c r="AA133" s="596">
        <f t="shared" si="32"/>
        <v>0</v>
      </c>
      <c r="AB133" s="578"/>
      <c r="AC133" s="611"/>
      <c r="AD133" s="585"/>
      <c r="AE133" s="611"/>
      <c r="AF133" s="585"/>
      <c r="AG133" s="611"/>
      <c r="AH133" s="578"/>
      <c r="AI133" s="612"/>
      <c r="AJ133" s="613"/>
      <c r="AK133" s="600">
        <f t="shared" si="19"/>
        <v>0</v>
      </c>
      <c r="AL133" s="578"/>
      <c r="AM133" s="1150">
        <v>0</v>
      </c>
      <c r="AN133" s="1150">
        <v>0</v>
      </c>
      <c r="AO133" s="1150">
        <v>0</v>
      </c>
      <c r="AP133" s="593">
        <v>0.2036</v>
      </c>
      <c r="AQ133" s="595">
        <f t="shared" si="33"/>
        <v>0</v>
      </c>
      <c r="AR133" s="578"/>
      <c r="AS133" s="601">
        <f t="shared" si="34"/>
        <v>2912.8359999999998</v>
      </c>
      <c r="AT133" s="586"/>
      <c r="AU133" s="512"/>
      <c r="AV133" s="512"/>
      <c r="AW133" s="512">
        <f t="shared" si="28"/>
        <v>2912.8359999999998</v>
      </c>
      <c r="AX133" s="602"/>
      <c r="AY133" s="574"/>
      <c r="AZ133" s="438"/>
      <c r="BC133" s="621" t="s">
        <v>532</v>
      </c>
    </row>
    <row r="134" spans="1:55" s="588" customFormat="1" ht="15" x14ac:dyDescent="0.25">
      <c r="A134" s="629" t="s">
        <v>779</v>
      </c>
      <c r="B134" s="634"/>
      <c r="C134" s="625">
        <v>206031</v>
      </c>
      <c r="D134" s="578">
        <v>206031</v>
      </c>
      <c r="E134" s="605"/>
      <c r="F134" s="606"/>
      <c r="G134" s="499">
        <v>540</v>
      </c>
      <c r="H134" s="499">
        <v>420</v>
      </c>
      <c r="I134" s="499">
        <v>360</v>
      </c>
      <c r="J134" s="592">
        <f t="shared" si="29"/>
        <v>1320</v>
      </c>
      <c r="K134" s="593"/>
      <c r="L134" s="594">
        <f t="shared" si="27"/>
        <v>1320</v>
      </c>
      <c r="M134" s="610" t="s">
        <v>255</v>
      </c>
      <c r="N134" s="501">
        <f t="shared" si="30"/>
        <v>3.9013285001896651</v>
      </c>
      <c r="O134" s="595">
        <f t="shared" si="18"/>
        <v>5150</v>
      </c>
      <c r="P134" s="583"/>
      <c r="Q134" s="1149">
        <v>0</v>
      </c>
      <c r="R134" s="1149">
        <v>210</v>
      </c>
      <c r="S134" s="1149">
        <v>240</v>
      </c>
      <c r="T134" s="593">
        <v>0.2036</v>
      </c>
      <c r="U134" s="595">
        <f t="shared" si="31"/>
        <v>91.62</v>
      </c>
      <c r="V134" s="583"/>
      <c r="W134" s="432">
        <v>0</v>
      </c>
      <c r="X134" s="432">
        <v>0</v>
      </c>
      <c r="Y134" s="432">
        <v>0</v>
      </c>
      <c r="Z134" s="593">
        <v>1.7611399999999999</v>
      </c>
      <c r="AA134" s="596">
        <f t="shared" si="32"/>
        <v>0</v>
      </c>
      <c r="AB134" s="578"/>
      <c r="AC134" s="611"/>
      <c r="AD134" s="585"/>
      <c r="AE134" s="611"/>
      <c r="AF134" s="585"/>
      <c r="AG134" s="611"/>
      <c r="AH134" s="578"/>
      <c r="AI134" s="612"/>
      <c r="AJ134" s="613"/>
      <c r="AK134" s="600">
        <f t="shared" si="19"/>
        <v>0</v>
      </c>
      <c r="AL134" s="578"/>
      <c r="AM134" s="1150">
        <v>0</v>
      </c>
      <c r="AN134" s="1150">
        <v>0</v>
      </c>
      <c r="AO134" s="1150">
        <v>0</v>
      </c>
      <c r="AP134" s="593">
        <v>0.2036</v>
      </c>
      <c r="AQ134" s="595">
        <f t="shared" si="33"/>
        <v>0</v>
      </c>
      <c r="AR134" s="578"/>
      <c r="AS134" s="601">
        <f t="shared" si="34"/>
        <v>5241.62</v>
      </c>
      <c r="AT134" s="586"/>
      <c r="AU134" s="512"/>
      <c r="AV134" s="512"/>
      <c r="AW134" s="512">
        <f t="shared" si="28"/>
        <v>5241.62</v>
      </c>
      <c r="AX134" s="602"/>
      <c r="AY134" s="574"/>
      <c r="AZ134" s="438"/>
      <c r="BC134" s="621" t="s">
        <v>1280</v>
      </c>
    </row>
    <row r="135" spans="1:55" s="588" customFormat="1" ht="15" x14ac:dyDescent="0.25">
      <c r="A135" s="627" t="s">
        <v>780</v>
      </c>
      <c r="B135" s="635"/>
      <c r="C135" s="625" t="s">
        <v>781</v>
      </c>
      <c r="D135" s="578">
        <v>406938</v>
      </c>
      <c r="E135" s="605"/>
      <c r="F135" s="606"/>
      <c r="G135" s="499">
        <v>540</v>
      </c>
      <c r="H135" s="499">
        <v>210</v>
      </c>
      <c r="I135" s="499">
        <v>180</v>
      </c>
      <c r="J135" s="592">
        <f t="shared" si="29"/>
        <v>930</v>
      </c>
      <c r="K135" s="593"/>
      <c r="L135" s="594">
        <f t="shared" si="27"/>
        <v>930</v>
      </c>
      <c r="M135" s="610" t="s">
        <v>255</v>
      </c>
      <c r="N135" s="501">
        <f t="shared" si="30"/>
        <v>3.9013285001896651</v>
      </c>
      <c r="O135" s="595">
        <f t="shared" si="18"/>
        <v>3628</v>
      </c>
      <c r="P135" s="583"/>
      <c r="Q135" s="1149">
        <v>0</v>
      </c>
      <c r="R135" s="1149">
        <v>0</v>
      </c>
      <c r="S135" s="1149">
        <v>0</v>
      </c>
      <c r="T135" s="593">
        <v>0.2036</v>
      </c>
      <c r="U135" s="595">
        <f t="shared" si="31"/>
        <v>0</v>
      </c>
      <c r="V135" s="583"/>
      <c r="W135" s="432">
        <v>0</v>
      </c>
      <c r="X135" s="432">
        <v>0</v>
      </c>
      <c r="Y135" s="432">
        <v>0</v>
      </c>
      <c r="Z135" s="593">
        <v>1.7611399999999999</v>
      </c>
      <c r="AA135" s="596">
        <f t="shared" si="32"/>
        <v>0</v>
      </c>
      <c r="AB135" s="578"/>
      <c r="AC135" s="611"/>
      <c r="AD135" s="585"/>
      <c r="AE135" s="611"/>
      <c r="AF135" s="585"/>
      <c r="AG135" s="611"/>
      <c r="AH135" s="578"/>
      <c r="AI135" s="612"/>
      <c r="AJ135" s="613"/>
      <c r="AK135" s="600">
        <f t="shared" si="19"/>
        <v>0</v>
      </c>
      <c r="AL135" s="578"/>
      <c r="AM135" s="1150">
        <v>0</v>
      </c>
      <c r="AN135" s="1150">
        <v>0</v>
      </c>
      <c r="AO135" s="1150">
        <v>0</v>
      </c>
      <c r="AP135" s="593">
        <v>0.2036</v>
      </c>
      <c r="AQ135" s="595">
        <f t="shared" si="33"/>
        <v>0</v>
      </c>
      <c r="AR135" s="578"/>
      <c r="AS135" s="601">
        <f t="shared" si="34"/>
        <v>3628</v>
      </c>
      <c r="AT135" s="586"/>
      <c r="AU135" s="512"/>
      <c r="AV135" s="512"/>
      <c r="AW135" s="512">
        <f t="shared" si="28"/>
        <v>3628</v>
      </c>
      <c r="AX135" s="602"/>
      <c r="AY135" s="574"/>
      <c r="AZ135" s="438"/>
      <c r="BB135" s="574"/>
      <c r="BC135" s="621" t="s">
        <v>1281</v>
      </c>
    </row>
    <row r="136" spans="1:55" s="588" customFormat="1" ht="15" x14ac:dyDescent="0.25">
      <c r="A136" s="627" t="s">
        <v>782</v>
      </c>
      <c r="B136" s="437"/>
      <c r="C136" s="625">
        <v>206067</v>
      </c>
      <c r="D136" s="578">
        <v>206067</v>
      </c>
      <c r="E136" s="605"/>
      <c r="F136" s="606"/>
      <c r="G136" s="499">
        <v>0</v>
      </c>
      <c r="H136" s="499">
        <v>0</v>
      </c>
      <c r="I136" s="499">
        <v>180</v>
      </c>
      <c r="J136" s="592">
        <f t="shared" si="29"/>
        <v>180</v>
      </c>
      <c r="K136" s="593"/>
      <c r="L136" s="594">
        <f t="shared" si="27"/>
        <v>180</v>
      </c>
      <c r="M136" s="610" t="s">
        <v>255</v>
      </c>
      <c r="N136" s="501">
        <f t="shared" si="30"/>
        <v>3.9013285001896651</v>
      </c>
      <c r="O136" s="595">
        <f t="shared" si="18"/>
        <v>702</v>
      </c>
      <c r="P136" s="583"/>
      <c r="Q136" s="1149">
        <v>0</v>
      </c>
      <c r="R136" s="1149">
        <v>0</v>
      </c>
      <c r="S136" s="1149">
        <v>0</v>
      </c>
      <c r="T136" s="593">
        <v>0.2036</v>
      </c>
      <c r="U136" s="595">
        <f t="shared" si="31"/>
        <v>0</v>
      </c>
      <c r="V136" s="583"/>
      <c r="W136" s="432">
        <v>0</v>
      </c>
      <c r="X136" s="432">
        <v>0</v>
      </c>
      <c r="Y136" s="432">
        <v>0</v>
      </c>
      <c r="Z136" s="593">
        <v>1.7611399999999999</v>
      </c>
      <c r="AA136" s="596">
        <f t="shared" si="32"/>
        <v>0</v>
      </c>
      <c r="AB136" s="578"/>
      <c r="AC136" s="611"/>
      <c r="AD136" s="585"/>
      <c r="AE136" s="611"/>
      <c r="AF136" s="585"/>
      <c r="AG136" s="611"/>
      <c r="AH136" s="578"/>
      <c r="AI136" s="612"/>
      <c r="AJ136" s="613"/>
      <c r="AK136" s="600">
        <f t="shared" si="19"/>
        <v>0</v>
      </c>
      <c r="AL136" s="578"/>
      <c r="AM136" s="1150">
        <v>0</v>
      </c>
      <c r="AN136" s="1150">
        <v>0</v>
      </c>
      <c r="AO136" s="1150">
        <v>180</v>
      </c>
      <c r="AP136" s="593">
        <v>0.2036</v>
      </c>
      <c r="AQ136" s="595">
        <f t="shared" si="33"/>
        <v>36.648000000000003</v>
      </c>
      <c r="AR136" s="578"/>
      <c r="AS136" s="601">
        <f t="shared" si="34"/>
        <v>738.64800000000002</v>
      </c>
      <c r="AT136" s="586"/>
      <c r="AU136" s="512"/>
      <c r="AV136" s="512"/>
      <c r="AW136" s="512">
        <f t="shared" si="28"/>
        <v>738.64800000000002</v>
      </c>
      <c r="AX136" s="602"/>
      <c r="AY136" s="574"/>
      <c r="AZ136" s="438"/>
      <c r="BB136" s="574"/>
      <c r="BC136" s="621" t="s">
        <v>1288</v>
      </c>
    </row>
    <row r="137" spans="1:55" s="588" customFormat="1" ht="15" x14ac:dyDescent="0.25">
      <c r="A137" s="632" t="s">
        <v>783</v>
      </c>
      <c r="B137" s="636"/>
      <c r="C137" s="625">
        <v>205978</v>
      </c>
      <c r="D137" s="578">
        <v>205978</v>
      </c>
      <c r="E137" s="605"/>
      <c r="F137" s="606"/>
      <c r="G137" s="499">
        <v>1440</v>
      </c>
      <c r="H137" s="499">
        <v>630</v>
      </c>
      <c r="I137" s="499">
        <v>1620</v>
      </c>
      <c r="J137" s="592">
        <f t="shared" si="29"/>
        <v>3690</v>
      </c>
      <c r="K137" s="593"/>
      <c r="L137" s="594">
        <f t="shared" si="27"/>
        <v>3690</v>
      </c>
      <c r="M137" s="610" t="s">
        <v>255</v>
      </c>
      <c r="N137" s="501">
        <f t="shared" si="30"/>
        <v>3.9013285001896651</v>
      </c>
      <c r="O137" s="595">
        <f t="shared" si="18"/>
        <v>14396</v>
      </c>
      <c r="P137" s="583"/>
      <c r="Q137" s="1149">
        <v>1440</v>
      </c>
      <c r="R137" s="1149">
        <v>420</v>
      </c>
      <c r="S137" s="1149">
        <v>180</v>
      </c>
      <c r="T137" s="593">
        <v>0.2036</v>
      </c>
      <c r="U137" s="595">
        <f t="shared" si="31"/>
        <v>415.34399999999999</v>
      </c>
      <c r="V137" s="583"/>
      <c r="W137" s="432">
        <v>0</v>
      </c>
      <c r="X137" s="432">
        <v>0</v>
      </c>
      <c r="Y137" s="432">
        <v>0</v>
      </c>
      <c r="Z137" s="593">
        <v>1.7611399999999999</v>
      </c>
      <c r="AA137" s="596">
        <f t="shared" si="32"/>
        <v>0</v>
      </c>
      <c r="AB137" s="578"/>
      <c r="AC137" s="611"/>
      <c r="AD137" s="585"/>
      <c r="AE137" s="611"/>
      <c r="AF137" s="585"/>
      <c r="AG137" s="611"/>
      <c r="AH137" s="578"/>
      <c r="AI137" s="612"/>
      <c r="AJ137" s="613"/>
      <c r="AK137" s="600">
        <f t="shared" si="19"/>
        <v>0</v>
      </c>
      <c r="AL137" s="578"/>
      <c r="AM137" s="1150">
        <v>0</v>
      </c>
      <c r="AN137" s="1150">
        <v>0</v>
      </c>
      <c r="AO137" s="1150">
        <v>0</v>
      </c>
      <c r="AP137" s="593">
        <v>0.2036</v>
      </c>
      <c r="AQ137" s="595">
        <f t="shared" si="33"/>
        <v>0</v>
      </c>
      <c r="AR137" s="578"/>
      <c r="AS137" s="601">
        <f t="shared" si="34"/>
        <v>14811.343999999999</v>
      </c>
      <c r="AT137" s="586"/>
      <c r="AU137" s="512"/>
      <c r="AV137" s="512"/>
      <c r="AW137" s="512">
        <f t="shared" si="28"/>
        <v>14811.343999999999</v>
      </c>
      <c r="AX137" s="602"/>
      <c r="AY137" s="574"/>
      <c r="AZ137" s="438"/>
      <c r="BC137" s="621" t="s">
        <v>563</v>
      </c>
    </row>
    <row r="138" spans="1:55" s="588" customFormat="1" ht="15" x14ac:dyDescent="0.25">
      <c r="A138" s="627" t="s">
        <v>784</v>
      </c>
      <c r="B138" s="437"/>
      <c r="C138" s="529">
        <v>260848</v>
      </c>
      <c r="D138" s="578">
        <v>260848</v>
      </c>
      <c r="E138" s="605"/>
      <c r="F138" s="606"/>
      <c r="G138" s="499">
        <v>540</v>
      </c>
      <c r="H138" s="499">
        <v>210</v>
      </c>
      <c r="I138" s="499">
        <v>180</v>
      </c>
      <c r="J138" s="592">
        <f t="shared" si="29"/>
        <v>930</v>
      </c>
      <c r="K138" s="593"/>
      <c r="L138" s="594">
        <f t="shared" si="27"/>
        <v>930</v>
      </c>
      <c r="M138" s="610" t="s">
        <v>255</v>
      </c>
      <c r="N138" s="501">
        <f t="shared" si="30"/>
        <v>3.9013285001896651</v>
      </c>
      <c r="O138" s="595">
        <f t="shared" si="18"/>
        <v>3628</v>
      </c>
      <c r="P138" s="583"/>
      <c r="Q138" s="1149">
        <v>955.38461538461536</v>
      </c>
      <c r="R138" s="1149">
        <v>210</v>
      </c>
      <c r="S138" s="1149">
        <v>0</v>
      </c>
      <c r="T138" s="593">
        <v>0.2036</v>
      </c>
      <c r="U138" s="595">
        <f t="shared" si="31"/>
        <v>237.27230769230766</v>
      </c>
      <c r="V138" s="583"/>
      <c r="W138" s="432">
        <v>0</v>
      </c>
      <c r="X138" s="432">
        <v>210</v>
      </c>
      <c r="Y138" s="432">
        <v>0</v>
      </c>
      <c r="Z138" s="593">
        <v>1.7611399999999999</v>
      </c>
      <c r="AA138" s="596">
        <f t="shared" si="32"/>
        <v>369.83940000000001</v>
      </c>
      <c r="AB138" s="578"/>
      <c r="AC138" s="611"/>
      <c r="AD138" s="585"/>
      <c r="AE138" s="611"/>
      <c r="AF138" s="585"/>
      <c r="AG138" s="611"/>
      <c r="AH138" s="578"/>
      <c r="AI138" s="612"/>
      <c r="AJ138" s="613"/>
      <c r="AK138" s="600">
        <f t="shared" si="19"/>
        <v>0</v>
      </c>
      <c r="AL138" s="578"/>
      <c r="AM138" s="1150">
        <v>0</v>
      </c>
      <c r="AN138" s="1150">
        <v>0</v>
      </c>
      <c r="AO138" s="1150">
        <v>0</v>
      </c>
      <c r="AP138" s="593">
        <v>0.2036</v>
      </c>
      <c r="AQ138" s="595">
        <f t="shared" si="33"/>
        <v>0</v>
      </c>
      <c r="AR138" s="578"/>
      <c r="AS138" s="601">
        <f t="shared" si="34"/>
        <v>4235.1117076923074</v>
      </c>
      <c r="AT138" s="586"/>
      <c r="AU138" s="512"/>
      <c r="AV138" s="512"/>
      <c r="AW138" s="512">
        <f t="shared" si="28"/>
        <v>4235.1117076923074</v>
      </c>
      <c r="AX138" s="602"/>
      <c r="AY138" s="574"/>
      <c r="AZ138" s="438"/>
      <c r="BC138" s="621" t="s">
        <v>1289</v>
      </c>
    </row>
    <row r="139" spans="1:55" s="588" customFormat="1" ht="15" x14ac:dyDescent="0.25">
      <c r="A139" s="627" t="s">
        <v>785</v>
      </c>
      <c r="B139" s="622"/>
      <c r="C139" s="624">
        <v>206043</v>
      </c>
      <c r="D139" s="578">
        <v>206043</v>
      </c>
      <c r="E139" s="605"/>
      <c r="F139" s="606"/>
      <c r="G139" s="499">
        <v>0</v>
      </c>
      <c r="H139" s="499">
        <v>0</v>
      </c>
      <c r="I139" s="499">
        <v>0</v>
      </c>
      <c r="J139" s="592">
        <f t="shared" si="29"/>
        <v>0</v>
      </c>
      <c r="K139" s="593"/>
      <c r="L139" s="594">
        <f t="shared" si="27"/>
        <v>0</v>
      </c>
      <c r="M139" s="610" t="s">
        <v>255</v>
      </c>
      <c r="N139" s="501">
        <f t="shared" si="30"/>
        <v>3.9013285001896651</v>
      </c>
      <c r="O139" s="595">
        <f t="shared" si="18"/>
        <v>0</v>
      </c>
      <c r="P139" s="583"/>
      <c r="Q139" s="1149">
        <v>0</v>
      </c>
      <c r="R139" s="1149">
        <v>0</v>
      </c>
      <c r="S139" s="1149">
        <v>0</v>
      </c>
      <c r="T139" s="593">
        <v>0.2036</v>
      </c>
      <c r="U139" s="595">
        <f t="shared" si="31"/>
        <v>0</v>
      </c>
      <c r="V139" s="583"/>
      <c r="W139" s="432">
        <v>0</v>
      </c>
      <c r="X139" s="432">
        <v>0</v>
      </c>
      <c r="Y139" s="432">
        <v>0</v>
      </c>
      <c r="Z139" s="593">
        <v>1.7611399999999999</v>
      </c>
      <c r="AA139" s="596">
        <f t="shared" si="32"/>
        <v>0</v>
      </c>
      <c r="AB139" s="578"/>
      <c r="AC139" s="611"/>
      <c r="AD139" s="585"/>
      <c r="AE139" s="611"/>
      <c r="AF139" s="585"/>
      <c r="AG139" s="611"/>
      <c r="AH139" s="578"/>
      <c r="AI139" s="612"/>
      <c r="AJ139" s="613"/>
      <c r="AK139" s="600">
        <f t="shared" si="19"/>
        <v>0</v>
      </c>
      <c r="AL139" s="578"/>
      <c r="AM139" s="1150">
        <v>0</v>
      </c>
      <c r="AN139" s="1150">
        <v>0</v>
      </c>
      <c r="AO139" s="1150">
        <v>0</v>
      </c>
      <c r="AP139" s="593">
        <v>0.2036</v>
      </c>
      <c r="AQ139" s="595">
        <f t="shared" si="33"/>
        <v>0</v>
      </c>
      <c r="AR139" s="578"/>
      <c r="AS139" s="601">
        <f t="shared" si="34"/>
        <v>0</v>
      </c>
      <c r="AT139" s="586"/>
      <c r="AU139" s="512"/>
      <c r="AV139" s="512"/>
      <c r="AW139" s="512">
        <f t="shared" si="28"/>
        <v>0</v>
      </c>
      <c r="AX139" s="602"/>
      <c r="AY139" s="574"/>
      <c r="AZ139" s="438"/>
      <c r="BC139" s="621" t="s">
        <v>565</v>
      </c>
    </row>
    <row r="140" spans="1:55" s="588" customFormat="1" ht="15" x14ac:dyDescent="0.25">
      <c r="A140" s="627" t="s">
        <v>1428</v>
      </c>
      <c r="B140" s="622"/>
      <c r="C140" s="624">
        <v>505502</v>
      </c>
      <c r="D140" s="578">
        <v>505502</v>
      </c>
      <c r="E140" s="605"/>
      <c r="F140" s="606"/>
      <c r="G140" s="499">
        <v>180</v>
      </c>
      <c r="H140" s="499">
        <v>0</v>
      </c>
      <c r="I140" s="499">
        <v>180</v>
      </c>
      <c r="J140" s="592">
        <f t="shared" si="29"/>
        <v>360</v>
      </c>
      <c r="K140" s="593"/>
      <c r="L140" s="594">
        <f t="shared" si="27"/>
        <v>360</v>
      </c>
      <c r="M140" s="610" t="s">
        <v>255</v>
      </c>
      <c r="N140" s="501">
        <f t="shared" si="30"/>
        <v>3.9013285001896651</v>
      </c>
      <c r="O140" s="595">
        <f t="shared" si="18"/>
        <v>1404</v>
      </c>
      <c r="P140" s="583"/>
      <c r="Q140" s="1149">
        <v>0</v>
      </c>
      <c r="R140" s="1149">
        <v>0</v>
      </c>
      <c r="S140" s="1149">
        <v>0</v>
      </c>
      <c r="T140" s="593">
        <v>0.2036</v>
      </c>
      <c r="U140" s="595">
        <f t="shared" si="31"/>
        <v>0</v>
      </c>
      <c r="V140" s="583"/>
      <c r="W140" s="432">
        <v>0</v>
      </c>
      <c r="X140" s="432">
        <v>0</v>
      </c>
      <c r="Y140" s="432">
        <v>0</v>
      </c>
      <c r="Z140" s="593">
        <v>1.7611399999999999</v>
      </c>
      <c r="AA140" s="596">
        <f t="shared" si="32"/>
        <v>0</v>
      </c>
      <c r="AB140" s="578"/>
      <c r="AC140" s="611"/>
      <c r="AD140" s="585"/>
      <c r="AE140" s="611"/>
      <c r="AF140" s="585"/>
      <c r="AG140" s="611"/>
      <c r="AH140" s="578"/>
      <c r="AI140" s="612"/>
      <c r="AJ140" s="613"/>
      <c r="AK140" s="600">
        <f t="shared" si="19"/>
        <v>0</v>
      </c>
      <c r="AL140" s="578"/>
      <c r="AM140" s="1150">
        <v>0</v>
      </c>
      <c r="AN140" s="1150">
        <v>0</v>
      </c>
      <c r="AO140" s="1150">
        <v>0</v>
      </c>
      <c r="AP140" s="593">
        <v>0.2036</v>
      </c>
      <c r="AQ140" s="595">
        <f t="shared" si="33"/>
        <v>0</v>
      </c>
      <c r="AR140" s="578"/>
      <c r="AS140" s="601">
        <f t="shared" si="34"/>
        <v>1404</v>
      </c>
      <c r="AT140" s="586"/>
      <c r="AU140" s="512"/>
      <c r="AV140" s="512"/>
      <c r="AW140" s="512">
        <f t="shared" si="28"/>
        <v>1404</v>
      </c>
      <c r="AX140" s="602"/>
      <c r="AY140" s="574"/>
      <c r="AZ140" s="438"/>
      <c r="BC140" s="621" t="s">
        <v>533</v>
      </c>
    </row>
    <row r="141" spans="1:55" s="588" customFormat="1" ht="15" x14ac:dyDescent="0.25">
      <c r="A141" s="627" t="s">
        <v>788</v>
      </c>
      <c r="B141" s="622"/>
      <c r="C141" s="624">
        <v>435150</v>
      </c>
      <c r="D141" s="578">
        <v>435150</v>
      </c>
      <c r="E141" s="605"/>
      <c r="F141" s="606"/>
      <c r="G141" s="499">
        <v>180</v>
      </c>
      <c r="H141" s="499">
        <v>0</v>
      </c>
      <c r="I141" s="499">
        <v>0</v>
      </c>
      <c r="J141" s="592">
        <f t="shared" si="29"/>
        <v>180</v>
      </c>
      <c r="K141" s="593"/>
      <c r="L141" s="594">
        <f t="shared" si="27"/>
        <v>180</v>
      </c>
      <c r="M141" s="610" t="s">
        <v>255</v>
      </c>
      <c r="N141" s="501">
        <f t="shared" si="30"/>
        <v>3.9013285001896651</v>
      </c>
      <c r="O141" s="595">
        <f t="shared" si="18"/>
        <v>702</v>
      </c>
      <c r="P141" s="583"/>
      <c r="Q141" s="1149">
        <v>540</v>
      </c>
      <c r="R141" s="1149">
        <v>0</v>
      </c>
      <c r="S141" s="1149">
        <v>0</v>
      </c>
      <c r="T141" s="593">
        <v>0.2036</v>
      </c>
      <c r="U141" s="595">
        <f t="shared" si="31"/>
        <v>109.944</v>
      </c>
      <c r="V141" s="583"/>
      <c r="W141" s="432">
        <v>0</v>
      </c>
      <c r="X141" s="432">
        <v>0</v>
      </c>
      <c r="Y141" s="432">
        <v>0</v>
      </c>
      <c r="Z141" s="593">
        <v>1.7611399999999999</v>
      </c>
      <c r="AA141" s="596">
        <f t="shared" si="32"/>
        <v>0</v>
      </c>
      <c r="AB141" s="578"/>
      <c r="AC141" s="611"/>
      <c r="AD141" s="585"/>
      <c r="AE141" s="611"/>
      <c r="AF141" s="585"/>
      <c r="AG141" s="611"/>
      <c r="AH141" s="578"/>
      <c r="AI141" s="612"/>
      <c r="AJ141" s="613"/>
      <c r="AK141" s="600">
        <f t="shared" si="19"/>
        <v>0</v>
      </c>
      <c r="AL141" s="578"/>
      <c r="AM141" s="1150">
        <v>0</v>
      </c>
      <c r="AN141" s="1150">
        <v>0</v>
      </c>
      <c r="AO141" s="1150">
        <v>0</v>
      </c>
      <c r="AP141" s="593">
        <v>0.2036</v>
      </c>
      <c r="AQ141" s="595">
        <f t="shared" si="33"/>
        <v>0</v>
      </c>
      <c r="AR141" s="578"/>
      <c r="AS141" s="601">
        <f t="shared" si="34"/>
        <v>811.94399999999996</v>
      </c>
      <c r="AT141" s="586"/>
      <c r="AU141" s="512"/>
      <c r="AV141" s="512"/>
      <c r="AW141" s="512">
        <f t="shared" si="28"/>
        <v>811.94399999999996</v>
      </c>
      <c r="AX141" s="602"/>
      <c r="AY141" s="574"/>
      <c r="AZ141" s="438"/>
      <c r="BC141" s="621" t="s">
        <v>1296</v>
      </c>
    </row>
    <row r="142" spans="1:55" s="588" customFormat="1" ht="15" x14ac:dyDescent="0.25">
      <c r="A142" s="632" t="s">
        <v>786</v>
      </c>
      <c r="B142" s="622"/>
      <c r="C142" s="624" t="s">
        <v>285</v>
      </c>
      <c r="D142" s="578">
        <v>347944</v>
      </c>
      <c r="E142" s="605"/>
      <c r="F142" s="606"/>
      <c r="G142" s="499">
        <v>0</v>
      </c>
      <c r="H142" s="499">
        <v>0</v>
      </c>
      <c r="I142" s="499">
        <v>0</v>
      </c>
      <c r="J142" s="592">
        <f t="shared" si="29"/>
        <v>0</v>
      </c>
      <c r="K142" s="593"/>
      <c r="L142" s="594">
        <f t="shared" si="27"/>
        <v>0</v>
      </c>
      <c r="M142" s="610" t="s">
        <v>255</v>
      </c>
      <c r="N142" s="501">
        <f t="shared" si="30"/>
        <v>3.9013285001896651</v>
      </c>
      <c r="O142" s="595">
        <f t="shared" si="18"/>
        <v>0</v>
      </c>
      <c r="P142" s="583"/>
      <c r="Q142" s="1149">
        <v>0</v>
      </c>
      <c r="R142" s="1149">
        <v>0</v>
      </c>
      <c r="S142" s="1149">
        <v>0</v>
      </c>
      <c r="T142" s="593">
        <v>0.2036</v>
      </c>
      <c r="U142" s="595">
        <f t="shared" si="31"/>
        <v>0</v>
      </c>
      <c r="V142" s="583"/>
      <c r="W142" s="432">
        <v>0</v>
      </c>
      <c r="X142" s="432">
        <v>0</v>
      </c>
      <c r="Y142" s="432">
        <v>0</v>
      </c>
      <c r="Z142" s="593">
        <v>1.7611399999999999</v>
      </c>
      <c r="AA142" s="596">
        <f t="shared" si="32"/>
        <v>0</v>
      </c>
      <c r="AB142" s="578"/>
      <c r="AC142" s="611"/>
      <c r="AD142" s="585"/>
      <c r="AE142" s="611"/>
      <c r="AF142" s="585"/>
      <c r="AG142" s="611"/>
      <c r="AH142" s="578"/>
      <c r="AI142" s="612"/>
      <c r="AJ142" s="613"/>
      <c r="AK142" s="600">
        <f t="shared" si="19"/>
        <v>0</v>
      </c>
      <c r="AL142" s="578"/>
      <c r="AM142" s="1150">
        <v>0</v>
      </c>
      <c r="AN142" s="1150">
        <v>0</v>
      </c>
      <c r="AO142" s="1150">
        <v>0</v>
      </c>
      <c r="AP142" s="593">
        <v>0.2036</v>
      </c>
      <c r="AQ142" s="595">
        <f t="shared" si="33"/>
        <v>0</v>
      </c>
      <c r="AR142" s="578"/>
      <c r="AS142" s="601">
        <f t="shared" si="34"/>
        <v>0</v>
      </c>
      <c r="AT142" s="586"/>
      <c r="AU142" s="512"/>
      <c r="AV142" s="512"/>
      <c r="AW142" s="512">
        <f t="shared" si="28"/>
        <v>0</v>
      </c>
      <c r="AX142" s="602"/>
      <c r="AY142" s="574"/>
      <c r="AZ142" s="438"/>
      <c r="BC142" s="621" t="s">
        <v>1255</v>
      </c>
    </row>
    <row r="143" spans="1:55" s="588" customFormat="1" ht="15" x14ac:dyDescent="0.25">
      <c r="A143" s="629" t="s">
        <v>787</v>
      </c>
      <c r="B143" s="622"/>
      <c r="C143" s="624" t="s">
        <v>286</v>
      </c>
      <c r="D143" s="578">
        <v>335566</v>
      </c>
      <c r="E143" s="605"/>
      <c r="F143" s="606"/>
      <c r="G143" s="499">
        <v>0</v>
      </c>
      <c r="H143" s="499">
        <v>0</v>
      </c>
      <c r="I143" s="499">
        <v>0</v>
      </c>
      <c r="J143" s="592">
        <f t="shared" si="29"/>
        <v>0</v>
      </c>
      <c r="K143" s="593"/>
      <c r="L143" s="594">
        <f t="shared" si="27"/>
        <v>0</v>
      </c>
      <c r="M143" s="610" t="s">
        <v>255</v>
      </c>
      <c r="N143" s="501">
        <f t="shared" si="30"/>
        <v>3.9013285001896651</v>
      </c>
      <c r="O143" s="595">
        <f t="shared" si="18"/>
        <v>0</v>
      </c>
      <c r="P143" s="583"/>
      <c r="Q143" s="1149">
        <v>0</v>
      </c>
      <c r="R143" s="1149">
        <v>0</v>
      </c>
      <c r="S143" s="1149">
        <v>0</v>
      </c>
      <c r="T143" s="593">
        <v>0.2036</v>
      </c>
      <c r="U143" s="595">
        <f t="shared" si="31"/>
        <v>0</v>
      </c>
      <c r="V143" s="583"/>
      <c r="W143" s="432">
        <v>0</v>
      </c>
      <c r="X143" s="432">
        <v>0</v>
      </c>
      <c r="Y143" s="432">
        <v>0</v>
      </c>
      <c r="Z143" s="593">
        <v>1.7611399999999999</v>
      </c>
      <c r="AA143" s="596">
        <f t="shared" si="32"/>
        <v>0</v>
      </c>
      <c r="AB143" s="578"/>
      <c r="AC143" s="611"/>
      <c r="AD143" s="585"/>
      <c r="AE143" s="611"/>
      <c r="AF143" s="585"/>
      <c r="AG143" s="611"/>
      <c r="AH143" s="578"/>
      <c r="AI143" s="612"/>
      <c r="AJ143" s="613"/>
      <c r="AK143" s="600">
        <f t="shared" si="19"/>
        <v>0</v>
      </c>
      <c r="AL143" s="578"/>
      <c r="AM143" s="1150">
        <v>0</v>
      </c>
      <c r="AN143" s="1150">
        <v>0</v>
      </c>
      <c r="AO143" s="1150">
        <v>0</v>
      </c>
      <c r="AP143" s="593">
        <v>0.2036</v>
      </c>
      <c r="AQ143" s="595">
        <f t="shared" si="33"/>
        <v>0</v>
      </c>
      <c r="AR143" s="578"/>
      <c r="AS143" s="601">
        <f t="shared" si="34"/>
        <v>0</v>
      </c>
      <c r="AT143" s="586"/>
      <c r="AU143" s="512"/>
      <c r="AV143" s="512"/>
      <c r="AW143" s="512">
        <f t="shared" si="28"/>
        <v>0</v>
      </c>
      <c r="AX143" s="602"/>
      <c r="AY143" s="574"/>
      <c r="AZ143" s="438"/>
      <c r="BC143" s="621" t="s">
        <v>533</v>
      </c>
    </row>
    <row r="144" spans="1:55" s="588" customFormat="1" ht="15" x14ac:dyDescent="0.25">
      <c r="A144" s="619" t="s">
        <v>789</v>
      </c>
      <c r="B144" s="637"/>
      <c r="C144" s="604" t="s">
        <v>287</v>
      </c>
      <c r="D144" s="578">
        <v>299849</v>
      </c>
      <c r="E144" s="605"/>
      <c r="F144" s="606"/>
      <c r="G144" s="499">
        <v>900</v>
      </c>
      <c r="H144" s="499">
        <v>840</v>
      </c>
      <c r="I144" s="499">
        <v>540</v>
      </c>
      <c r="J144" s="592">
        <f t="shared" si="29"/>
        <v>2280</v>
      </c>
      <c r="K144" s="593"/>
      <c r="L144" s="594">
        <f t="shared" si="27"/>
        <v>2280</v>
      </c>
      <c r="M144" s="610" t="s">
        <v>255</v>
      </c>
      <c r="N144" s="501">
        <f t="shared" si="30"/>
        <v>3.9013285001896651</v>
      </c>
      <c r="O144" s="595">
        <f t="shared" si="18"/>
        <v>8895</v>
      </c>
      <c r="P144" s="583"/>
      <c r="Q144" s="1149">
        <v>1980.0000000000002</v>
      </c>
      <c r="R144" s="1149">
        <v>1260</v>
      </c>
      <c r="S144" s="1149">
        <v>637.72578947368413</v>
      </c>
      <c r="T144" s="593">
        <v>0.2036</v>
      </c>
      <c r="U144" s="595">
        <f t="shared" si="31"/>
        <v>789.5049707368421</v>
      </c>
      <c r="V144" s="583"/>
      <c r="W144" s="432">
        <v>0</v>
      </c>
      <c r="X144" s="432">
        <v>0</v>
      </c>
      <c r="Y144" s="432">
        <v>0</v>
      </c>
      <c r="Z144" s="593">
        <v>1.7611399999999999</v>
      </c>
      <c r="AA144" s="596">
        <f t="shared" si="32"/>
        <v>0</v>
      </c>
      <c r="AB144" s="578"/>
      <c r="AC144" s="611"/>
      <c r="AD144" s="585"/>
      <c r="AE144" s="611"/>
      <c r="AF144" s="585"/>
      <c r="AG144" s="611"/>
      <c r="AH144" s="578"/>
      <c r="AI144" s="612"/>
      <c r="AJ144" s="613"/>
      <c r="AK144" s="600">
        <f t="shared" si="19"/>
        <v>0</v>
      </c>
      <c r="AL144" s="578"/>
      <c r="AM144" s="1150">
        <v>180</v>
      </c>
      <c r="AN144" s="1150">
        <v>0</v>
      </c>
      <c r="AO144" s="1150">
        <v>180</v>
      </c>
      <c r="AP144" s="593">
        <v>0.2036</v>
      </c>
      <c r="AQ144" s="595">
        <f t="shared" si="33"/>
        <v>73.296000000000006</v>
      </c>
      <c r="AR144" s="578"/>
      <c r="AS144" s="601">
        <f t="shared" si="34"/>
        <v>9757.8009707368419</v>
      </c>
      <c r="AT144" s="586"/>
      <c r="AU144" s="512"/>
      <c r="AV144" s="512"/>
      <c r="AW144" s="512">
        <f t="shared" si="28"/>
        <v>9757.8009707368419</v>
      </c>
      <c r="AX144" s="602"/>
      <c r="AY144" s="574"/>
      <c r="AZ144" s="438"/>
      <c r="BC144" s="621" t="s">
        <v>534</v>
      </c>
    </row>
    <row r="145" spans="1:55" s="588" customFormat="1" ht="15" x14ac:dyDescent="0.25">
      <c r="A145" s="627" t="s">
        <v>790</v>
      </c>
      <c r="B145" s="628"/>
      <c r="C145" s="628" t="s">
        <v>279</v>
      </c>
      <c r="D145" s="578">
        <v>464494</v>
      </c>
      <c r="E145" s="605"/>
      <c r="F145" s="606"/>
      <c r="G145" s="499">
        <v>0</v>
      </c>
      <c r="H145" s="499">
        <v>0</v>
      </c>
      <c r="I145" s="499">
        <v>0</v>
      </c>
      <c r="J145" s="592">
        <f t="shared" si="29"/>
        <v>0</v>
      </c>
      <c r="K145" s="593"/>
      <c r="L145" s="594">
        <f t="shared" si="27"/>
        <v>0</v>
      </c>
      <c r="M145" s="610" t="s">
        <v>255</v>
      </c>
      <c r="N145" s="501">
        <f t="shared" si="30"/>
        <v>3.9013285001896651</v>
      </c>
      <c r="O145" s="595">
        <f t="shared" si="18"/>
        <v>0</v>
      </c>
      <c r="P145" s="583"/>
      <c r="Q145" s="1149">
        <v>0</v>
      </c>
      <c r="R145" s="1149">
        <v>0</v>
      </c>
      <c r="S145" s="1149">
        <v>0</v>
      </c>
      <c r="T145" s="593">
        <v>0.2036</v>
      </c>
      <c r="U145" s="595">
        <f t="shared" si="31"/>
        <v>0</v>
      </c>
      <c r="V145" s="583"/>
      <c r="W145" s="432">
        <v>0</v>
      </c>
      <c r="X145" s="432">
        <v>0</v>
      </c>
      <c r="Y145" s="432">
        <v>0</v>
      </c>
      <c r="Z145" s="593">
        <v>1.7611399999999999</v>
      </c>
      <c r="AA145" s="596">
        <f t="shared" si="32"/>
        <v>0</v>
      </c>
      <c r="AB145" s="578"/>
      <c r="AC145" s="611"/>
      <c r="AD145" s="585"/>
      <c r="AE145" s="611"/>
      <c r="AF145" s="585"/>
      <c r="AG145" s="611"/>
      <c r="AH145" s="578"/>
      <c r="AI145" s="612"/>
      <c r="AJ145" s="613"/>
      <c r="AK145" s="600">
        <f t="shared" si="19"/>
        <v>0</v>
      </c>
      <c r="AL145" s="578"/>
      <c r="AM145" s="1150">
        <v>0</v>
      </c>
      <c r="AN145" s="1150">
        <v>0</v>
      </c>
      <c r="AO145" s="1150">
        <v>0</v>
      </c>
      <c r="AP145" s="593">
        <v>0.2036</v>
      </c>
      <c r="AQ145" s="595">
        <f t="shared" si="33"/>
        <v>0</v>
      </c>
      <c r="AR145" s="578"/>
      <c r="AS145" s="601">
        <f t="shared" si="34"/>
        <v>0</v>
      </c>
      <c r="AT145" s="586"/>
      <c r="AU145" s="512"/>
      <c r="AV145" s="512"/>
      <c r="AW145" s="512">
        <f t="shared" si="28"/>
        <v>0</v>
      </c>
      <c r="AX145" s="602"/>
      <c r="AY145" s="574"/>
      <c r="AZ145" s="438"/>
      <c r="BC145" s="621" t="s">
        <v>1282</v>
      </c>
    </row>
    <row r="146" spans="1:55" s="588" customFormat="1" ht="15" x14ac:dyDescent="0.25">
      <c r="A146" s="638" t="s">
        <v>791</v>
      </c>
      <c r="B146" s="639"/>
      <c r="C146" s="640" t="s">
        <v>288</v>
      </c>
      <c r="D146" s="578">
        <v>318345</v>
      </c>
      <c r="E146" s="605"/>
      <c r="F146" s="606"/>
      <c r="G146" s="499">
        <v>180</v>
      </c>
      <c r="H146" s="499">
        <v>210</v>
      </c>
      <c r="I146" s="499">
        <v>180</v>
      </c>
      <c r="J146" s="592">
        <f t="shared" si="29"/>
        <v>570</v>
      </c>
      <c r="K146" s="593"/>
      <c r="L146" s="594">
        <f t="shared" si="27"/>
        <v>570</v>
      </c>
      <c r="M146" s="610" t="s">
        <v>255</v>
      </c>
      <c r="N146" s="501">
        <f t="shared" si="30"/>
        <v>3.9013285001896651</v>
      </c>
      <c r="O146" s="595">
        <f t="shared" si="18"/>
        <v>2224</v>
      </c>
      <c r="P146" s="583"/>
      <c r="Q146" s="1149">
        <v>0</v>
      </c>
      <c r="R146" s="1149">
        <v>0</v>
      </c>
      <c r="S146" s="1149">
        <v>0</v>
      </c>
      <c r="T146" s="593">
        <v>0.2036</v>
      </c>
      <c r="U146" s="595">
        <f t="shared" si="31"/>
        <v>0</v>
      </c>
      <c r="V146" s="583"/>
      <c r="W146" s="432">
        <v>0</v>
      </c>
      <c r="X146" s="432">
        <v>0</v>
      </c>
      <c r="Y146" s="432">
        <v>0</v>
      </c>
      <c r="Z146" s="593">
        <v>1.7611399999999999</v>
      </c>
      <c r="AA146" s="596">
        <f t="shared" si="32"/>
        <v>0</v>
      </c>
      <c r="AB146" s="578"/>
      <c r="AC146" s="611"/>
      <c r="AD146" s="585"/>
      <c r="AE146" s="611"/>
      <c r="AF146" s="585"/>
      <c r="AG146" s="611"/>
      <c r="AH146" s="578"/>
      <c r="AI146" s="612"/>
      <c r="AJ146" s="613"/>
      <c r="AK146" s="600">
        <f t="shared" si="19"/>
        <v>0</v>
      </c>
      <c r="AL146" s="578"/>
      <c r="AM146" s="1150">
        <v>0</v>
      </c>
      <c r="AN146" s="1150">
        <v>0</v>
      </c>
      <c r="AO146" s="1150">
        <v>0</v>
      </c>
      <c r="AP146" s="593">
        <v>0.2036</v>
      </c>
      <c r="AQ146" s="595">
        <f t="shared" si="33"/>
        <v>0</v>
      </c>
      <c r="AR146" s="578"/>
      <c r="AS146" s="601">
        <f t="shared" si="34"/>
        <v>2224</v>
      </c>
      <c r="AT146" s="586"/>
      <c r="AU146" s="512"/>
      <c r="AV146" s="512"/>
      <c r="AW146" s="512">
        <f t="shared" si="28"/>
        <v>2224</v>
      </c>
      <c r="AX146" s="602"/>
      <c r="AY146" s="574"/>
      <c r="AZ146" s="438"/>
      <c r="BC146" s="621" t="s">
        <v>535</v>
      </c>
    </row>
    <row r="147" spans="1:55" s="588" customFormat="1" ht="15" x14ac:dyDescent="0.25">
      <c r="A147" s="641" t="s">
        <v>792</v>
      </c>
      <c r="B147" s="437"/>
      <c r="C147" s="642" t="s">
        <v>793</v>
      </c>
      <c r="D147" s="578">
        <v>464682</v>
      </c>
      <c r="E147" s="605"/>
      <c r="F147" s="606"/>
      <c r="G147" s="499">
        <v>540</v>
      </c>
      <c r="H147" s="499">
        <v>840</v>
      </c>
      <c r="I147" s="499">
        <v>360</v>
      </c>
      <c r="J147" s="592">
        <f t="shared" si="29"/>
        <v>1740</v>
      </c>
      <c r="K147" s="593"/>
      <c r="L147" s="594">
        <f t="shared" si="27"/>
        <v>1740</v>
      </c>
      <c r="M147" s="610" t="s">
        <v>255</v>
      </c>
      <c r="N147" s="501">
        <f t="shared" si="30"/>
        <v>3.9013285001896651</v>
      </c>
      <c r="O147" s="595">
        <f t="shared" si="18"/>
        <v>6788</v>
      </c>
      <c r="P147" s="583"/>
      <c r="Q147" s="1149">
        <v>0</v>
      </c>
      <c r="R147" s="1149">
        <v>630</v>
      </c>
      <c r="S147" s="1149">
        <v>0</v>
      </c>
      <c r="T147" s="593">
        <v>0.2036</v>
      </c>
      <c r="U147" s="595">
        <f t="shared" si="31"/>
        <v>128.268</v>
      </c>
      <c r="V147" s="583"/>
      <c r="W147" s="432">
        <v>0</v>
      </c>
      <c r="X147" s="432">
        <v>210</v>
      </c>
      <c r="Y147" s="432">
        <v>0</v>
      </c>
      <c r="Z147" s="593">
        <v>1.7611399999999999</v>
      </c>
      <c r="AA147" s="596">
        <f t="shared" si="32"/>
        <v>369.83940000000001</v>
      </c>
      <c r="AB147" s="578"/>
      <c r="AC147" s="611"/>
      <c r="AD147" s="585"/>
      <c r="AE147" s="611"/>
      <c r="AF147" s="585"/>
      <c r="AG147" s="611"/>
      <c r="AH147" s="578"/>
      <c r="AI147" s="612"/>
      <c r="AJ147" s="613"/>
      <c r="AK147" s="600">
        <f t="shared" si="19"/>
        <v>0</v>
      </c>
      <c r="AL147" s="578"/>
      <c r="AM147" s="1150">
        <v>0</v>
      </c>
      <c r="AN147" s="1150">
        <v>0</v>
      </c>
      <c r="AO147" s="1150">
        <v>0</v>
      </c>
      <c r="AP147" s="593">
        <v>0.2036</v>
      </c>
      <c r="AQ147" s="595">
        <f t="shared" si="33"/>
        <v>0</v>
      </c>
      <c r="AR147" s="578"/>
      <c r="AS147" s="601">
        <f t="shared" si="34"/>
        <v>7286.1073999999999</v>
      </c>
      <c r="AT147" s="586"/>
      <c r="AU147" s="512"/>
      <c r="AV147" s="512"/>
      <c r="AW147" s="512">
        <f t="shared" si="28"/>
        <v>7286.1073999999999</v>
      </c>
      <c r="AX147" s="602"/>
      <c r="AY147" s="574"/>
      <c r="AZ147" s="438"/>
      <c r="BC147" s="621" t="s">
        <v>1437</v>
      </c>
    </row>
    <row r="148" spans="1:55" s="588" customFormat="1" ht="15" x14ac:dyDescent="0.25">
      <c r="A148" s="641" t="s">
        <v>1429</v>
      </c>
      <c r="B148" s="437"/>
      <c r="C148" s="642">
        <v>414019</v>
      </c>
      <c r="D148" s="578">
        <v>414019</v>
      </c>
      <c r="E148" s="605"/>
      <c r="F148" s="606"/>
      <c r="G148" s="499">
        <v>720</v>
      </c>
      <c r="H148" s="499">
        <v>1050</v>
      </c>
      <c r="I148" s="499">
        <v>720</v>
      </c>
      <c r="J148" s="592">
        <f t="shared" si="29"/>
        <v>2490</v>
      </c>
      <c r="K148" s="593"/>
      <c r="L148" s="594">
        <f t="shared" si="27"/>
        <v>2490</v>
      </c>
      <c r="M148" s="610" t="s">
        <v>255</v>
      </c>
      <c r="N148" s="501">
        <f t="shared" si="30"/>
        <v>3.9013285001896651</v>
      </c>
      <c r="O148" s="595">
        <f t="shared" si="18"/>
        <v>9714</v>
      </c>
      <c r="P148" s="583"/>
      <c r="Q148" s="1149">
        <v>1260</v>
      </c>
      <c r="R148" s="1149">
        <v>840</v>
      </c>
      <c r="S148" s="1149">
        <v>0</v>
      </c>
      <c r="T148" s="593">
        <v>0.2036</v>
      </c>
      <c r="U148" s="595">
        <f t="shared" si="31"/>
        <v>427.56</v>
      </c>
      <c r="V148" s="583"/>
      <c r="W148" s="432">
        <v>0</v>
      </c>
      <c r="X148" s="432">
        <v>0</v>
      </c>
      <c r="Y148" s="432">
        <v>0</v>
      </c>
      <c r="Z148" s="593">
        <v>1.7611399999999999</v>
      </c>
      <c r="AA148" s="596">
        <f t="shared" si="32"/>
        <v>0</v>
      </c>
      <c r="AB148" s="578"/>
      <c r="AC148" s="611"/>
      <c r="AD148" s="585"/>
      <c r="AE148" s="611"/>
      <c r="AF148" s="585"/>
      <c r="AG148" s="611"/>
      <c r="AH148" s="578"/>
      <c r="AI148" s="612"/>
      <c r="AJ148" s="613"/>
      <c r="AK148" s="600">
        <f t="shared" si="19"/>
        <v>0</v>
      </c>
      <c r="AL148" s="578"/>
      <c r="AM148" s="1150">
        <v>0</v>
      </c>
      <c r="AN148" s="1150">
        <v>0</v>
      </c>
      <c r="AO148" s="1150">
        <v>0</v>
      </c>
      <c r="AP148" s="593">
        <v>0.2036</v>
      </c>
      <c r="AQ148" s="595">
        <f t="shared" si="33"/>
        <v>0</v>
      </c>
      <c r="AR148" s="578"/>
      <c r="AS148" s="601">
        <f t="shared" si="34"/>
        <v>10141.56</v>
      </c>
      <c r="AT148" s="586"/>
      <c r="AU148" s="512"/>
      <c r="AV148" s="512"/>
      <c r="AW148" s="512">
        <f t="shared" si="28"/>
        <v>10141.56</v>
      </c>
      <c r="AX148" s="602"/>
      <c r="AZ148" s="438"/>
      <c r="BC148" s="621" t="s">
        <v>1386</v>
      </c>
    </row>
    <row r="149" spans="1:55" s="588" customFormat="1" ht="15" x14ac:dyDescent="0.25">
      <c r="A149" s="641" t="s">
        <v>1430</v>
      </c>
      <c r="B149" s="437"/>
      <c r="C149" s="642">
        <v>458078</v>
      </c>
      <c r="D149" s="578">
        <v>458078</v>
      </c>
      <c r="E149" s="605"/>
      <c r="F149" s="606"/>
      <c r="G149" s="499">
        <v>0</v>
      </c>
      <c r="H149" s="499">
        <v>0</v>
      </c>
      <c r="I149" s="499">
        <v>0</v>
      </c>
      <c r="J149" s="592">
        <f t="shared" si="29"/>
        <v>0</v>
      </c>
      <c r="K149" s="593"/>
      <c r="L149" s="594">
        <f t="shared" si="27"/>
        <v>0</v>
      </c>
      <c r="M149" s="610" t="s">
        <v>255</v>
      </c>
      <c r="N149" s="501">
        <f t="shared" si="30"/>
        <v>3.9013285001896651</v>
      </c>
      <c r="O149" s="595">
        <f t="shared" si="18"/>
        <v>0</v>
      </c>
      <c r="P149" s="583"/>
      <c r="Q149" s="1149">
        <v>0</v>
      </c>
      <c r="R149" s="1149">
        <v>0</v>
      </c>
      <c r="S149" s="1149">
        <v>0</v>
      </c>
      <c r="T149" s="593">
        <v>0.2036</v>
      </c>
      <c r="U149" s="595">
        <f t="shared" si="31"/>
        <v>0</v>
      </c>
      <c r="V149" s="583"/>
      <c r="W149" s="432">
        <v>0</v>
      </c>
      <c r="X149" s="432">
        <v>0</v>
      </c>
      <c r="Y149" s="432">
        <v>0</v>
      </c>
      <c r="Z149" s="593">
        <v>1.7611399999999999</v>
      </c>
      <c r="AA149" s="596">
        <f t="shared" si="32"/>
        <v>0</v>
      </c>
      <c r="AB149" s="578"/>
      <c r="AC149" s="611"/>
      <c r="AD149" s="585"/>
      <c r="AE149" s="611"/>
      <c r="AF149" s="585"/>
      <c r="AG149" s="611"/>
      <c r="AH149" s="578"/>
      <c r="AI149" s="612"/>
      <c r="AJ149" s="613"/>
      <c r="AK149" s="600">
        <f t="shared" si="19"/>
        <v>0</v>
      </c>
      <c r="AL149" s="578"/>
      <c r="AM149" s="1150">
        <v>0</v>
      </c>
      <c r="AN149" s="1150">
        <v>0</v>
      </c>
      <c r="AO149" s="1150">
        <v>0</v>
      </c>
      <c r="AP149" s="593">
        <v>0.2036</v>
      </c>
      <c r="AQ149" s="595">
        <f t="shared" si="33"/>
        <v>0</v>
      </c>
      <c r="AR149" s="578"/>
      <c r="AS149" s="601">
        <f t="shared" si="34"/>
        <v>0</v>
      </c>
      <c r="AT149" s="586"/>
      <c r="AU149" s="512"/>
      <c r="AV149" s="512"/>
      <c r="AW149" s="512">
        <f t="shared" si="28"/>
        <v>0</v>
      </c>
      <c r="AX149" s="602"/>
      <c r="AZ149" s="438"/>
      <c r="BC149" s="621" t="s">
        <v>1387</v>
      </c>
    </row>
    <row r="150" spans="1:55" s="588" customFormat="1" ht="15" x14ac:dyDescent="0.25">
      <c r="A150" s="641" t="s">
        <v>794</v>
      </c>
      <c r="B150" s="437"/>
      <c r="C150" s="642" t="s">
        <v>795</v>
      </c>
      <c r="D150" s="578">
        <v>380277</v>
      </c>
      <c r="E150" s="605"/>
      <c r="F150" s="606"/>
      <c r="G150" s="499">
        <v>84</v>
      </c>
      <c r="H150" s="499">
        <v>0</v>
      </c>
      <c r="I150" s="499">
        <v>84</v>
      </c>
      <c r="J150" s="592">
        <f t="shared" si="29"/>
        <v>168</v>
      </c>
      <c r="K150" s="593"/>
      <c r="L150" s="594">
        <f t="shared" si="27"/>
        <v>168</v>
      </c>
      <c r="M150" s="610" t="s">
        <v>255</v>
      </c>
      <c r="N150" s="501">
        <f t="shared" si="30"/>
        <v>3.9013285001896651</v>
      </c>
      <c r="O150" s="595">
        <f t="shared" si="18"/>
        <v>655</v>
      </c>
      <c r="P150" s="583"/>
      <c r="Q150" s="1149">
        <v>252</v>
      </c>
      <c r="R150" s="1149">
        <v>0</v>
      </c>
      <c r="S150" s="1149">
        <v>0</v>
      </c>
      <c r="T150" s="593">
        <v>0.2036</v>
      </c>
      <c r="U150" s="595">
        <f t="shared" si="31"/>
        <v>51.307200000000002</v>
      </c>
      <c r="V150" s="583"/>
      <c r="W150" s="432">
        <v>0</v>
      </c>
      <c r="X150" s="432">
        <v>0</v>
      </c>
      <c r="Y150" s="432">
        <v>0</v>
      </c>
      <c r="Z150" s="593">
        <v>1.7611399999999999</v>
      </c>
      <c r="AA150" s="596">
        <f t="shared" si="32"/>
        <v>0</v>
      </c>
      <c r="AB150" s="578"/>
      <c r="AC150" s="611"/>
      <c r="AD150" s="585"/>
      <c r="AE150" s="611"/>
      <c r="AF150" s="585"/>
      <c r="AG150" s="611"/>
      <c r="AH150" s="578"/>
      <c r="AI150" s="612"/>
      <c r="AJ150" s="613"/>
      <c r="AK150" s="600">
        <f t="shared" si="19"/>
        <v>0</v>
      </c>
      <c r="AL150" s="578"/>
      <c r="AM150" s="1150">
        <v>84</v>
      </c>
      <c r="AN150" s="1150">
        <v>0</v>
      </c>
      <c r="AO150" s="1150">
        <v>84</v>
      </c>
      <c r="AP150" s="593">
        <v>0.2036</v>
      </c>
      <c r="AQ150" s="595">
        <f t="shared" si="33"/>
        <v>34.204799999999999</v>
      </c>
      <c r="AR150" s="578"/>
      <c r="AS150" s="601">
        <f t="shared" si="34"/>
        <v>740.51199999999994</v>
      </c>
      <c r="AT150" s="586"/>
      <c r="AU150" s="512"/>
      <c r="AV150" s="512"/>
      <c r="AW150" s="512">
        <f t="shared" si="28"/>
        <v>740.51199999999994</v>
      </c>
      <c r="AX150" s="602"/>
      <c r="AZ150" s="438"/>
      <c r="BC150" s="621" t="s">
        <v>1287</v>
      </c>
    </row>
    <row r="151" spans="1:55" s="588" customFormat="1" ht="15" x14ac:dyDescent="0.25">
      <c r="A151" s="621" t="s">
        <v>796</v>
      </c>
      <c r="B151" s="628"/>
      <c r="C151" s="628" t="s">
        <v>274</v>
      </c>
      <c r="D151" s="578">
        <v>350863</v>
      </c>
      <c r="E151" s="605"/>
      <c r="F151" s="606"/>
      <c r="G151" s="499">
        <v>1200</v>
      </c>
      <c r="H151" s="499">
        <v>1232</v>
      </c>
      <c r="I151" s="499">
        <v>1440</v>
      </c>
      <c r="J151" s="592">
        <f t="shared" si="29"/>
        <v>3872</v>
      </c>
      <c r="K151" s="593"/>
      <c r="L151" s="594">
        <f t="shared" si="27"/>
        <v>3872</v>
      </c>
      <c r="M151" s="610" t="s">
        <v>255</v>
      </c>
      <c r="N151" s="501">
        <f t="shared" si="30"/>
        <v>3.9013285001896651</v>
      </c>
      <c r="O151" s="595">
        <f t="shared" si="18"/>
        <v>15106</v>
      </c>
      <c r="P151" s="583"/>
      <c r="Q151" s="1149">
        <v>1493.7759336099584</v>
      </c>
      <c r="R151" s="1149">
        <v>1452</v>
      </c>
      <c r="S151" s="1149">
        <v>576</v>
      </c>
      <c r="T151" s="593">
        <v>0.2036</v>
      </c>
      <c r="U151" s="595">
        <f t="shared" si="31"/>
        <v>717.03358008298756</v>
      </c>
      <c r="V151" s="583"/>
      <c r="W151" s="432">
        <v>0</v>
      </c>
      <c r="X151" s="432">
        <v>0</v>
      </c>
      <c r="Y151" s="432">
        <v>0</v>
      </c>
      <c r="Z151" s="593">
        <v>1.7611399999999999</v>
      </c>
      <c r="AA151" s="596">
        <f t="shared" si="32"/>
        <v>0</v>
      </c>
      <c r="AB151" s="578"/>
      <c r="AC151" s="611"/>
      <c r="AD151" s="585"/>
      <c r="AE151" s="611"/>
      <c r="AF151" s="585"/>
      <c r="AG151" s="611"/>
      <c r="AH151" s="578"/>
      <c r="AI151" s="612"/>
      <c r="AJ151" s="613"/>
      <c r="AK151" s="600">
        <f t="shared" si="19"/>
        <v>0</v>
      </c>
      <c r="AL151" s="578"/>
      <c r="AM151" s="1150">
        <v>0</v>
      </c>
      <c r="AN151" s="1150">
        <v>396.00000000000006</v>
      </c>
      <c r="AO151" s="1150">
        <v>0</v>
      </c>
      <c r="AP151" s="593">
        <v>0.2036</v>
      </c>
      <c r="AQ151" s="595">
        <f t="shared" si="33"/>
        <v>80.62560000000002</v>
      </c>
      <c r="AR151" s="578"/>
      <c r="AS151" s="601">
        <f t="shared" si="34"/>
        <v>15903.659180082988</v>
      </c>
      <c r="AT151" s="586"/>
      <c r="AU151" s="512"/>
      <c r="AV151" s="512"/>
      <c r="AW151" s="512">
        <f t="shared" si="28"/>
        <v>15903.659180082988</v>
      </c>
      <c r="AX151" s="602"/>
      <c r="AZ151" s="438"/>
      <c r="BC151" s="621" t="s">
        <v>567</v>
      </c>
    </row>
    <row r="152" spans="1:55" s="588" customFormat="1" ht="15" x14ac:dyDescent="0.25">
      <c r="A152" s="80" t="s">
        <v>289</v>
      </c>
      <c r="B152" s="643"/>
      <c r="C152" s="623" t="s">
        <v>290</v>
      </c>
      <c r="D152" s="578">
        <v>240925</v>
      </c>
      <c r="E152" s="605"/>
      <c r="F152" s="606"/>
      <c r="G152" s="499">
        <v>6435</v>
      </c>
      <c r="H152" s="499">
        <v>9360</v>
      </c>
      <c r="I152" s="499">
        <v>9000</v>
      </c>
      <c r="J152" s="592">
        <f t="shared" si="29"/>
        <v>24795</v>
      </c>
      <c r="K152" s="593"/>
      <c r="L152" s="594">
        <f t="shared" si="27"/>
        <v>24795</v>
      </c>
      <c r="M152" s="610" t="s">
        <v>255</v>
      </c>
      <c r="N152" s="501">
        <f t="shared" si="30"/>
        <v>3.9013285001896651</v>
      </c>
      <c r="O152" s="595">
        <f t="shared" si="18"/>
        <v>96733</v>
      </c>
      <c r="P152" s="583"/>
      <c r="Q152" s="1149">
        <v>660</v>
      </c>
      <c r="R152" s="1149">
        <v>780</v>
      </c>
      <c r="S152" s="1149">
        <v>1110.6121758083029</v>
      </c>
      <c r="T152" s="593">
        <v>0.2036</v>
      </c>
      <c r="U152" s="595">
        <f t="shared" si="31"/>
        <v>519.3046389945705</v>
      </c>
      <c r="V152" s="583"/>
      <c r="W152" s="432">
        <v>0</v>
      </c>
      <c r="X152" s="432">
        <v>0</v>
      </c>
      <c r="Y152" s="432">
        <v>0</v>
      </c>
      <c r="Z152" s="593">
        <v>1.7611399999999999</v>
      </c>
      <c r="AA152" s="596">
        <f t="shared" si="32"/>
        <v>0</v>
      </c>
      <c r="AB152" s="578"/>
      <c r="AC152" s="611"/>
      <c r="AD152" s="585"/>
      <c r="AE152" s="611"/>
      <c r="AF152" s="585"/>
      <c r="AG152" s="611"/>
      <c r="AH152" s="578"/>
      <c r="AI152" s="612"/>
      <c r="AJ152" s="613"/>
      <c r="AK152" s="600">
        <f t="shared" si="19"/>
        <v>0</v>
      </c>
      <c r="AL152" s="578"/>
      <c r="AM152" s="1150">
        <v>165</v>
      </c>
      <c r="AN152" s="1150">
        <v>585</v>
      </c>
      <c r="AO152" s="1150">
        <v>330.80127419750062</v>
      </c>
      <c r="AP152" s="593">
        <v>0.2036</v>
      </c>
      <c r="AQ152" s="595">
        <f t="shared" si="33"/>
        <v>220.05113942661112</v>
      </c>
      <c r="AR152" s="578"/>
      <c r="AS152" s="601">
        <f t="shared" si="34"/>
        <v>97472.355778421188</v>
      </c>
      <c r="AT152" s="586"/>
      <c r="AU152" s="512"/>
      <c r="AV152" s="512"/>
      <c r="AW152" s="512">
        <f t="shared" si="28"/>
        <v>97472.355778421188</v>
      </c>
      <c r="AX152" s="602"/>
      <c r="AZ152" s="438"/>
    </row>
    <row r="153" spans="1:55" s="588" customFormat="1" ht="15" x14ac:dyDescent="0.25">
      <c r="A153" s="587" t="s">
        <v>291</v>
      </c>
      <c r="B153" s="587" t="s">
        <v>292</v>
      </c>
      <c r="C153" s="589" t="s">
        <v>293</v>
      </c>
      <c r="D153" s="578">
        <v>218880</v>
      </c>
      <c r="E153" s="605"/>
      <c r="F153" s="606"/>
      <c r="G153" s="499">
        <v>0</v>
      </c>
      <c r="H153" s="499">
        <v>0</v>
      </c>
      <c r="I153" s="499">
        <v>0</v>
      </c>
      <c r="J153" s="592">
        <f t="shared" si="29"/>
        <v>0</v>
      </c>
      <c r="K153" s="593"/>
      <c r="L153" s="594">
        <f t="shared" si="27"/>
        <v>0</v>
      </c>
      <c r="M153" s="610" t="s">
        <v>255</v>
      </c>
      <c r="N153" s="501">
        <f t="shared" si="30"/>
        <v>3.9013285001896651</v>
      </c>
      <c r="O153" s="595">
        <f t="shared" si="18"/>
        <v>0</v>
      </c>
      <c r="P153" s="583"/>
      <c r="Q153" s="1149">
        <v>0</v>
      </c>
      <c r="R153" s="1149">
        <v>0</v>
      </c>
      <c r="S153" s="1149">
        <v>0</v>
      </c>
      <c r="T153" s="593">
        <v>0.2036</v>
      </c>
      <c r="U153" s="595">
        <f t="shared" si="31"/>
        <v>0</v>
      </c>
      <c r="V153" s="583"/>
      <c r="W153" s="432">
        <v>0</v>
      </c>
      <c r="X153" s="432">
        <v>0</v>
      </c>
      <c r="Y153" s="432">
        <v>0</v>
      </c>
      <c r="Z153" s="593">
        <v>1.7611399999999999</v>
      </c>
      <c r="AA153" s="596">
        <f t="shared" si="32"/>
        <v>0</v>
      </c>
      <c r="AB153" s="578"/>
      <c r="AC153" s="611"/>
      <c r="AD153" s="585"/>
      <c r="AE153" s="611"/>
      <c r="AF153" s="585"/>
      <c r="AG153" s="611"/>
      <c r="AH153" s="578"/>
      <c r="AI153" s="612"/>
      <c r="AJ153" s="613"/>
      <c r="AK153" s="600">
        <f t="shared" si="19"/>
        <v>0</v>
      </c>
      <c r="AL153" s="578"/>
      <c r="AM153" s="1150">
        <v>0</v>
      </c>
      <c r="AN153" s="1150">
        <v>0</v>
      </c>
      <c r="AO153" s="1150">
        <v>0</v>
      </c>
      <c r="AP153" s="593">
        <v>0.2036</v>
      </c>
      <c r="AQ153" s="595">
        <f t="shared" si="33"/>
        <v>0</v>
      </c>
      <c r="AR153" s="578"/>
      <c r="AS153" s="601">
        <f t="shared" si="34"/>
        <v>0</v>
      </c>
      <c r="AT153" s="586"/>
      <c r="AU153" s="512"/>
      <c r="AV153" s="512"/>
      <c r="AW153" s="512">
        <f t="shared" si="28"/>
        <v>0</v>
      </c>
      <c r="AX153" s="602"/>
      <c r="AY153" s="574"/>
      <c r="AZ153" s="438"/>
    </row>
    <row r="154" spans="1:55" s="588" customFormat="1" ht="15" x14ac:dyDescent="0.25">
      <c r="A154" s="603" t="s">
        <v>797</v>
      </c>
      <c r="B154" s="587"/>
      <c r="C154" s="625" t="s">
        <v>798</v>
      </c>
      <c r="D154" s="578">
        <v>476012</v>
      </c>
      <c r="E154" s="605"/>
      <c r="F154" s="606"/>
      <c r="G154" s="499">
        <v>6480</v>
      </c>
      <c r="H154" s="499">
        <v>5460</v>
      </c>
      <c r="I154" s="499">
        <v>6120</v>
      </c>
      <c r="J154" s="592">
        <f t="shared" si="29"/>
        <v>18060</v>
      </c>
      <c r="K154" s="593"/>
      <c r="L154" s="594">
        <f t="shared" si="27"/>
        <v>18060</v>
      </c>
      <c r="M154" s="610" t="s">
        <v>255</v>
      </c>
      <c r="N154" s="501">
        <f t="shared" si="30"/>
        <v>3.9013285001896651</v>
      </c>
      <c r="O154" s="595">
        <f t="shared" si="18"/>
        <v>70458</v>
      </c>
      <c r="P154" s="583"/>
      <c r="Q154" s="1149">
        <v>4898.3606557377052</v>
      </c>
      <c r="R154" s="1149">
        <v>5474.0359897172229</v>
      </c>
      <c r="S154" s="1149">
        <v>0</v>
      </c>
      <c r="T154" s="593">
        <v>0.2036</v>
      </c>
      <c r="U154" s="595">
        <f t="shared" si="31"/>
        <v>2111.8199570146235</v>
      </c>
      <c r="V154" s="583"/>
      <c r="W154" s="432">
        <v>0</v>
      </c>
      <c r="X154" s="432">
        <v>0</v>
      </c>
      <c r="Y154" s="432">
        <v>0</v>
      </c>
      <c r="Z154" s="593">
        <v>1.7611399999999999</v>
      </c>
      <c r="AA154" s="596">
        <f t="shared" si="32"/>
        <v>0</v>
      </c>
      <c r="AB154" s="578"/>
      <c r="AC154" s="611"/>
      <c r="AD154" s="585"/>
      <c r="AE154" s="611"/>
      <c r="AF154" s="585"/>
      <c r="AG154" s="611"/>
      <c r="AH154" s="578"/>
      <c r="AI154" s="612"/>
      <c r="AJ154" s="613"/>
      <c r="AK154" s="600">
        <f t="shared" si="19"/>
        <v>0</v>
      </c>
      <c r="AL154" s="578"/>
      <c r="AM154" s="1150">
        <v>660.98360655737713</v>
      </c>
      <c r="AN154" s="1150">
        <v>631.61953727506432</v>
      </c>
      <c r="AO154" s="1150">
        <v>0</v>
      </c>
      <c r="AP154" s="593">
        <v>0.2036</v>
      </c>
      <c r="AQ154" s="595">
        <f t="shared" si="33"/>
        <v>263.17400008428507</v>
      </c>
      <c r="AR154" s="578"/>
      <c r="AS154" s="601">
        <f t="shared" si="34"/>
        <v>72832.993957098908</v>
      </c>
      <c r="AT154" s="586"/>
      <c r="AU154" s="512"/>
      <c r="AV154" s="512"/>
      <c r="AW154" s="512">
        <f t="shared" si="28"/>
        <v>72832.993957098908</v>
      </c>
      <c r="AX154" s="602"/>
      <c r="AY154" s="574"/>
      <c r="AZ154" s="438"/>
    </row>
    <row r="155" spans="1:55" s="588" customFormat="1" ht="15" x14ac:dyDescent="0.25">
      <c r="A155" s="603" t="s">
        <v>799</v>
      </c>
      <c r="B155" s="587"/>
      <c r="C155" s="625" t="s">
        <v>800</v>
      </c>
      <c r="D155" s="578">
        <v>460372</v>
      </c>
      <c r="E155" s="605"/>
      <c r="F155" s="606"/>
      <c r="G155" s="499">
        <v>1440</v>
      </c>
      <c r="H155" s="499">
        <v>0</v>
      </c>
      <c r="I155" s="499">
        <v>360</v>
      </c>
      <c r="J155" s="592">
        <f t="shared" si="29"/>
        <v>1800</v>
      </c>
      <c r="K155" s="593"/>
      <c r="L155" s="594">
        <f t="shared" si="27"/>
        <v>1800</v>
      </c>
      <c r="M155" s="610" t="s">
        <v>240</v>
      </c>
      <c r="N155" s="501">
        <f t="shared" si="30"/>
        <v>3.9013285001896651</v>
      </c>
      <c r="O155" s="595">
        <f t="shared" si="18"/>
        <v>7022</v>
      </c>
      <c r="P155" s="583"/>
      <c r="Q155" s="1149">
        <v>1570.9090909090908</v>
      </c>
      <c r="R155" s="1149">
        <v>0</v>
      </c>
      <c r="S155" s="1149">
        <v>0</v>
      </c>
      <c r="T155" s="593">
        <v>0.2036</v>
      </c>
      <c r="U155" s="595">
        <f t="shared" si="31"/>
        <v>319.83709090909088</v>
      </c>
      <c r="V155" s="583"/>
      <c r="W155" s="432">
        <v>0</v>
      </c>
      <c r="X155" s="432">
        <v>0</v>
      </c>
      <c r="Y155" s="432">
        <v>0</v>
      </c>
      <c r="Z155" s="593">
        <v>1.7611399999999999</v>
      </c>
      <c r="AA155" s="596">
        <f t="shared" si="32"/>
        <v>0</v>
      </c>
      <c r="AB155" s="578"/>
      <c r="AC155" s="611"/>
      <c r="AD155" s="585"/>
      <c r="AE155" s="611"/>
      <c r="AF155" s="585"/>
      <c r="AG155" s="611"/>
      <c r="AH155" s="578"/>
      <c r="AI155" s="612"/>
      <c r="AJ155" s="613"/>
      <c r="AK155" s="600">
        <f t="shared" si="19"/>
        <v>0</v>
      </c>
      <c r="AL155" s="578"/>
      <c r="AM155" s="1150">
        <v>0</v>
      </c>
      <c r="AN155" s="1150">
        <v>0</v>
      </c>
      <c r="AO155" s="1150">
        <v>0</v>
      </c>
      <c r="AP155" s="593">
        <v>0.2036</v>
      </c>
      <c r="AQ155" s="595">
        <f t="shared" si="33"/>
        <v>0</v>
      </c>
      <c r="AR155" s="578"/>
      <c r="AS155" s="601">
        <f t="shared" si="34"/>
        <v>7341.8370909090909</v>
      </c>
      <c r="AT155" s="586"/>
      <c r="AU155" s="512"/>
      <c r="AV155" s="512"/>
      <c r="AW155" s="512">
        <f t="shared" si="28"/>
        <v>7341.8370909090909</v>
      </c>
      <c r="AX155" s="602"/>
      <c r="AY155" s="574"/>
      <c r="AZ155" s="438"/>
    </row>
    <row r="156" spans="1:55" s="588" customFormat="1" ht="15" x14ac:dyDescent="0.25">
      <c r="A156" s="603" t="s">
        <v>1392</v>
      </c>
      <c r="B156" s="587"/>
      <c r="C156" s="625">
        <v>477763</v>
      </c>
      <c r="D156" s="578">
        <v>477763</v>
      </c>
      <c r="E156" s="605"/>
      <c r="F156" s="606"/>
      <c r="G156" s="499">
        <v>360</v>
      </c>
      <c r="H156" s="499">
        <v>0</v>
      </c>
      <c r="I156" s="499">
        <v>0</v>
      </c>
      <c r="J156" s="592">
        <f t="shared" si="29"/>
        <v>360</v>
      </c>
      <c r="K156" s="593"/>
      <c r="L156" s="594">
        <f t="shared" si="27"/>
        <v>360</v>
      </c>
      <c r="M156" s="1155" t="s">
        <v>240</v>
      </c>
      <c r="N156" s="501">
        <f t="shared" si="30"/>
        <v>3.9013285001896651</v>
      </c>
      <c r="O156" s="595">
        <f t="shared" si="18"/>
        <v>1404</v>
      </c>
      <c r="P156" s="583"/>
      <c r="Q156" s="1149">
        <v>540</v>
      </c>
      <c r="R156" s="1149">
        <v>0</v>
      </c>
      <c r="S156" s="1149">
        <v>0</v>
      </c>
      <c r="T156" s="593">
        <v>0.2036</v>
      </c>
      <c r="U156" s="595">
        <f t="shared" si="31"/>
        <v>109.944</v>
      </c>
      <c r="V156" s="583"/>
      <c r="W156" s="432">
        <v>90</v>
      </c>
      <c r="X156" s="432">
        <v>0</v>
      </c>
      <c r="Y156" s="432">
        <v>0</v>
      </c>
      <c r="Z156" s="593">
        <v>1.7611399999999999</v>
      </c>
      <c r="AA156" s="596">
        <f t="shared" si="32"/>
        <v>158.5026</v>
      </c>
      <c r="AB156" s="578"/>
      <c r="AC156" s="611"/>
      <c r="AD156" s="585"/>
      <c r="AE156" s="611"/>
      <c r="AF156" s="585"/>
      <c r="AG156" s="611"/>
      <c r="AH156" s="578"/>
      <c r="AI156" s="612"/>
      <c r="AJ156" s="613"/>
      <c r="AK156" s="600">
        <f t="shared" si="19"/>
        <v>0</v>
      </c>
      <c r="AL156" s="578"/>
      <c r="AM156" s="1150">
        <v>0</v>
      </c>
      <c r="AN156" s="1150">
        <v>0</v>
      </c>
      <c r="AO156" s="1150">
        <v>0</v>
      </c>
      <c r="AP156" s="593">
        <v>0.2036</v>
      </c>
      <c r="AQ156" s="595">
        <f t="shared" si="33"/>
        <v>0</v>
      </c>
      <c r="AR156" s="578"/>
      <c r="AS156" s="601">
        <f t="shared" si="34"/>
        <v>1672.4466</v>
      </c>
      <c r="AT156" s="586"/>
      <c r="AU156" s="512"/>
      <c r="AV156" s="512"/>
      <c r="AW156" s="512">
        <f t="shared" si="28"/>
        <v>1672.4466</v>
      </c>
      <c r="AX156" s="602"/>
      <c r="AY156" s="574"/>
      <c r="AZ156" s="438"/>
    </row>
    <row r="157" spans="1:55" s="588" customFormat="1" ht="15" x14ac:dyDescent="0.25">
      <c r="A157" s="644" t="s">
        <v>294</v>
      </c>
      <c r="B157" s="618"/>
      <c r="C157" s="609" t="s">
        <v>295</v>
      </c>
      <c r="D157" s="578">
        <v>421215</v>
      </c>
      <c r="E157" s="605"/>
      <c r="F157" s="606"/>
      <c r="G157" s="499">
        <v>7200</v>
      </c>
      <c r="H157" s="499">
        <v>4200</v>
      </c>
      <c r="I157" s="499">
        <v>5400</v>
      </c>
      <c r="J157" s="592">
        <f t="shared" si="29"/>
        <v>16800</v>
      </c>
      <c r="K157" s="593"/>
      <c r="L157" s="594">
        <f t="shared" si="27"/>
        <v>16800</v>
      </c>
      <c r="M157" s="610" t="s">
        <v>255</v>
      </c>
      <c r="N157" s="501">
        <f t="shared" si="30"/>
        <v>3.9013285001896651</v>
      </c>
      <c r="O157" s="595">
        <f t="shared" si="18"/>
        <v>65542</v>
      </c>
      <c r="P157" s="583"/>
      <c r="Q157" s="1149">
        <v>11162.049335863378</v>
      </c>
      <c r="R157" s="1149">
        <v>5825.8064516129034</v>
      </c>
      <c r="S157" s="1149">
        <v>1853.609574898785</v>
      </c>
      <c r="T157" s="593">
        <v>0.2036</v>
      </c>
      <c r="U157" s="595">
        <f t="shared" si="31"/>
        <v>3836.1223477795638</v>
      </c>
      <c r="V157" s="583"/>
      <c r="W157" s="432">
        <v>177.6091081593928</v>
      </c>
      <c r="X157" s="432">
        <v>169.35483870967741</v>
      </c>
      <c r="Y157" s="432">
        <v>103.84615384615385</v>
      </c>
      <c r="Z157" s="593">
        <v>1.7611399999999999</v>
      </c>
      <c r="AA157" s="596">
        <f t="shared" si="32"/>
        <v>793.93970077360973</v>
      </c>
      <c r="AB157" s="578"/>
      <c r="AC157" s="611"/>
      <c r="AD157" s="585"/>
      <c r="AE157" s="611"/>
      <c r="AF157" s="585"/>
      <c r="AG157" s="611"/>
      <c r="AH157" s="578"/>
      <c r="AI157" s="612"/>
      <c r="AJ157" s="613"/>
      <c r="AK157" s="600">
        <f t="shared" si="19"/>
        <v>0</v>
      </c>
      <c r="AL157" s="578"/>
      <c r="AM157" s="1150">
        <v>109.29791271347248</v>
      </c>
      <c r="AN157" s="1150">
        <v>169.35483870967741</v>
      </c>
      <c r="AO157" s="1150">
        <v>207.69230769230771</v>
      </c>
      <c r="AP157" s="593">
        <v>0.2036</v>
      </c>
      <c r="AQ157" s="595">
        <f t="shared" si="33"/>
        <v>99.019854035907173</v>
      </c>
      <c r="AR157" s="578"/>
      <c r="AS157" s="601">
        <f t="shared" si="34"/>
        <v>70271.081902589081</v>
      </c>
      <c r="AT157" s="586"/>
      <c r="AU157" s="512"/>
      <c r="AV157" s="512"/>
      <c r="AW157" s="512">
        <f t="shared" si="28"/>
        <v>70271.081902589081</v>
      </c>
      <c r="AX157" s="602"/>
      <c r="AY157" s="574"/>
      <c r="AZ157" s="438"/>
    </row>
    <row r="158" spans="1:55" s="588" customFormat="1" ht="15" x14ac:dyDescent="0.25">
      <c r="A158" s="587" t="s">
        <v>296</v>
      </c>
      <c r="B158" s="587" t="s">
        <v>297</v>
      </c>
      <c r="C158" s="589">
        <v>258417</v>
      </c>
      <c r="D158" s="578">
        <v>258417</v>
      </c>
      <c r="E158" s="605"/>
      <c r="F158" s="606"/>
      <c r="G158" s="499">
        <v>0</v>
      </c>
      <c r="H158" s="499">
        <v>0</v>
      </c>
      <c r="I158" s="499">
        <v>0</v>
      </c>
      <c r="J158" s="592">
        <f t="shared" si="29"/>
        <v>0</v>
      </c>
      <c r="K158" s="593"/>
      <c r="L158" s="594">
        <f t="shared" si="27"/>
        <v>0</v>
      </c>
      <c r="M158" s="610" t="s">
        <v>255</v>
      </c>
      <c r="N158" s="501">
        <f t="shared" si="30"/>
        <v>3.9013285001896651</v>
      </c>
      <c r="O158" s="595">
        <f t="shared" si="18"/>
        <v>0</v>
      </c>
      <c r="P158" s="583"/>
      <c r="Q158" s="1149">
        <v>0</v>
      </c>
      <c r="R158" s="1149">
        <v>0</v>
      </c>
      <c r="S158" s="1149">
        <v>0</v>
      </c>
      <c r="T158" s="593">
        <v>0.2036</v>
      </c>
      <c r="U158" s="595">
        <f t="shared" si="31"/>
        <v>0</v>
      </c>
      <c r="V158" s="583"/>
      <c r="W158" s="432">
        <v>0</v>
      </c>
      <c r="X158" s="432">
        <v>0</v>
      </c>
      <c r="Y158" s="432">
        <v>0</v>
      </c>
      <c r="Z158" s="593">
        <v>1.7611399999999999</v>
      </c>
      <c r="AA158" s="596">
        <f t="shared" si="32"/>
        <v>0</v>
      </c>
      <c r="AB158" s="578"/>
      <c r="AC158" s="611"/>
      <c r="AD158" s="585"/>
      <c r="AE158" s="611"/>
      <c r="AF158" s="585"/>
      <c r="AG158" s="611"/>
      <c r="AH158" s="578"/>
      <c r="AI158" s="612"/>
      <c r="AJ158" s="613"/>
      <c r="AK158" s="600">
        <f t="shared" si="19"/>
        <v>0</v>
      </c>
      <c r="AL158" s="578"/>
      <c r="AM158" s="1150">
        <v>0</v>
      </c>
      <c r="AN158" s="1150">
        <v>0</v>
      </c>
      <c r="AO158" s="1150">
        <v>0</v>
      </c>
      <c r="AP158" s="593">
        <v>0.2036</v>
      </c>
      <c r="AQ158" s="595">
        <f t="shared" si="33"/>
        <v>0</v>
      </c>
      <c r="AR158" s="578"/>
      <c r="AS158" s="601">
        <f t="shared" si="34"/>
        <v>0</v>
      </c>
      <c r="AT158" s="586"/>
      <c r="AU158" s="512"/>
      <c r="AV158" s="512"/>
      <c r="AW158" s="512">
        <f t="shared" si="28"/>
        <v>0</v>
      </c>
      <c r="AX158" s="602"/>
      <c r="AY158" s="574"/>
      <c r="AZ158" s="438"/>
    </row>
    <row r="159" spans="1:55" s="588" customFormat="1" ht="15" x14ac:dyDescent="0.25">
      <c r="A159" s="587" t="s">
        <v>298</v>
      </c>
      <c r="B159" s="587" t="s">
        <v>299</v>
      </c>
      <c r="C159" s="589" t="s">
        <v>300</v>
      </c>
      <c r="D159" s="578">
        <v>345674</v>
      </c>
      <c r="E159" s="605"/>
      <c r="F159" s="606"/>
      <c r="G159" s="499">
        <v>4608</v>
      </c>
      <c r="H159" s="499">
        <v>5460</v>
      </c>
      <c r="I159" s="499">
        <v>4680</v>
      </c>
      <c r="J159" s="592">
        <f t="shared" si="29"/>
        <v>14748</v>
      </c>
      <c r="K159" s="593"/>
      <c r="L159" s="594">
        <f t="shared" si="27"/>
        <v>14748</v>
      </c>
      <c r="M159" s="610" t="s">
        <v>240</v>
      </c>
      <c r="N159" s="501">
        <f t="shared" si="30"/>
        <v>3.9013285001896651</v>
      </c>
      <c r="O159" s="595">
        <f t="shared" si="18"/>
        <v>57537</v>
      </c>
      <c r="P159" s="583"/>
      <c r="Q159" s="1149">
        <v>5110.6909090909094</v>
      </c>
      <c r="R159" s="1149">
        <v>6093.75</v>
      </c>
      <c r="S159" s="1149">
        <v>5980.9568684210535</v>
      </c>
      <c r="T159" s="593">
        <v>0.2036</v>
      </c>
      <c r="U159" s="595">
        <f t="shared" si="31"/>
        <v>3498.9469875014361</v>
      </c>
      <c r="V159" s="583"/>
      <c r="W159" s="432">
        <v>0</v>
      </c>
      <c r="X159" s="432">
        <v>0</v>
      </c>
      <c r="Y159" s="432">
        <v>0</v>
      </c>
      <c r="Z159" s="593">
        <v>1.7611399999999999</v>
      </c>
      <c r="AA159" s="596">
        <f t="shared" si="32"/>
        <v>0</v>
      </c>
      <c r="AB159" s="578"/>
      <c r="AC159" s="611"/>
      <c r="AD159" s="585"/>
      <c r="AE159" s="611"/>
      <c r="AF159" s="585"/>
      <c r="AG159" s="611"/>
      <c r="AH159" s="578"/>
      <c r="AI159" s="612"/>
      <c r="AJ159" s="613"/>
      <c r="AK159" s="600">
        <f t="shared" si="19"/>
        <v>0</v>
      </c>
      <c r="AL159" s="578"/>
      <c r="AM159" s="1150">
        <v>0</v>
      </c>
      <c r="AN159" s="1150">
        <v>0</v>
      </c>
      <c r="AO159" s="1150">
        <v>268.125</v>
      </c>
      <c r="AP159" s="593">
        <v>0.2036</v>
      </c>
      <c r="AQ159" s="595">
        <f t="shared" si="33"/>
        <v>54.590249999999997</v>
      </c>
      <c r="AR159" s="578"/>
      <c r="AS159" s="601">
        <f t="shared" si="34"/>
        <v>61090.537237501434</v>
      </c>
      <c r="AT159" s="586"/>
      <c r="AU159" s="512"/>
      <c r="AV159" s="512"/>
      <c r="AW159" s="512">
        <f t="shared" si="28"/>
        <v>61090.537237501434</v>
      </c>
      <c r="AX159" s="602"/>
      <c r="AZ159" s="438"/>
    </row>
    <row r="160" spans="1:55" s="588" customFormat="1" ht="15" x14ac:dyDescent="0.25">
      <c r="A160" s="587" t="s">
        <v>301</v>
      </c>
      <c r="B160" s="587" t="s">
        <v>302</v>
      </c>
      <c r="C160" s="589" t="s">
        <v>303</v>
      </c>
      <c r="D160" s="578">
        <v>307423</v>
      </c>
      <c r="E160" s="605"/>
      <c r="F160" s="606"/>
      <c r="G160" s="499">
        <v>6120</v>
      </c>
      <c r="H160" s="499">
        <v>4620</v>
      </c>
      <c r="I160" s="499">
        <v>5580</v>
      </c>
      <c r="J160" s="592">
        <f t="shared" si="29"/>
        <v>16320</v>
      </c>
      <c r="K160" s="593"/>
      <c r="L160" s="594">
        <f t="shared" si="27"/>
        <v>16320</v>
      </c>
      <c r="M160" s="610" t="s">
        <v>255</v>
      </c>
      <c r="N160" s="501">
        <f t="shared" si="30"/>
        <v>3.9013285001896651</v>
      </c>
      <c r="O160" s="595">
        <f t="shared" si="18"/>
        <v>63670</v>
      </c>
      <c r="P160" s="583"/>
      <c r="Q160" s="1149">
        <v>5814.8973607038124</v>
      </c>
      <c r="R160" s="1149">
        <v>6910.1432664756439</v>
      </c>
      <c r="S160" s="1149">
        <v>9493.7046923076923</v>
      </c>
      <c r="T160" s="593">
        <v>0.2036</v>
      </c>
      <c r="U160" s="595">
        <f t="shared" si="31"/>
        <v>4523.7365470475834</v>
      </c>
      <c r="V160" s="583"/>
      <c r="W160" s="432">
        <v>0</v>
      </c>
      <c r="X160" s="432">
        <v>397.13467048710601</v>
      </c>
      <c r="Y160" s="432">
        <v>429.23076923076923</v>
      </c>
      <c r="Z160" s="593">
        <v>1.7611399999999999</v>
      </c>
      <c r="AA160" s="596">
        <f t="shared" si="32"/>
        <v>1455.3452305047388</v>
      </c>
      <c r="AB160" s="578"/>
      <c r="AC160" s="611"/>
      <c r="AD160" s="585"/>
      <c r="AE160" s="611"/>
      <c r="AF160" s="585"/>
      <c r="AG160" s="611"/>
      <c r="AH160" s="578"/>
      <c r="AI160" s="612"/>
      <c r="AJ160" s="613"/>
      <c r="AK160" s="600">
        <f t="shared" si="19"/>
        <v>0</v>
      </c>
      <c r="AL160" s="578"/>
      <c r="AM160" s="1150">
        <v>0</v>
      </c>
      <c r="AN160" s="1150">
        <v>0</v>
      </c>
      <c r="AO160" s="1150">
        <v>0</v>
      </c>
      <c r="AP160" s="593">
        <v>0.2036</v>
      </c>
      <c r="AQ160" s="595">
        <f t="shared" si="33"/>
        <v>0</v>
      </c>
      <c r="AR160" s="578"/>
      <c r="AS160" s="601">
        <f t="shared" si="34"/>
        <v>69649.081777552317</v>
      </c>
      <c r="AT160" s="586"/>
      <c r="AU160" s="512"/>
      <c r="AV160" s="512"/>
      <c r="AW160" s="512">
        <f t="shared" si="28"/>
        <v>69649.081777552317</v>
      </c>
      <c r="AX160" s="602"/>
      <c r="AY160" s="574"/>
      <c r="AZ160" s="438"/>
    </row>
    <row r="161" spans="1:52" s="588" customFormat="1" ht="15" x14ac:dyDescent="0.25">
      <c r="A161" s="603" t="s">
        <v>801</v>
      </c>
      <c r="B161" s="437"/>
      <c r="C161" s="645" t="s">
        <v>802</v>
      </c>
      <c r="D161" s="578">
        <v>475427</v>
      </c>
      <c r="E161" s="605"/>
      <c r="F161" s="606"/>
      <c r="G161" s="499">
        <v>1080</v>
      </c>
      <c r="H161" s="499">
        <v>840</v>
      </c>
      <c r="I161" s="499">
        <v>1080</v>
      </c>
      <c r="J161" s="592">
        <f t="shared" si="29"/>
        <v>3000</v>
      </c>
      <c r="K161" s="593"/>
      <c r="L161" s="594">
        <f t="shared" si="27"/>
        <v>3000</v>
      </c>
      <c r="M161" s="610" t="s">
        <v>255</v>
      </c>
      <c r="N161" s="501">
        <f t="shared" si="30"/>
        <v>3.9013285001896651</v>
      </c>
      <c r="O161" s="595">
        <f t="shared" si="18"/>
        <v>11704</v>
      </c>
      <c r="P161" s="583"/>
      <c r="Q161" s="1149">
        <v>1388.5714285714287</v>
      </c>
      <c r="R161" s="1149">
        <v>1960.0000000000002</v>
      </c>
      <c r="S161" s="1149">
        <v>0</v>
      </c>
      <c r="T161" s="593">
        <v>0.2036</v>
      </c>
      <c r="U161" s="595">
        <f t="shared" si="31"/>
        <v>681.76914285714292</v>
      </c>
      <c r="V161" s="583"/>
      <c r="W161" s="432">
        <v>0</v>
      </c>
      <c r="X161" s="432">
        <v>0</v>
      </c>
      <c r="Y161" s="432">
        <v>0</v>
      </c>
      <c r="Z161" s="593">
        <v>1.7611399999999999</v>
      </c>
      <c r="AA161" s="596">
        <f t="shared" si="32"/>
        <v>0</v>
      </c>
      <c r="AB161" s="578"/>
      <c r="AC161" s="611"/>
      <c r="AD161" s="585"/>
      <c r="AE161" s="611"/>
      <c r="AF161" s="585"/>
      <c r="AG161" s="611"/>
      <c r="AH161" s="578"/>
      <c r="AI161" s="612"/>
      <c r="AJ161" s="613"/>
      <c r="AK161" s="600">
        <f t="shared" si="19"/>
        <v>0</v>
      </c>
      <c r="AL161" s="578"/>
      <c r="AM161" s="1150">
        <v>308.57142857142856</v>
      </c>
      <c r="AN161" s="1150">
        <v>560</v>
      </c>
      <c r="AO161" s="1150">
        <v>0</v>
      </c>
      <c r="AP161" s="593">
        <v>0.2036</v>
      </c>
      <c r="AQ161" s="595">
        <f t="shared" si="33"/>
        <v>176.84114285714287</v>
      </c>
      <c r="AR161" s="578"/>
      <c r="AS161" s="601">
        <f t="shared" si="34"/>
        <v>12562.610285714285</v>
      </c>
      <c r="AT161" s="586"/>
      <c r="AU161" s="512"/>
      <c r="AV161" s="512"/>
      <c r="AW161" s="512">
        <f t="shared" si="28"/>
        <v>12562.610285714285</v>
      </c>
      <c r="AX161" s="602"/>
      <c r="AY161" s="574"/>
      <c r="AZ161" s="438"/>
    </row>
    <row r="162" spans="1:52" s="588" customFormat="1" ht="15" x14ac:dyDescent="0.25">
      <c r="A162" s="587" t="s">
        <v>304</v>
      </c>
      <c r="B162" s="587" t="s">
        <v>305</v>
      </c>
      <c r="C162" s="589">
        <v>206106</v>
      </c>
      <c r="D162" s="578">
        <v>206106</v>
      </c>
      <c r="E162" s="605"/>
      <c r="F162" s="606"/>
      <c r="G162" s="499">
        <v>2700</v>
      </c>
      <c r="H162" s="499">
        <v>1680</v>
      </c>
      <c r="I162" s="499">
        <v>2340</v>
      </c>
      <c r="J162" s="592">
        <f t="shared" si="29"/>
        <v>6720</v>
      </c>
      <c r="K162" s="593"/>
      <c r="L162" s="594">
        <f t="shared" si="27"/>
        <v>6720</v>
      </c>
      <c r="M162" s="610" t="s">
        <v>240</v>
      </c>
      <c r="N162" s="501">
        <f t="shared" si="30"/>
        <v>3.9013285001896651</v>
      </c>
      <c r="O162" s="595">
        <f t="shared" ref="O162:O224" si="35">ROUND(N162*L162,0)</f>
        <v>26217</v>
      </c>
      <c r="P162" s="583"/>
      <c r="Q162" s="1149">
        <v>2511.6279069767443</v>
      </c>
      <c r="R162" s="1149">
        <v>2339.6858638743456</v>
      </c>
      <c r="S162" s="1149">
        <v>2378.0953759398503</v>
      </c>
      <c r="T162" s="593">
        <v>0.2036</v>
      </c>
      <c r="U162" s="595">
        <f t="shared" si="31"/>
        <v>1471.9077022866354</v>
      </c>
      <c r="V162" s="583"/>
      <c r="W162" s="432">
        <v>0</v>
      </c>
      <c r="X162" s="432">
        <v>0</v>
      </c>
      <c r="Y162" s="432">
        <v>0</v>
      </c>
      <c r="Z162" s="593">
        <v>1.7611399999999999</v>
      </c>
      <c r="AA162" s="596">
        <f t="shared" si="32"/>
        <v>0</v>
      </c>
      <c r="AB162" s="578"/>
      <c r="AC162" s="611"/>
      <c r="AD162" s="585"/>
      <c r="AE162" s="611"/>
      <c r="AF162" s="585"/>
      <c r="AG162" s="611"/>
      <c r="AH162" s="578"/>
      <c r="AI162" s="612"/>
      <c r="AJ162" s="613"/>
      <c r="AK162" s="600">
        <f t="shared" si="19"/>
        <v>0</v>
      </c>
      <c r="AL162" s="578"/>
      <c r="AM162" s="1150">
        <v>156.97674418604652</v>
      </c>
      <c r="AN162" s="1150">
        <v>0</v>
      </c>
      <c r="AO162" s="1150">
        <v>167.14285714285714</v>
      </c>
      <c r="AP162" s="593">
        <v>0.2036</v>
      </c>
      <c r="AQ162" s="595">
        <f t="shared" si="33"/>
        <v>65.990750830564778</v>
      </c>
      <c r="AR162" s="578"/>
      <c r="AS162" s="601">
        <f t="shared" si="34"/>
        <v>27754.898453117199</v>
      </c>
      <c r="AT162" s="586"/>
      <c r="AU162" s="512"/>
      <c r="AV162" s="512"/>
      <c r="AW162" s="512">
        <f t="shared" si="28"/>
        <v>27754.898453117199</v>
      </c>
      <c r="AX162" s="602"/>
      <c r="AY162" s="574"/>
      <c r="AZ162" s="438"/>
    </row>
    <row r="163" spans="1:52" s="588" customFormat="1" ht="15" x14ac:dyDescent="0.25">
      <c r="A163" s="619" t="s">
        <v>306</v>
      </c>
      <c r="B163" s="587"/>
      <c r="C163" s="589" t="s">
        <v>307</v>
      </c>
      <c r="D163" s="578">
        <v>440848</v>
      </c>
      <c r="E163" s="605"/>
      <c r="F163" s="606"/>
      <c r="G163" s="499">
        <v>9000</v>
      </c>
      <c r="H163" s="499">
        <v>10920</v>
      </c>
      <c r="I163" s="499">
        <v>8640</v>
      </c>
      <c r="J163" s="592">
        <f t="shared" si="29"/>
        <v>28560</v>
      </c>
      <c r="K163" s="593"/>
      <c r="L163" s="594">
        <f t="shared" si="27"/>
        <v>28560</v>
      </c>
      <c r="M163" s="610" t="s">
        <v>240</v>
      </c>
      <c r="N163" s="501">
        <f t="shared" si="30"/>
        <v>3.9013285001896651</v>
      </c>
      <c r="O163" s="595">
        <f t="shared" si="35"/>
        <v>111422</v>
      </c>
      <c r="P163" s="583"/>
      <c r="Q163" s="1149">
        <v>23495.956873315361</v>
      </c>
      <c r="R163" s="1149">
        <v>29476.751269035532</v>
      </c>
      <c r="S163" s="1149">
        <v>26205.468631578951</v>
      </c>
      <c r="T163" s="593">
        <v>0.2036</v>
      </c>
      <c r="U163" s="595">
        <f t="shared" si="31"/>
        <v>16120.676791172118</v>
      </c>
      <c r="V163" s="583"/>
      <c r="W163" s="432">
        <v>134.77088948787062</v>
      </c>
      <c r="X163" s="432">
        <v>0</v>
      </c>
      <c r="Y163" s="432">
        <v>240</v>
      </c>
      <c r="Z163" s="593">
        <v>1.7611399999999999</v>
      </c>
      <c r="AA163" s="596">
        <f t="shared" si="32"/>
        <v>660.02400431266835</v>
      </c>
      <c r="AB163" s="578"/>
      <c r="AC163" s="611"/>
      <c r="AD163" s="585"/>
      <c r="AE163" s="611"/>
      <c r="AF163" s="585"/>
      <c r="AG163" s="611"/>
      <c r="AH163" s="578"/>
      <c r="AI163" s="612"/>
      <c r="AJ163" s="613"/>
      <c r="AK163" s="600">
        <f t="shared" si="19"/>
        <v>0</v>
      </c>
      <c r="AL163" s="578"/>
      <c r="AM163" s="1150">
        <v>175.2021563342318</v>
      </c>
      <c r="AN163" s="1150">
        <v>298.47715736040607</v>
      </c>
      <c r="AO163" s="1150">
        <v>240</v>
      </c>
      <c r="AP163" s="593">
        <v>0.2036</v>
      </c>
      <c r="AQ163" s="595">
        <f t="shared" si="33"/>
        <v>145.30510826822825</v>
      </c>
      <c r="AR163" s="578"/>
      <c r="AS163" s="601">
        <f t="shared" si="34"/>
        <v>128348.00590375302</v>
      </c>
      <c r="AT163" s="586"/>
      <c r="AU163" s="512"/>
      <c r="AV163" s="512"/>
      <c r="AW163" s="512">
        <f t="shared" si="28"/>
        <v>128348.00590375302</v>
      </c>
      <c r="AX163" s="602"/>
      <c r="AY163" s="574"/>
      <c r="AZ163" s="438"/>
    </row>
    <row r="164" spans="1:52" s="588" customFormat="1" ht="15" x14ac:dyDescent="0.25">
      <c r="A164" s="587" t="s">
        <v>803</v>
      </c>
      <c r="B164" s="587"/>
      <c r="C164" s="589" t="s">
        <v>804</v>
      </c>
      <c r="D164" s="578">
        <v>478943</v>
      </c>
      <c r="E164" s="605"/>
      <c r="F164" s="606"/>
      <c r="G164" s="499">
        <v>4140</v>
      </c>
      <c r="H164" s="499">
        <v>5250</v>
      </c>
      <c r="I164" s="499">
        <v>4860</v>
      </c>
      <c r="J164" s="592">
        <f t="shared" si="29"/>
        <v>14250</v>
      </c>
      <c r="K164" s="593"/>
      <c r="L164" s="594">
        <f t="shared" si="27"/>
        <v>14250</v>
      </c>
      <c r="M164" s="610" t="s">
        <v>240</v>
      </c>
      <c r="N164" s="501">
        <f t="shared" si="30"/>
        <v>3.9013285001896651</v>
      </c>
      <c r="O164" s="595">
        <f t="shared" si="35"/>
        <v>55594</v>
      </c>
      <c r="P164" s="583"/>
      <c r="Q164" s="1149">
        <v>7088.4878048780483</v>
      </c>
      <c r="R164" s="1149">
        <v>13840.90909090909</v>
      </c>
      <c r="S164" s="1149">
        <v>0</v>
      </c>
      <c r="T164" s="593">
        <v>0.2036</v>
      </c>
      <c r="U164" s="595">
        <f t="shared" si="31"/>
        <v>4261.225207982262</v>
      </c>
      <c r="V164" s="583"/>
      <c r="W164" s="432">
        <v>0</v>
      </c>
      <c r="X164" s="432">
        <v>0</v>
      </c>
      <c r="Y164" s="432">
        <v>0</v>
      </c>
      <c r="Z164" s="593">
        <v>1.7611399999999999</v>
      </c>
      <c r="AA164" s="596">
        <f t="shared" si="32"/>
        <v>0</v>
      </c>
      <c r="AB164" s="578"/>
      <c r="AC164" s="611"/>
      <c r="AD164" s="585"/>
      <c r="AE164" s="611"/>
      <c r="AF164" s="585"/>
      <c r="AG164" s="611"/>
      <c r="AH164" s="578"/>
      <c r="AI164" s="612"/>
      <c r="AJ164" s="613"/>
      <c r="AK164" s="600">
        <f t="shared" si="19"/>
        <v>0</v>
      </c>
      <c r="AL164" s="578"/>
      <c r="AM164" s="1150">
        <v>525.07317073170736</v>
      </c>
      <c r="AN164" s="1150">
        <v>477.27272727272731</v>
      </c>
      <c r="AO164" s="1150">
        <v>0</v>
      </c>
      <c r="AP164" s="593">
        <v>0.2036</v>
      </c>
      <c r="AQ164" s="595">
        <f t="shared" si="33"/>
        <v>204.07762483370291</v>
      </c>
      <c r="AR164" s="578"/>
      <c r="AS164" s="601">
        <f t="shared" si="34"/>
        <v>60059.302832815963</v>
      </c>
      <c r="AT164" s="586"/>
      <c r="AU164" s="512"/>
      <c r="AV164" s="512"/>
      <c r="AW164" s="512">
        <f t="shared" si="28"/>
        <v>60059.302832815963</v>
      </c>
      <c r="AX164" s="602"/>
      <c r="AY164" s="574"/>
      <c r="AZ164" s="438"/>
    </row>
    <row r="165" spans="1:52" s="588" customFormat="1" ht="15" x14ac:dyDescent="0.25">
      <c r="A165" s="587" t="s">
        <v>308</v>
      </c>
      <c r="B165" s="587" t="s">
        <v>262</v>
      </c>
      <c r="C165" s="589" t="s">
        <v>309</v>
      </c>
      <c r="D165" s="578">
        <v>406182</v>
      </c>
      <c r="E165" s="605"/>
      <c r="F165" s="606"/>
      <c r="G165" s="499">
        <v>1356</v>
      </c>
      <c r="H165" s="499">
        <v>630</v>
      </c>
      <c r="I165" s="499">
        <v>1080</v>
      </c>
      <c r="J165" s="592">
        <f t="shared" si="29"/>
        <v>3066</v>
      </c>
      <c r="K165" s="593"/>
      <c r="L165" s="594">
        <f t="shared" si="27"/>
        <v>3066</v>
      </c>
      <c r="M165" s="610" t="s">
        <v>255</v>
      </c>
      <c r="N165" s="501">
        <f t="shared" si="30"/>
        <v>3.9013285001896651</v>
      </c>
      <c r="O165" s="595">
        <f t="shared" si="35"/>
        <v>11961</v>
      </c>
      <c r="P165" s="583"/>
      <c r="Q165" s="1149">
        <v>0</v>
      </c>
      <c r="R165" s="1149">
        <v>0</v>
      </c>
      <c r="S165" s="1149">
        <v>208.236992481203</v>
      </c>
      <c r="T165" s="593">
        <v>0.2036</v>
      </c>
      <c r="U165" s="595">
        <f t="shared" si="31"/>
        <v>42.397051669172932</v>
      </c>
      <c r="V165" s="583"/>
      <c r="W165" s="432">
        <v>0</v>
      </c>
      <c r="X165" s="432">
        <v>0</v>
      </c>
      <c r="Y165" s="432">
        <v>0</v>
      </c>
      <c r="Z165" s="593">
        <v>1.7611399999999999</v>
      </c>
      <c r="AA165" s="596">
        <f t="shared" si="32"/>
        <v>0</v>
      </c>
      <c r="AB165" s="578"/>
      <c r="AC165" s="611"/>
      <c r="AD165" s="585"/>
      <c r="AE165" s="611"/>
      <c r="AF165" s="585"/>
      <c r="AG165" s="611"/>
      <c r="AH165" s="578"/>
      <c r="AI165" s="612"/>
      <c r="AJ165" s="613"/>
      <c r="AK165" s="600">
        <f t="shared" ref="AK165:AK227" si="36">AJ165*AI165</f>
        <v>0</v>
      </c>
      <c r="AL165" s="578"/>
      <c r="AM165" s="1150">
        <v>0</v>
      </c>
      <c r="AN165" s="1150">
        <v>0</v>
      </c>
      <c r="AO165" s="1150">
        <v>462.85714285714283</v>
      </c>
      <c r="AP165" s="593">
        <v>0.2036</v>
      </c>
      <c r="AQ165" s="595">
        <f t="shared" si="33"/>
        <v>94.237714285714276</v>
      </c>
      <c r="AR165" s="578"/>
      <c r="AS165" s="601">
        <f t="shared" si="34"/>
        <v>12097.634765954886</v>
      </c>
      <c r="AT165" s="586"/>
      <c r="AU165" s="512"/>
      <c r="AV165" s="512"/>
      <c r="AW165" s="512">
        <f t="shared" si="28"/>
        <v>12097.634765954886</v>
      </c>
      <c r="AX165" s="602"/>
      <c r="AY165" s="574"/>
      <c r="AZ165" s="438"/>
    </row>
    <row r="166" spans="1:52" s="588" customFormat="1" ht="15" x14ac:dyDescent="0.25">
      <c r="A166" s="619" t="s">
        <v>310</v>
      </c>
      <c r="B166" s="587"/>
      <c r="C166" s="589" t="s">
        <v>311</v>
      </c>
      <c r="D166" s="578">
        <v>440937</v>
      </c>
      <c r="E166" s="605"/>
      <c r="F166" s="606"/>
      <c r="G166" s="499">
        <v>8113.8461538461543</v>
      </c>
      <c r="H166" s="499">
        <v>4200</v>
      </c>
      <c r="I166" s="499">
        <v>5760</v>
      </c>
      <c r="J166" s="592">
        <f t="shared" si="29"/>
        <v>18073.846153846156</v>
      </c>
      <c r="K166" s="593"/>
      <c r="L166" s="594">
        <f t="shared" si="27"/>
        <v>18073.846153846156</v>
      </c>
      <c r="M166" s="610" t="s">
        <v>240</v>
      </c>
      <c r="N166" s="501">
        <f t="shared" si="30"/>
        <v>3.9013285001896651</v>
      </c>
      <c r="O166" s="595">
        <f t="shared" si="35"/>
        <v>70512</v>
      </c>
      <c r="P166" s="583"/>
      <c r="Q166" s="1149">
        <v>16601.538461538465</v>
      </c>
      <c r="R166" s="1149">
        <v>5880</v>
      </c>
      <c r="S166" s="1149">
        <v>15807.501473684211</v>
      </c>
      <c r="T166" s="593">
        <v>0.2036</v>
      </c>
      <c r="U166" s="595">
        <f t="shared" si="31"/>
        <v>7795.648530811337</v>
      </c>
      <c r="V166" s="583"/>
      <c r="W166" s="432">
        <v>401.53846153846155</v>
      </c>
      <c r="X166" s="432">
        <v>0</v>
      </c>
      <c r="Y166" s="432">
        <v>1260</v>
      </c>
      <c r="Z166" s="593">
        <v>1.7611399999999999</v>
      </c>
      <c r="AA166" s="596">
        <f t="shared" si="32"/>
        <v>2926.201846153846</v>
      </c>
      <c r="AB166" s="578"/>
      <c r="AC166" s="611"/>
      <c r="AD166" s="585"/>
      <c r="AE166" s="611"/>
      <c r="AF166" s="585"/>
      <c r="AG166" s="611"/>
      <c r="AH166" s="578"/>
      <c r="AI166" s="612"/>
      <c r="AJ166" s="613"/>
      <c r="AK166" s="600">
        <f t="shared" si="36"/>
        <v>0</v>
      </c>
      <c r="AL166" s="578"/>
      <c r="AM166" s="1150">
        <v>2340.0000000000005</v>
      </c>
      <c r="AN166" s="1150">
        <v>840</v>
      </c>
      <c r="AO166" s="1150">
        <v>1920</v>
      </c>
      <c r="AP166" s="593">
        <v>0.2036</v>
      </c>
      <c r="AQ166" s="595">
        <f t="shared" si="33"/>
        <v>1038.3600000000001</v>
      </c>
      <c r="AR166" s="578"/>
      <c r="AS166" s="601">
        <f t="shared" si="34"/>
        <v>82272.210376965188</v>
      </c>
      <c r="AT166" s="586"/>
      <c r="AU166" s="512"/>
      <c r="AV166" s="512"/>
      <c r="AW166" s="512">
        <f t="shared" si="28"/>
        <v>82272.210376965188</v>
      </c>
      <c r="AX166" s="602"/>
      <c r="AY166" s="574"/>
      <c r="AZ166" s="438"/>
    </row>
    <row r="167" spans="1:52" s="588" customFormat="1" ht="15" x14ac:dyDescent="0.25">
      <c r="A167" s="646" t="s">
        <v>312</v>
      </c>
      <c r="B167" s="587" t="s">
        <v>313</v>
      </c>
      <c r="C167" s="589">
        <v>206133</v>
      </c>
      <c r="D167" s="578">
        <v>206133</v>
      </c>
      <c r="E167" s="605"/>
      <c r="F167" s="606"/>
      <c r="G167" s="499">
        <v>0</v>
      </c>
      <c r="H167" s="499">
        <v>0</v>
      </c>
      <c r="I167" s="499">
        <v>0</v>
      </c>
      <c r="J167" s="592">
        <f t="shared" si="29"/>
        <v>0</v>
      </c>
      <c r="K167" s="593"/>
      <c r="L167" s="594">
        <f t="shared" si="27"/>
        <v>0</v>
      </c>
      <c r="M167" s="610" t="s">
        <v>255</v>
      </c>
      <c r="N167" s="501">
        <f t="shared" si="30"/>
        <v>3.9013285001896651</v>
      </c>
      <c r="O167" s="595">
        <f t="shared" si="35"/>
        <v>0</v>
      </c>
      <c r="P167" s="583"/>
      <c r="Q167" s="1149">
        <v>0</v>
      </c>
      <c r="R167" s="1149">
        <v>0</v>
      </c>
      <c r="S167" s="1149">
        <v>0</v>
      </c>
      <c r="T167" s="593">
        <v>0.2036</v>
      </c>
      <c r="U167" s="595">
        <f t="shared" si="31"/>
        <v>0</v>
      </c>
      <c r="V167" s="583"/>
      <c r="W167" s="432">
        <v>0</v>
      </c>
      <c r="X167" s="432">
        <v>0</v>
      </c>
      <c r="Y167" s="432">
        <v>0</v>
      </c>
      <c r="Z167" s="593">
        <v>1.7611399999999999</v>
      </c>
      <c r="AA167" s="596">
        <f t="shared" si="32"/>
        <v>0</v>
      </c>
      <c r="AB167" s="578"/>
      <c r="AC167" s="611"/>
      <c r="AD167" s="585"/>
      <c r="AE167" s="611"/>
      <c r="AF167" s="585"/>
      <c r="AG167" s="611"/>
      <c r="AH167" s="578"/>
      <c r="AI167" s="612"/>
      <c r="AJ167" s="613"/>
      <c r="AK167" s="600">
        <f t="shared" si="36"/>
        <v>0</v>
      </c>
      <c r="AL167" s="578"/>
      <c r="AM167" s="1150">
        <v>0</v>
      </c>
      <c r="AN167" s="1150">
        <v>0</v>
      </c>
      <c r="AO167" s="1150">
        <v>0</v>
      </c>
      <c r="AP167" s="593">
        <v>0.2036</v>
      </c>
      <c r="AQ167" s="595">
        <f t="shared" si="33"/>
        <v>0</v>
      </c>
      <c r="AR167" s="578"/>
      <c r="AS167" s="601">
        <f t="shared" si="34"/>
        <v>0</v>
      </c>
      <c r="AT167" s="586"/>
      <c r="AU167" s="512"/>
      <c r="AV167" s="512"/>
      <c r="AW167" s="512">
        <f t="shared" si="28"/>
        <v>0</v>
      </c>
      <c r="AX167" s="602"/>
      <c r="AY167" s="574"/>
      <c r="AZ167" s="438"/>
    </row>
    <row r="168" spans="1:52" s="588" customFormat="1" ht="15" x14ac:dyDescent="0.25">
      <c r="A168" s="647" t="s">
        <v>806</v>
      </c>
      <c r="B168" s="587"/>
      <c r="C168" s="589" t="s">
        <v>807</v>
      </c>
      <c r="D168" s="578">
        <v>477956</v>
      </c>
      <c r="E168" s="605"/>
      <c r="F168" s="606"/>
      <c r="G168" s="499">
        <v>12420</v>
      </c>
      <c r="H168" s="499">
        <v>10710</v>
      </c>
      <c r="I168" s="499">
        <v>9180</v>
      </c>
      <c r="J168" s="592">
        <f t="shared" si="29"/>
        <v>32310</v>
      </c>
      <c r="K168" s="593"/>
      <c r="L168" s="594">
        <f t="shared" si="27"/>
        <v>32310</v>
      </c>
      <c r="M168" s="610" t="s">
        <v>240</v>
      </c>
      <c r="N168" s="501">
        <f t="shared" si="30"/>
        <v>3.9013285001896651</v>
      </c>
      <c r="O168" s="595">
        <f t="shared" si="35"/>
        <v>126052</v>
      </c>
      <c r="P168" s="583"/>
      <c r="Q168" s="1149">
        <v>20752.405063291139</v>
      </c>
      <c r="R168" s="1149">
        <v>20784.661016949151</v>
      </c>
      <c r="S168" s="1149">
        <v>0</v>
      </c>
      <c r="T168" s="593">
        <v>0.2036</v>
      </c>
      <c r="U168" s="595">
        <f t="shared" si="31"/>
        <v>8456.9466539369223</v>
      </c>
      <c r="V168" s="583"/>
      <c r="W168" s="432">
        <v>0</v>
      </c>
      <c r="X168" s="432">
        <v>272.28813559322037</v>
      </c>
      <c r="Y168" s="432">
        <v>0</v>
      </c>
      <c r="Z168" s="593">
        <v>1.7611399999999999</v>
      </c>
      <c r="AA168" s="596">
        <f t="shared" si="32"/>
        <v>479.53752711864411</v>
      </c>
      <c r="AB168" s="578"/>
      <c r="AC168" s="611"/>
      <c r="AD168" s="585"/>
      <c r="AE168" s="611"/>
      <c r="AF168" s="585"/>
      <c r="AG168" s="611"/>
      <c r="AH168" s="578"/>
      <c r="AI168" s="612"/>
      <c r="AJ168" s="613"/>
      <c r="AK168" s="600">
        <f t="shared" si="36"/>
        <v>0</v>
      </c>
      <c r="AL168" s="578"/>
      <c r="AM168" s="1150">
        <v>0</v>
      </c>
      <c r="AN168" s="1150">
        <v>1225.2966101694915</v>
      </c>
      <c r="AO168" s="1150">
        <v>0</v>
      </c>
      <c r="AP168" s="593">
        <v>0.2036</v>
      </c>
      <c r="AQ168" s="595">
        <f t="shared" si="33"/>
        <v>249.47038983050848</v>
      </c>
      <c r="AR168" s="578"/>
      <c r="AS168" s="601">
        <f t="shared" si="34"/>
        <v>135237.95457088607</v>
      </c>
      <c r="AT168" s="586"/>
      <c r="AU168" s="512"/>
      <c r="AV168" s="512"/>
      <c r="AW168" s="512">
        <f t="shared" si="28"/>
        <v>135237.95457088607</v>
      </c>
      <c r="AX168" s="602"/>
      <c r="AY168" s="574"/>
      <c r="AZ168" s="438"/>
    </row>
    <row r="169" spans="1:52" s="588" customFormat="1" ht="15" x14ac:dyDescent="0.25">
      <c r="A169" s="587" t="s">
        <v>314</v>
      </c>
      <c r="B169" s="587" t="s">
        <v>315</v>
      </c>
      <c r="C169" s="589" t="s">
        <v>316</v>
      </c>
      <c r="D169" s="578">
        <v>384884</v>
      </c>
      <c r="E169" s="605"/>
      <c r="F169" s="606"/>
      <c r="G169" s="499">
        <v>0</v>
      </c>
      <c r="H169" s="499">
        <v>0</v>
      </c>
      <c r="I169" s="499">
        <v>0</v>
      </c>
      <c r="J169" s="592">
        <f t="shared" si="29"/>
        <v>0</v>
      </c>
      <c r="K169" s="593"/>
      <c r="L169" s="594">
        <f t="shared" si="27"/>
        <v>0</v>
      </c>
      <c r="M169" s="610" t="s">
        <v>240</v>
      </c>
      <c r="N169" s="501">
        <f t="shared" si="30"/>
        <v>3.9013285001896651</v>
      </c>
      <c r="O169" s="595">
        <f t="shared" si="35"/>
        <v>0</v>
      </c>
      <c r="P169" s="583"/>
      <c r="Q169" s="1149">
        <v>0</v>
      </c>
      <c r="R169" s="1149">
        <v>0</v>
      </c>
      <c r="S169" s="1149">
        <v>0</v>
      </c>
      <c r="T169" s="593">
        <v>0.2036</v>
      </c>
      <c r="U169" s="595">
        <f t="shared" si="31"/>
        <v>0</v>
      </c>
      <c r="V169" s="583"/>
      <c r="W169" s="432">
        <v>0</v>
      </c>
      <c r="X169" s="432">
        <v>0</v>
      </c>
      <c r="Y169" s="432">
        <v>0</v>
      </c>
      <c r="Z169" s="593">
        <v>1.7611399999999999</v>
      </c>
      <c r="AA169" s="596">
        <f t="shared" si="32"/>
        <v>0</v>
      </c>
      <c r="AB169" s="578"/>
      <c r="AC169" s="611"/>
      <c r="AD169" s="585"/>
      <c r="AE169" s="611"/>
      <c r="AF169" s="585"/>
      <c r="AG169" s="611"/>
      <c r="AH169" s="578"/>
      <c r="AI169" s="612"/>
      <c r="AJ169" s="613"/>
      <c r="AK169" s="600">
        <f t="shared" si="36"/>
        <v>0</v>
      </c>
      <c r="AL169" s="578"/>
      <c r="AM169" s="1150">
        <v>0</v>
      </c>
      <c r="AN169" s="1150">
        <v>0</v>
      </c>
      <c r="AO169" s="1150">
        <v>0</v>
      </c>
      <c r="AP169" s="593">
        <v>0.2036</v>
      </c>
      <c r="AQ169" s="595">
        <f t="shared" si="33"/>
        <v>0</v>
      </c>
      <c r="AR169" s="578"/>
      <c r="AS169" s="601">
        <f t="shared" si="34"/>
        <v>0</v>
      </c>
      <c r="AT169" s="586"/>
      <c r="AU169" s="512"/>
      <c r="AV169" s="512"/>
      <c r="AW169" s="512">
        <f t="shared" si="28"/>
        <v>0</v>
      </c>
      <c r="AX169" s="602"/>
      <c r="AY169" s="574"/>
      <c r="AZ169" s="438"/>
    </row>
    <row r="170" spans="1:52" s="588" customFormat="1" ht="15" x14ac:dyDescent="0.25">
      <c r="A170" s="587" t="s">
        <v>317</v>
      </c>
      <c r="B170" s="587" t="s">
        <v>318</v>
      </c>
      <c r="C170" s="589">
        <v>206134</v>
      </c>
      <c r="D170" s="578">
        <v>206134</v>
      </c>
      <c r="E170" s="605"/>
      <c r="F170" s="606"/>
      <c r="G170" s="499">
        <v>7860</v>
      </c>
      <c r="H170" s="499">
        <v>4970</v>
      </c>
      <c r="I170" s="499">
        <v>6840</v>
      </c>
      <c r="J170" s="592">
        <f t="shared" si="29"/>
        <v>19670</v>
      </c>
      <c r="K170" s="593"/>
      <c r="L170" s="594">
        <f t="shared" si="27"/>
        <v>19670</v>
      </c>
      <c r="M170" s="610" t="s">
        <v>255</v>
      </c>
      <c r="N170" s="501">
        <f t="shared" si="30"/>
        <v>3.9013285001896651</v>
      </c>
      <c r="O170" s="595">
        <f t="shared" si="35"/>
        <v>76739</v>
      </c>
      <c r="P170" s="583"/>
      <c r="Q170" s="1149">
        <v>1181.109123434705</v>
      </c>
      <c r="R170" s="1149">
        <v>878.84146341463406</v>
      </c>
      <c r="S170" s="1149">
        <v>3630.9641294117641</v>
      </c>
      <c r="T170" s="593">
        <v>0.2036</v>
      </c>
      <c r="U170" s="595">
        <f t="shared" si="31"/>
        <v>1158.6702362307606</v>
      </c>
      <c r="V170" s="583"/>
      <c r="W170" s="432">
        <v>0</v>
      </c>
      <c r="X170" s="432">
        <v>90.914634146341456</v>
      </c>
      <c r="Y170" s="432">
        <v>0</v>
      </c>
      <c r="Z170" s="593">
        <v>1.7611399999999999</v>
      </c>
      <c r="AA170" s="596">
        <f t="shared" si="32"/>
        <v>160.11339878048778</v>
      </c>
      <c r="AB170" s="578"/>
      <c r="AC170" s="611"/>
      <c r="AD170" s="585"/>
      <c r="AE170" s="611"/>
      <c r="AF170" s="585"/>
      <c r="AG170" s="611"/>
      <c r="AH170" s="578"/>
      <c r="AI170" s="612"/>
      <c r="AJ170" s="613"/>
      <c r="AK170" s="600">
        <f t="shared" si="36"/>
        <v>0</v>
      </c>
      <c r="AL170" s="578"/>
      <c r="AM170" s="1150">
        <v>0</v>
      </c>
      <c r="AN170" s="1150">
        <v>303.04878048780489</v>
      </c>
      <c r="AO170" s="1150">
        <v>1086.3529411764707</v>
      </c>
      <c r="AP170" s="593">
        <v>0.2036</v>
      </c>
      <c r="AQ170" s="595">
        <f t="shared" si="33"/>
        <v>282.88219053084651</v>
      </c>
      <c r="AR170" s="578"/>
      <c r="AS170" s="601">
        <f t="shared" si="34"/>
        <v>78340.665825542092</v>
      </c>
      <c r="AT170" s="586"/>
      <c r="AU170" s="512"/>
      <c r="AV170" s="512"/>
      <c r="AW170" s="512">
        <f t="shared" si="28"/>
        <v>78340.665825542092</v>
      </c>
      <c r="AX170" s="602"/>
      <c r="AY170" s="574"/>
      <c r="AZ170" s="438"/>
    </row>
    <row r="171" spans="1:52" s="588" customFormat="1" ht="15" x14ac:dyDescent="0.25">
      <c r="A171" s="614" t="s">
        <v>319</v>
      </c>
      <c r="B171" s="648"/>
      <c r="C171" s="649" t="s">
        <v>320</v>
      </c>
      <c r="D171" s="578">
        <v>285324</v>
      </c>
      <c r="E171" s="605"/>
      <c r="F171" s="606"/>
      <c r="G171" s="499">
        <v>0</v>
      </c>
      <c r="H171" s="499">
        <v>0</v>
      </c>
      <c r="I171" s="499">
        <v>7980</v>
      </c>
      <c r="J171" s="592">
        <f t="shared" si="29"/>
        <v>7980</v>
      </c>
      <c r="K171" s="593"/>
      <c r="L171" s="594">
        <f t="shared" si="27"/>
        <v>7980</v>
      </c>
      <c r="M171" s="610" t="s">
        <v>240</v>
      </c>
      <c r="N171" s="501">
        <f t="shared" si="30"/>
        <v>3.9013285001896651</v>
      </c>
      <c r="O171" s="595">
        <f t="shared" si="35"/>
        <v>31133</v>
      </c>
      <c r="P171" s="583"/>
      <c r="Q171" s="1149">
        <v>0</v>
      </c>
      <c r="R171" s="1149">
        <v>0</v>
      </c>
      <c r="S171" s="1149">
        <v>1575.3696874999987</v>
      </c>
      <c r="T171" s="593">
        <v>0.2036</v>
      </c>
      <c r="U171" s="595">
        <f t="shared" si="31"/>
        <v>320.74526837499974</v>
      </c>
      <c r="V171" s="583"/>
      <c r="W171" s="432">
        <v>0</v>
      </c>
      <c r="X171" s="432">
        <v>0</v>
      </c>
      <c r="Y171" s="432">
        <v>0</v>
      </c>
      <c r="Z171" s="593">
        <v>1.7611399999999999</v>
      </c>
      <c r="AA171" s="596">
        <f t="shared" si="32"/>
        <v>0</v>
      </c>
      <c r="AB171" s="578"/>
      <c r="AC171" s="611"/>
      <c r="AD171" s="585"/>
      <c r="AE171" s="611"/>
      <c r="AF171" s="585"/>
      <c r="AG171" s="611"/>
      <c r="AH171" s="578"/>
      <c r="AI171" s="612"/>
      <c r="AJ171" s="613"/>
      <c r="AK171" s="600">
        <f t="shared" si="36"/>
        <v>0</v>
      </c>
      <c r="AL171" s="578"/>
      <c r="AM171" s="1150">
        <v>0</v>
      </c>
      <c r="AN171" s="1150">
        <v>0</v>
      </c>
      <c r="AO171" s="1150">
        <v>0</v>
      </c>
      <c r="AP171" s="593">
        <v>0.2036</v>
      </c>
      <c r="AQ171" s="595">
        <f t="shared" si="33"/>
        <v>0</v>
      </c>
      <c r="AR171" s="578"/>
      <c r="AS171" s="601">
        <f t="shared" si="34"/>
        <v>31453.745268374998</v>
      </c>
      <c r="AT171" s="586"/>
      <c r="AU171" s="512"/>
      <c r="AV171" s="512"/>
      <c r="AW171" s="512">
        <f t="shared" si="28"/>
        <v>31453.745268374998</v>
      </c>
      <c r="AX171" s="602"/>
      <c r="AY171" s="574"/>
      <c r="AZ171" s="438"/>
    </row>
    <row r="172" spans="1:52" s="588" customFormat="1" ht="15" x14ac:dyDescent="0.25">
      <c r="A172" s="587" t="s">
        <v>321</v>
      </c>
      <c r="B172" s="587"/>
      <c r="C172" s="589" t="s">
        <v>322</v>
      </c>
      <c r="D172" s="578">
        <v>285337</v>
      </c>
      <c r="E172" s="605"/>
      <c r="F172" s="606"/>
      <c r="G172" s="499">
        <v>9000</v>
      </c>
      <c r="H172" s="499">
        <v>6300</v>
      </c>
      <c r="I172" s="499">
        <v>8100</v>
      </c>
      <c r="J172" s="592">
        <f t="shared" si="29"/>
        <v>23400</v>
      </c>
      <c r="K172" s="593"/>
      <c r="L172" s="594">
        <f t="shared" si="27"/>
        <v>23400</v>
      </c>
      <c r="M172" s="610" t="s">
        <v>240</v>
      </c>
      <c r="N172" s="501">
        <f t="shared" si="30"/>
        <v>3.9013285001896651</v>
      </c>
      <c r="O172" s="595">
        <f t="shared" si="35"/>
        <v>91291</v>
      </c>
      <c r="P172" s="583"/>
      <c r="Q172" s="1149">
        <v>2423.0769230769229</v>
      </c>
      <c r="R172" s="1149">
        <v>2775</v>
      </c>
      <c r="S172" s="1149">
        <v>1819.818642522147</v>
      </c>
      <c r="T172" s="593">
        <v>0.2036</v>
      </c>
      <c r="U172" s="595">
        <f t="shared" si="31"/>
        <v>1428.8435371559708</v>
      </c>
      <c r="V172" s="583"/>
      <c r="W172" s="432">
        <v>173.07692307692309</v>
      </c>
      <c r="X172" s="432">
        <v>0</v>
      </c>
      <c r="Y172" s="432">
        <v>0</v>
      </c>
      <c r="Z172" s="593">
        <v>1.7611399999999999</v>
      </c>
      <c r="AA172" s="596">
        <f t="shared" si="32"/>
        <v>304.81269230769232</v>
      </c>
      <c r="AB172" s="578"/>
      <c r="AC172" s="611"/>
      <c r="AD172" s="585"/>
      <c r="AE172" s="611"/>
      <c r="AF172" s="585"/>
      <c r="AG172" s="611"/>
      <c r="AH172" s="578"/>
      <c r="AI172" s="612"/>
      <c r="AJ172" s="613"/>
      <c r="AK172" s="600">
        <f t="shared" si="36"/>
        <v>0</v>
      </c>
      <c r="AL172" s="578"/>
      <c r="AM172" s="1150">
        <v>0</v>
      </c>
      <c r="AN172" s="1150">
        <v>0</v>
      </c>
      <c r="AO172" s="1150">
        <v>0</v>
      </c>
      <c r="AP172" s="593">
        <v>0.2036</v>
      </c>
      <c r="AQ172" s="595">
        <f t="shared" si="33"/>
        <v>0</v>
      </c>
      <c r="AR172" s="578"/>
      <c r="AS172" s="601">
        <f t="shared" si="34"/>
        <v>93024.656229463668</v>
      </c>
      <c r="AT172" s="586"/>
      <c r="AU172" s="512"/>
      <c r="AV172" s="512"/>
      <c r="AW172" s="512">
        <f t="shared" si="28"/>
        <v>93024.656229463668</v>
      </c>
      <c r="AX172" s="602"/>
      <c r="AY172" s="574"/>
      <c r="AZ172" s="438"/>
    </row>
    <row r="173" spans="1:52" s="588" customFormat="1" ht="15" x14ac:dyDescent="0.25">
      <c r="A173" s="587" t="s">
        <v>323</v>
      </c>
      <c r="B173" s="587"/>
      <c r="C173" s="589" t="s">
        <v>324</v>
      </c>
      <c r="D173" s="578">
        <v>371448</v>
      </c>
      <c r="E173" s="605"/>
      <c r="F173" s="606"/>
      <c r="G173" s="499">
        <v>14376</v>
      </c>
      <c r="H173" s="499">
        <v>9240</v>
      </c>
      <c r="I173" s="499">
        <v>5616</v>
      </c>
      <c r="J173" s="592">
        <f t="shared" si="29"/>
        <v>29232</v>
      </c>
      <c r="K173" s="593"/>
      <c r="L173" s="594">
        <f t="shared" si="27"/>
        <v>29232</v>
      </c>
      <c r="M173" s="610" t="s">
        <v>240</v>
      </c>
      <c r="N173" s="501">
        <f t="shared" si="30"/>
        <v>3.9013285001896651</v>
      </c>
      <c r="O173" s="595">
        <f t="shared" si="35"/>
        <v>114044</v>
      </c>
      <c r="P173" s="583"/>
      <c r="Q173" s="1149">
        <v>7277.8499999999995</v>
      </c>
      <c r="R173" s="1149">
        <v>0</v>
      </c>
      <c r="S173" s="1149">
        <v>2821.8375926773456</v>
      </c>
      <c r="T173" s="593">
        <v>0.2036</v>
      </c>
      <c r="U173" s="595">
        <f t="shared" si="31"/>
        <v>2056.2963938691073</v>
      </c>
      <c r="V173" s="583"/>
      <c r="W173" s="432">
        <v>0</v>
      </c>
      <c r="X173" s="432">
        <v>0</v>
      </c>
      <c r="Y173" s="432">
        <v>305.21739130434781</v>
      </c>
      <c r="Z173" s="593">
        <v>1.7611399999999999</v>
      </c>
      <c r="AA173" s="596">
        <f t="shared" si="32"/>
        <v>537.53055652173907</v>
      </c>
      <c r="AB173" s="578"/>
      <c r="AC173" s="611"/>
      <c r="AD173" s="585"/>
      <c r="AE173" s="611"/>
      <c r="AF173" s="585"/>
      <c r="AG173" s="611"/>
      <c r="AH173" s="578"/>
      <c r="AI173" s="612"/>
      <c r="AJ173" s="613"/>
      <c r="AK173" s="600">
        <f t="shared" si="36"/>
        <v>0</v>
      </c>
      <c r="AL173" s="578"/>
      <c r="AM173" s="1150">
        <v>0</v>
      </c>
      <c r="AN173" s="1150">
        <v>0</v>
      </c>
      <c r="AO173" s="1150">
        <v>0</v>
      </c>
      <c r="AP173" s="593">
        <v>0.2036</v>
      </c>
      <c r="AQ173" s="595">
        <f t="shared" si="33"/>
        <v>0</v>
      </c>
      <c r="AR173" s="578"/>
      <c r="AS173" s="601">
        <f t="shared" si="34"/>
        <v>116637.82695039085</v>
      </c>
      <c r="AT173" s="586"/>
      <c r="AU173" s="512"/>
      <c r="AV173" s="512"/>
      <c r="AW173" s="512">
        <f t="shared" si="28"/>
        <v>116637.82695039085</v>
      </c>
      <c r="AX173" s="602"/>
      <c r="AY173" s="574"/>
      <c r="AZ173" s="438"/>
    </row>
    <row r="174" spans="1:52" s="588" customFormat="1" ht="15" x14ac:dyDescent="0.25">
      <c r="A174" s="587" t="s">
        <v>325</v>
      </c>
      <c r="B174" s="587" t="s">
        <v>326</v>
      </c>
      <c r="C174" s="589">
        <v>206109</v>
      </c>
      <c r="D174" s="578">
        <v>206109</v>
      </c>
      <c r="E174" s="605"/>
      <c r="F174" s="606"/>
      <c r="G174" s="499">
        <v>7020</v>
      </c>
      <c r="H174" s="499">
        <v>5670</v>
      </c>
      <c r="I174" s="499">
        <v>7380</v>
      </c>
      <c r="J174" s="592">
        <f t="shared" si="29"/>
        <v>20070</v>
      </c>
      <c r="K174" s="593"/>
      <c r="L174" s="594">
        <f t="shared" si="27"/>
        <v>20070</v>
      </c>
      <c r="M174" s="610" t="s">
        <v>240</v>
      </c>
      <c r="N174" s="501">
        <f t="shared" si="30"/>
        <v>3.9013285001896651</v>
      </c>
      <c r="O174" s="595">
        <f t="shared" si="35"/>
        <v>78300</v>
      </c>
      <c r="P174" s="583"/>
      <c r="Q174" s="1149">
        <v>1264.3662825955125</v>
      </c>
      <c r="R174" s="1149">
        <v>912.55364806866953</v>
      </c>
      <c r="S174" s="1149">
        <v>1569.4202982456138</v>
      </c>
      <c r="T174" s="593">
        <v>0.2036</v>
      </c>
      <c r="U174" s="595">
        <f t="shared" si="31"/>
        <v>762.75487060603439</v>
      </c>
      <c r="V174" s="583"/>
      <c r="W174" s="432">
        <v>0</v>
      </c>
      <c r="X174" s="432">
        <v>0</v>
      </c>
      <c r="Y174" s="432">
        <v>0</v>
      </c>
      <c r="Z174" s="593">
        <v>1.7611399999999999</v>
      </c>
      <c r="AA174" s="596">
        <f t="shared" si="32"/>
        <v>0</v>
      </c>
      <c r="AB174" s="578"/>
      <c r="AC174" s="611"/>
      <c r="AD174" s="585"/>
      <c r="AE174" s="611"/>
      <c r="AF174" s="585"/>
      <c r="AG174" s="611"/>
      <c r="AH174" s="578"/>
      <c r="AI174" s="612"/>
      <c r="AJ174" s="613"/>
      <c r="AK174" s="600">
        <f t="shared" si="36"/>
        <v>0</v>
      </c>
      <c r="AL174" s="578"/>
      <c r="AM174" s="1150">
        <v>0</v>
      </c>
      <c r="AN174" s="1150">
        <v>0</v>
      </c>
      <c r="AO174" s="1150">
        <v>136.66666666666666</v>
      </c>
      <c r="AP174" s="593">
        <v>0.2036</v>
      </c>
      <c r="AQ174" s="595">
        <f t="shared" si="33"/>
        <v>27.825333333333333</v>
      </c>
      <c r="AR174" s="578"/>
      <c r="AS174" s="601">
        <f t="shared" si="34"/>
        <v>79090.580203939375</v>
      </c>
      <c r="AT174" s="586"/>
      <c r="AU174" s="512"/>
      <c r="AV174" s="512"/>
      <c r="AW174" s="512">
        <f t="shared" si="28"/>
        <v>79090.580203939375</v>
      </c>
      <c r="AX174" s="602"/>
      <c r="AY174" s="574"/>
      <c r="AZ174" s="438"/>
    </row>
    <row r="175" spans="1:52" s="588" customFormat="1" ht="15" x14ac:dyDescent="0.25">
      <c r="A175" s="587" t="s">
        <v>327</v>
      </c>
      <c r="B175" s="587" t="s">
        <v>328</v>
      </c>
      <c r="C175" s="589">
        <v>206110</v>
      </c>
      <c r="D175" s="578">
        <v>206110</v>
      </c>
      <c r="E175" s="605"/>
      <c r="F175" s="606"/>
      <c r="G175" s="499">
        <v>6300</v>
      </c>
      <c r="H175" s="499">
        <v>5292</v>
      </c>
      <c r="I175" s="499">
        <v>5796</v>
      </c>
      <c r="J175" s="592">
        <f t="shared" si="29"/>
        <v>17388</v>
      </c>
      <c r="K175" s="593"/>
      <c r="L175" s="594">
        <f t="shared" si="27"/>
        <v>17388</v>
      </c>
      <c r="M175" s="610" t="s">
        <v>240</v>
      </c>
      <c r="N175" s="501">
        <f t="shared" si="30"/>
        <v>3.9013285001896651</v>
      </c>
      <c r="O175" s="595">
        <f t="shared" si="35"/>
        <v>67836</v>
      </c>
      <c r="P175" s="583"/>
      <c r="Q175" s="1149">
        <v>1321.6783216783217</v>
      </c>
      <c r="R175" s="1149">
        <v>2138.181818181818</v>
      </c>
      <c r="S175" s="1149">
        <v>1822.8984912280703</v>
      </c>
      <c r="T175" s="593">
        <v>0.2036</v>
      </c>
      <c r="U175" s="595">
        <f t="shared" si="31"/>
        <v>1075.5696572895595</v>
      </c>
      <c r="V175" s="583"/>
      <c r="W175" s="432">
        <v>0</v>
      </c>
      <c r="X175" s="432">
        <v>0</v>
      </c>
      <c r="Y175" s="432">
        <v>0</v>
      </c>
      <c r="Z175" s="593">
        <v>1.7611399999999999</v>
      </c>
      <c r="AA175" s="596">
        <f t="shared" si="32"/>
        <v>0</v>
      </c>
      <c r="AB175" s="578"/>
      <c r="AC175" s="611"/>
      <c r="AD175" s="585"/>
      <c r="AE175" s="611"/>
      <c r="AF175" s="585"/>
      <c r="AG175" s="611"/>
      <c r="AH175" s="578"/>
      <c r="AI175" s="612"/>
      <c r="AJ175" s="613"/>
      <c r="AK175" s="600">
        <f t="shared" si="36"/>
        <v>0</v>
      </c>
      <c r="AL175" s="578"/>
      <c r="AM175" s="1150">
        <v>220.27972027972029</v>
      </c>
      <c r="AN175" s="1150">
        <v>0</v>
      </c>
      <c r="AO175" s="1150">
        <v>214.66666666666666</v>
      </c>
      <c r="AP175" s="593">
        <v>0.2036</v>
      </c>
      <c r="AQ175" s="595">
        <f t="shared" si="33"/>
        <v>88.555084382284392</v>
      </c>
      <c r="AR175" s="578"/>
      <c r="AS175" s="601">
        <f t="shared" si="34"/>
        <v>69000.12474167184</v>
      </c>
      <c r="AT175" s="586"/>
      <c r="AU175" s="512"/>
      <c r="AV175" s="512"/>
      <c r="AW175" s="512">
        <f t="shared" si="28"/>
        <v>69000.12474167184</v>
      </c>
      <c r="AX175" s="602"/>
      <c r="AY175" s="574"/>
      <c r="AZ175" s="438"/>
    </row>
    <row r="176" spans="1:52" s="588" customFormat="1" ht="15" x14ac:dyDescent="0.25">
      <c r="A176" s="587" t="s">
        <v>329</v>
      </c>
      <c r="B176" s="587" t="s">
        <v>330</v>
      </c>
      <c r="C176" s="589">
        <v>206135</v>
      </c>
      <c r="D176" s="578">
        <v>206135</v>
      </c>
      <c r="E176" s="605"/>
      <c r="F176" s="606"/>
      <c r="G176" s="499">
        <v>4644</v>
      </c>
      <c r="H176" s="499">
        <v>3360</v>
      </c>
      <c r="I176" s="499">
        <v>3600</v>
      </c>
      <c r="J176" s="592">
        <f t="shared" si="29"/>
        <v>11604</v>
      </c>
      <c r="K176" s="593"/>
      <c r="L176" s="594">
        <f t="shared" si="27"/>
        <v>11604</v>
      </c>
      <c r="M176" s="610" t="s">
        <v>255</v>
      </c>
      <c r="N176" s="501">
        <f t="shared" si="30"/>
        <v>3.9013285001896651</v>
      </c>
      <c r="O176" s="595">
        <f t="shared" si="35"/>
        <v>45271</v>
      </c>
      <c r="P176" s="583"/>
      <c r="Q176" s="1149">
        <v>132.43346007604563</v>
      </c>
      <c r="R176" s="1149">
        <v>126.242774566474</v>
      </c>
      <c r="S176" s="1149">
        <v>1530.2500711237556</v>
      </c>
      <c r="T176" s="593">
        <v>0.2036</v>
      </c>
      <c r="U176" s="595">
        <f t="shared" si="31"/>
        <v>364.22539585401364</v>
      </c>
      <c r="V176" s="583"/>
      <c r="W176" s="432">
        <v>0</v>
      </c>
      <c r="X176" s="432">
        <v>0</v>
      </c>
      <c r="Y176" s="432">
        <v>259.45945945945948</v>
      </c>
      <c r="Z176" s="593">
        <v>1.7611399999999999</v>
      </c>
      <c r="AA176" s="596">
        <f t="shared" si="32"/>
        <v>456.94443243243245</v>
      </c>
      <c r="AB176" s="578"/>
      <c r="AC176" s="611"/>
      <c r="AD176" s="585"/>
      <c r="AE176" s="611"/>
      <c r="AF176" s="585"/>
      <c r="AG176" s="611"/>
      <c r="AH176" s="578"/>
      <c r="AI176" s="612"/>
      <c r="AJ176" s="613"/>
      <c r="AK176" s="600">
        <f t="shared" si="36"/>
        <v>0</v>
      </c>
      <c r="AL176" s="578"/>
      <c r="AM176" s="1150">
        <v>0</v>
      </c>
      <c r="AN176" s="1150">
        <v>0</v>
      </c>
      <c r="AO176" s="1150">
        <v>0</v>
      </c>
      <c r="AP176" s="593">
        <v>0.2036</v>
      </c>
      <c r="AQ176" s="595">
        <f t="shared" si="33"/>
        <v>0</v>
      </c>
      <c r="AR176" s="578"/>
      <c r="AS176" s="601">
        <f t="shared" si="34"/>
        <v>46092.169828286445</v>
      </c>
      <c r="AT176" s="586"/>
      <c r="AU176" s="512"/>
      <c r="AV176" s="512"/>
      <c r="AW176" s="512">
        <f t="shared" si="28"/>
        <v>46092.169828286445</v>
      </c>
      <c r="AX176" s="602"/>
      <c r="AY176" s="574"/>
      <c r="AZ176" s="438"/>
    </row>
    <row r="177" spans="1:52" s="588" customFormat="1" ht="15" x14ac:dyDescent="0.25">
      <c r="A177" s="587" t="s">
        <v>331</v>
      </c>
      <c r="B177" s="587" t="s">
        <v>332</v>
      </c>
      <c r="C177" s="589">
        <v>509195</v>
      </c>
      <c r="D177" s="578">
        <v>509195</v>
      </c>
      <c r="E177" s="605"/>
      <c r="F177" s="606"/>
      <c r="G177" s="499">
        <v>1260</v>
      </c>
      <c r="H177" s="499">
        <v>1470</v>
      </c>
      <c r="I177" s="499">
        <v>1260</v>
      </c>
      <c r="J177" s="592">
        <f t="shared" si="29"/>
        <v>3990</v>
      </c>
      <c r="K177" s="593"/>
      <c r="L177" s="594">
        <f t="shared" si="27"/>
        <v>3990</v>
      </c>
      <c r="M177" s="610" t="s">
        <v>240</v>
      </c>
      <c r="N177" s="501">
        <f t="shared" si="30"/>
        <v>3.9013285001896651</v>
      </c>
      <c r="O177" s="595">
        <f t="shared" si="35"/>
        <v>15566</v>
      </c>
      <c r="P177" s="583"/>
      <c r="Q177" s="1149">
        <v>360</v>
      </c>
      <c r="R177" s="1149">
        <v>1470</v>
      </c>
      <c r="S177" s="1149">
        <v>801.34432535885185</v>
      </c>
      <c r="T177" s="593">
        <v>0.2036</v>
      </c>
      <c r="U177" s="595">
        <f t="shared" si="31"/>
        <v>535.74170464306223</v>
      </c>
      <c r="V177" s="583"/>
      <c r="W177" s="432">
        <v>0</v>
      </c>
      <c r="X177" s="432">
        <v>0</v>
      </c>
      <c r="Y177" s="432">
        <v>0</v>
      </c>
      <c r="Z177" s="593">
        <v>1.7611399999999999</v>
      </c>
      <c r="AA177" s="596">
        <f t="shared" si="32"/>
        <v>0</v>
      </c>
      <c r="AB177" s="578"/>
      <c r="AC177" s="611"/>
      <c r="AD177" s="585"/>
      <c r="AE177" s="611"/>
      <c r="AF177" s="585"/>
      <c r="AG177" s="611"/>
      <c r="AH177" s="578"/>
      <c r="AI177" s="612"/>
      <c r="AJ177" s="613"/>
      <c r="AK177" s="600">
        <f t="shared" si="36"/>
        <v>0</v>
      </c>
      <c r="AL177" s="578"/>
      <c r="AM177" s="1150">
        <v>0</v>
      </c>
      <c r="AN177" s="1150">
        <v>0</v>
      </c>
      <c r="AO177" s="1150">
        <v>114.54545454545455</v>
      </c>
      <c r="AP177" s="593">
        <v>0.2036</v>
      </c>
      <c r="AQ177" s="595">
        <f t="shared" si="33"/>
        <v>23.321454545454547</v>
      </c>
      <c r="AR177" s="578"/>
      <c r="AS177" s="601">
        <f t="shared" si="34"/>
        <v>16125.063159188518</v>
      </c>
      <c r="AT177" s="586"/>
      <c r="AU177" s="512"/>
      <c r="AV177" s="512"/>
      <c r="AW177" s="512">
        <f t="shared" si="28"/>
        <v>16125.063159188518</v>
      </c>
      <c r="AX177" s="602"/>
      <c r="AY177" s="574"/>
      <c r="AZ177" s="438"/>
    </row>
    <row r="178" spans="1:52" s="588" customFormat="1" ht="15" x14ac:dyDescent="0.25">
      <c r="A178" s="587" t="s">
        <v>1393</v>
      </c>
      <c r="B178" s="587"/>
      <c r="C178" s="589">
        <v>480857</v>
      </c>
      <c r="D178" s="578">
        <v>480857</v>
      </c>
      <c r="E178" s="605"/>
      <c r="F178" s="606"/>
      <c r="G178" s="499">
        <v>1080</v>
      </c>
      <c r="H178" s="499">
        <v>0</v>
      </c>
      <c r="I178" s="499">
        <v>1080</v>
      </c>
      <c r="J178" s="592">
        <f t="shared" si="29"/>
        <v>2160</v>
      </c>
      <c r="K178" s="593"/>
      <c r="L178" s="594">
        <f t="shared" si="27"/>
        <v>2160</v>
      </c>
      <c r="M178" s="1155" t="s">
        <v>255</v>
      </c>
      <c r="N178" s="501">
        <f t="shared" si="30"/>
        <v>3.9013285001896651</v>
      </c>
      <c r="O178" s="595">
        <f t="shared" si="35"/>
        <v>8427</v>
      </c>
      <c r="P178" s="583"/>
      <c r="Q178" s="1149">
        <v>1620</v>
      </c>
      <c r="R178" s="1149">
        <v>0</v>
      </c>
      <c r="S178" s="1149">
        <v>0</v>
      </c>
      <c r="T178" s="593">
        <v>0.2036</v>
      </c>
      <c r="U178" s="595">
        <f t="shared" si="31"/>
        <v>329.83199999999999</v>
      </c>
      <c r="V178" s="583"/>
      <c r="W178" s="432">
        <v>0</v>
      </c>
      <c r="X178" s="432">
        <v>0</v>
      </c>
      <c r="Y178" s="432">
        <v>0</v>
      </c>
      <c r="Z178" s="593">
        <v>1.7611399999999999</v>
      </c>
      <c r="AA178" s="596">
        <f t="shared" si="32"/>
        <v>0</v>
      </c>
      <c r="AB178" s="578"/>
      <c r="AC178" s="611"/>
      <c r="AD178" s="585"/>
      <c r="AE178" s="611"/>
      <c r="AF178" s="585"/>
      <c r="AG178" s="611"/>
      <c r="AH178" s="578"/>
      <c r="AI178" s="612"/>
      <c r="AJ178" s="613"/>
      <c r="AK178" s="600">
        <f t="shared" si="36"/>
        <v>0</v>
      </c>
      <c r="AL178" s="578"/>
      <c r="AM178" s="1150">
        <v>0</v>
      </c>
      <c r="AN178" s="1150">
        <v>0</v>
      </c>
      <c r="AO178" s="1150">
        <v>0</v>
      </c>
      <c r="AP178" s="593">
        <v>0.2036</v>
      </c>
      <c r="AQ178" s="595">
        <f t="shared" si="33"/>
        <v>0</v>
      </c>
      <c r="AR178" s="578"/>
      <c r="AS178" s="601">
        <f t="shared" si="34"/>
        <v>8756.8320000000003</v>
      </c>
      <c r="AT178" s="586"/>
      <c r="AU178" s="512"/>
      <c r="AV178" s="512"/>
      <c r="AW178" s="512">
        <f t="shared" si="28"/>
        <v>8756.8320000000003</v>
      </c>
      <c r="AX178" s="602"/>
      <c r="AY178" s="574"/>
      <c r="AZ178" s="438"/>
    </row>
    <row r="179" spans="1:52" s="588" customFormat="1" ht="15" x14ac:dyDescent="0.25">
      <c r="A179" s="80" t="s">
        <v>333</v>
      </c>
      <c r="B179" s="618"/>
      <c r="C179" s="609" t="s">
        <v>334</v>
      </c>
      <c r="D179" s="578">
        <v>425466</v>
      </c>
      <c r="E179" s="605"/>
      <c r="F179" s="606"/>
      <c r="G179" s="499">
        <v>0</v>
      </c>
      <c r="H179" s="499">
        <v>0</v>
      </c>
      <c r="I179" s="499">
        <v>0</v>
      </c>
      <c r="J179" s="592">
        <f t="shared" si="29"/>
        <v>0</v>
      </c>
      <c r="K179" s="593"/>
      <c r="L179" s="594">
        <f t="shared" si="27"/>
        <v>0</v>
      </c>
      <c r="M179" s="610" t="s">
        <v>240</v>
      </c>
      <c r="N179" s="501">
        <f t="shared" si="30"/>
        <v>3.9013285001896651</v>
      </c>
      <c r="O179" s="595">
        <f t="shared" si="35"/>
        <v>0</v>
      </c>
      <c r="P179" s="583"/>
      <c r="Q179" s="1149">
        <v>0</v>
      </c>
      <c r="R179" s="1149">
        <v>0</v>
      </c>
      <c r="S179" s="1149">
        <v>0</v>
      </c>
      <c r="T179" s="593">
        <v>0.2036</v>
      </c>
      <c r="U179" s="595">
        <f t="shared" si="31"/>
        <v>0</v>
      </c>
      <c r="V179" s="583"/>
      <c r="W179" s="432">
        <v>0</v>
      </c>
      <c r="X179" s="432">
        <v>0</v>
      </c>
      <c r="Y179" s="432">
        <v>0</v>
      </c>
      <c r="Z179" s="593">
        <v>1.7611399999999999</v>
      </c>
      <c r="AA179" s="596">
        <f t="shared" si="32"/>
        <v>0</v>
      </c>
      <c r="AB179" s="578"/>
      <c r="AC179" s="611"/>
      <c r="AD179" s="585"/>
      <c r="AE179" s="611"/>
      <c r="AF179" s="585"/>
      <c r="AG179" s="611"/>
      <c r="AH179" s="578"/>
      <c r="AI179" s="612"/>
      <c r="AJ179" s="613"/>
      <c r="AK179" s="600">
        <f t="shared" si="36"/>
        <v>0</v>
      </c>
      <c r="AL179" s="578"/>
      <c r="AM179" s="1150">
        <v>0</v>
      </c>
      <c r="AN179" s="1150">
        <v>0</v>
      </c>
      <c r="AO179" s="1150">
        <v>0</v>
      </c>
      <c r="AP179" s="593">
        <v>0.2036</v>
      </c>
      <c r="AQ179" s="595">
        <f t="shared" si="33"/>
        <v>0</v>
      </c>
      <c r="AR179" s="578"/>
      <c r="AS179" s="601">
        <f t="shared" si="34"/>
        <v>0</v>
      </c>
      <c r="AT179" s="586"/>
      <c r="AU179" s="512"/>
      <c r="AV179" s="512"/>
      <c r="AW179" s="512">
        <f t="shared" si="28"/>
        <v>0</v>
      </c>
      <c r="AX179" s="602"/>
      <c r="AY179" s="574"/>
      <c r="AZ179" s="438"/>
    </row>
    <row r="180" spans="1:52" s="588" customFormat="1" ht="15" x14ac:dyDescent="0.25">
      <c r="A180" s="650" t="s">
        <v>335</v>
      </c>
      <c r="B180" s="650"/>
      <c r="C180" s="640" t="s">
        <v>336</v>
      </c>
      <c r="D180" s="578">
        <v>467587</v>
      </c>
      <c r="E180" s="605"/>
      <c r="F180" s="606"/>
      <c r="G180" s="499">
        <v>0</v>
      </c>
      <c r="H180" s="499">
        <v>0</v>
      </c>
      <c r="I180" s="499">
        <v>0</v>
      </c>
      <c r="J180" s="592">
        <f t="shared" si="29"/>
        <v>0</v>
      </c>
      <c r="K180" s="593"/>
      <c r="L180" s="594">
        <f t="shared" si="27"/>
        <v>0</v>
      </c>
      <c r="M180" s="610" t="s">
        <v>240</v>
      </c>
      <c r="N180" s="501">
        <f t="shared" si="30"/>
        <v>3.9013285001896651</v>
      </c>
      <c r="O180" s="595">
        <f t="shared" si="35"/>
        <v>0</v>
      </c>
      <c r="P180" s="583"/>
      <c r="Q180" s="1149">
        <v>0</v>
      </c>
      <c r="R180" s="1149">
        <v>0</v>
      </c>
      <c r="S180" s="1149">
        <v>0</v>
      </c>
      <c r="T180" s="593">
        <v>0.2036</v>
      </c>
      <c r="U180" s="595">
        <f t="shared" si="31"/>
        <v>0</v>
      </c>
      <c r="V180" s="583"/>
      <c r="W180" s="432">
        <v>0</v>
      </c>
      <c r="X180" s="432">
        <v>0</v>
      </c>
      <c r="Y180" s="432">
        <v>0</v>
      </c>
      <c r="Z180" s="593">
        <v>1.7611399999999999</v>
      </c>
      <c r="AA180" s="596">
        <f t="shared" si="32"/>
        <v>0</v>
      </c>
      <c r="AB180" s="578"/>
      <c r="AC180" s="611"/>
      <c r="AD180" s="585"/>
      <c r="AE180" s="611"/>
      <c r="AF180" s="585"/>
      <c r="AG180" s="611"/>
      <c r="AH180" s="578"/>
      <c r="AI180" s="612"/>
      <c r="AJ180" s="613"/>
      <c r="AK180" s="600">
        <f t="shared" si="36"/>
        <v>0</v>
      </c>
      <c r="AL180" s="578"/>
      <c r="AM180" s="1150">
        <v>0</v>
      </c>
      <c r="AN180" s="1150">
        <v>0</v>
      </c>
      <c r="AO180" s="1150">
        <v>0</v>
      </c>
      <c r="AP180" s="593">
        <v>0.2036</v>
      </c>
      <c r="AQ180" s="595">
        <f t="shared" si="33"/>
        <v>0</v>
      </c>
      <c r="AR180" s="578"/>
      <c r="AS180" s="601">
        <f t="shared" si="34"/>
        <v>0</v>
      </c>
      <c r="AT180" s="586"/>
      <c r="AU180" s="512"/>
      <c r="AV180" s="512"/>
      <c r="AW180" s="512">
        <f t="shared" si="28"/>
        <v>0</v>
      </c>
      <c r="AX180" s="602"/>
      <c r="AY180" s="574"/>
      <c r="AZ180" s="438"/>
    </row>
    <row r="181" spans="1:52" s="588" customFormat="1" ht="15" x14ac:dyDescent="0.25">
      <c r="A181" s="587" t="s">
        <v>1394</v>
      </c>
      <c r="B181" s="587"/>
      <c r="C181" s="589">
        <v>492973</v>
      </c>
      <c r="D181" s="578">
        <v>492973</v>
      </c>
      <c r="E181" s="605"/>
      <c r="F181" s="606"/>
      <c r="G181" s="499">
        <v>1800</v>
      </c>
      <c r="H181" s="499">
        <v>1890</v>
      </c>
      <c r="I181" s="499">
        <v>2340</v>
      </c>
      <c r="J181" s="592">
        <f t="shared" si="29"/>
        <v>6030</v>
      </c>
      <c r="K181" s="593"/>
      <c r="L181" s="594">
        <f t="shared" si="27"/>
        <v>6030</v>
      </c>
      <c r="M181" s="1155" t="s">
        <v>255</v>
      </c>
      <c r="N181" s="501">
        <f t="shared" si="30"/>
        <v>3.9013285001896651</v>
      </c>
      <c r="O181" s="595">
        <f t="shared" si="35"/>
        <v>23525</v>
      </c>
      <c r="P181" s="583"/>
      <c r="Q181" s="1149">
        <v>0</v>
      </c>
      <c r="R181" s="1149">
        <v>1890</v>
      </c>
      <c r="S181" s="1149">
        <v>0</v>
      </c>
      <c r="T181" s="593">
        <v>0.2036</v>
      </c>
      <c r="U181" s="595">
        <f t="shared" si="31"/>
        <v>384.80400000000003</v>
      </c>
      <c r="V181" s="583"/>
      <c r="W181" s="432">
        <v>0</v>
      </c>
      <c r="X181" s="432">
        <v>0</v>
      </c>
      <c r="Y181" s="432">
        <v>0</v>
      </c>
      <c r="Z181" s="593">
        <v>1.7611399999999999</v>
      </c>
      <c r="AA181" s="596">
        <f t="shared" si="32"/>
        <v>0</v>
      </c>
      <c r="AB181" s="578"/>
      <c r="AC181" s="611"/>
      <c r="AD181" s="585"/>
      <c r="AE181" s="611"/>
      <c r="AF181" s="585"/>
      <c r="AG181" s="611"/>
      <c r="AH181" s="578"/>
      <c r="AI181" s="612"/>
      <c r="AJ181" s="613"/>
      <c r="AK181" s="600">
        <f t="shared" si="36"/>
        <v>0</v>
      </c>
      <c r="AL181" s="578"/>
      <c r="AM181" s="1150">
        <v>0</v>
      </c>
      <c r="AN181" s="1150">
        <v>0</v>
      </c>
      <c r="AO181" s="1150">
        <v>0</v>
      </c>
      <c r="AP181" s="593">
        <v>0.2036</v>
      </c>
      <c r="AQ181" s="595">
        <f t="shared" si="33"/>
        <v>0</v>
      </c>
      <c r="AR181" s="578"/>
      <c r="AS181" s="601">
        <f t="shared" si="34"/>
        <v>23909.804</v>
      </c>
      <c r="AT181" s="586"/>
      <c r="AU181" s="512"/>
      <c r="AV181" s="512"/>
      <c r="AW181" s="512">
        <f t="shared" si="28"/>
        <v>23909.804</v>
      </c>
      <c r="AX181" s="602"/>
      <c r="AZ181" s="438"/>
    </row>
    <row r="182" spans="1:52" s="588" customFormat="1" ht="15" x14ac:dyDescent="0.25">
      <c r="A182" s="587" t="s">
        <v>337</v>
      </c>
      <c r="B182" s="587" t="s">
        <v>338</v>
      </c>
      <c r="C182" s="589" t="s">
        <v>339</v>
      </c>
      <c r="D182" s="578">
        <v>371611</v>
      </c>
      <c r="E182" s="605"/>
      <c r="F182" s="606"/>
      <c r="G182" s="499">
        <v>6288</v>
      </c>
      <c r="H182" s="499">
        <v>2072</v>
      </c>
      <c r="I182" s="499">
        <v>1956</v>
      </c>
      <c r="J182" s="592">
        <f t="shared" si="29"/>
        <v>10316</v>
      </c>
      <c r="K182" s="593"/>
      <c r="L182" s="594">
        <f t="shared" si="27"/>
        <v>10316</v>
      </c>
      <c r="M182" s="610" t="s">
        <v>255</v>
      </c>
      <c r="N182" s="501">
        <f t="shared" si="30"/>
        <v>3.9013285001896651</v>
      </c>
      <c r="O182" s="595">
        <f t="shared" si="35"/>
        <v>40246</v>
      </c>
      <c r="P182" s="583"/>
      <c r="Q182" s="1149">
        <v>1856.6929133858266</v>
      </c>
      <c r="R182" s="1149">
        <v>127.83547557840616</v>
      </c>
      <c r="S182" s="1149">
        <v>596.31179501385031</v>
      </c>
      <c r="T182" s="593">
        <v>0.2036</v>
      </c>
      <c r="U182" s="595">
        <f t="shared" si="31"/>
        <v>525.45906145793776</v>
      </c>
      <c r="V182" s="583"/>
      <c r="W182" s="432">
        <v>0</v>
      </c>
      <c r="X182" s="432">
        <v>0</v>
      </c>
      <c r="Y182" s="432">
        <v>0</v>
      </c>
      <c r="Z182" s="593">
        <v>1.7611399999999999</v>
      </c>
      <c r="AA182" s="596">
        <f t="shared" si="32"/>
        <v>0</v>
      </c>
      <c r="AB182" s="578"/>
      <c r="AC182" s="611"/>
      <c r="AD182" s="585"/>
      <c r="AE182" s="611"/>
      <c r="AF182" s="585"/>
      <c r="AG182" s="611"/>
      <c r="AH182" s="578"/>
      <c r="AI182" s="612"/>
      <c r="AJ182" s="613"/>
      <c r="AK182" s="600">
        <f t="shared" si="36"/>
        <v>0</v>
      </c>
      <c r="AL182" s="578"/>
      <c r="AM182" s="1150">
        <v>0</v>
      </c>
      <c r="AN182" s="1150">
        <v>0</v>
      </c>
      <c r="AO182" s="1150">
        <v>0</v>
      </c>
      <c r="AP182" s="593">
        <v>0.2036</v>
      </c>
      <c r="AQ182" s="595">
        <f t="shared" si="33"/>
        <v>0</v>
      </c>
      <c r="AR182" s="578"/>
      <c r="AS182" s="601">
        <f t="shared" si="34"/>
        <v>40771.459061457936</v>
      </c>
      <c r="AT182" s="586"/>
      <c r="AU182" s="512"/>
      <c r="AV182" s="512"/>
      <c r="AW182" s="512">
        <f t="shared" si="28"/>
        <v>40771.459061457936</v>
      </c>
      <c r="AX182" s="602"/>
      <c r="AZ182" s="438"/>
    </row>
    <row r="183" spans="1:52" s="588" customFormat="1" ht="15" x14ac:dyDescent="0.25">
      <c r="A183" s="587" t="s">
        <v>340</v>
      </c>
      <c r="B183" s="587" t="s">
        <v>341</v>
      </c>
      <c r="C183" s="589">
        <v>509199</v>
      </c>
      <c r="D183" s="578">
        <v>509199</v>
      </c>
      <c r="E183" s="605"/>
      <c r="F183" s="606"/>
      <c r="G183" s="499">
        <v>4320</v>
      </c>
      <c r="H183" s="499">
        <v>3150</v>
      </c>
      <c r="I183" s="499">
        <v>3060</v>
      </c>
      <c r="J183" s="592">
        <f t="shared" si="29"/>
        <v>10530</v>
      </c>
      <c r="K183" s="593"/>
      <c r="L183" s="594">
        <f t="shared" si="27"/>
        <v>10530</v>
      </c>
      <c r="M183" s="610" t="s">
        <v>240</v>
      </c>
      <c r="N183" s="501">
        <f t="shared" si="30"/>
        <v>3.9013285001896651</v>
      </c>
      <c r="O183" s="595">
        <f t="shared" si="35"/>
        <v>41081</v>
      </c>
      <c r="P183" s="583"/>
      <c r="Q183" s="1149">
        <v>2937.6000000000004</v>
      </c>
      <c r="R183" s="1149">
        <v>2625</v>
      </c>
      <c r="S183" s="1149">
        <v>2512.4371578947366</v>
      </c>
      <c r="T183" s="593">
        <v>0.2036</v>
      </c>
      <c r="U183" s="595">
        <f t="shared" si="31"/>
        <v>1644.0775653473686</v>
      </c>
      <c r="V183" s="583"/>
      <c r="W183" s="432">
        <v>0</v>
      </c>
      <c r="X183" s="432">
        <v>0</v>
      </c>
      <c r="Y183" s="432">
        <v>0</v>
      </c>
      <c r="Z183" s="593">
        <v>1.7611399999999999</v>
      </c>
      <c r="AA183" s="596">
        <f t="shared" si="32"/>
        <v>0</v>
      </c>
      <c r="AB183" s="578"/>
      <c r="AC183" s="611"/>
      <c r="AD183" s="585"/>
      <c r="AE183" s="611"/>
      <c r="AF183" s="585"/>
      <c r="AG183" s="611"/>
      <c r="AH183" s="578"/>
      <c r="AI183" s="612"/>
      <c r="AJ183" s="613"/>
      <c r="AK183" s="600">
        <f t="shared" si="36"/>
        <v>0</v>
      </c>
      <c r="AL183" s="578"/>
      <c r="AM183" s="1150">
        <v>518.4</v>
      </c>
      <c r="AN183" s="1150">
        <v>525</v>
      </c>
      <c r="AO183" s="1150">
        <v>459</v>
      </c>
      <c r="AP183" s="593">
        <v>0.2036</v>
      </c>
      <c r="AQ183" s="595">
        <f t="shared" si="33"/>
        <v>305.88864000000001</v>
      </c>
      <c r="AR183" s="578"/>
      <c r="AS183" s="601">
        <f t="shared" si="34"/>
        <v>43030.966205347366</v>
      </c>
      <c r="AT183" s="586"/>
      <c r="AU183" s="512"/>
      <c r="AV183" s="512"/>
      <c r="AW183" s="512">
        <f t="shared" si="28"/>
        <v>43030.966205347366</v>
      </c>
      <c r="AX183" s="602"/>
      <c r="AZ183" s="438"/>
    </row>
    <row r="184" spans="1:52" s="588" customFormat="1" ht="15" x14ac:dyDescent="0.25">
      <c r="A184" s="587" t="s">
        <v>342</v>
      </c>
      <c r="B184" s="587" t="s">
        <v>343</v>
      </c>
      <c r="C184" s="589">
        <v>509197</v>
      </c>
      <c r="D184" s="578">
        <v>509197</v>
      </c>
      <c r="E184" s="605"/>
      <c r="F184" s="606"/>
      <c r="G184" s="499">
        <v>6480</v>
      </c>
      <c r="H184" s="499">
        <v>4410</v>
      </c>
      <c r="I184" s="499">
        <v>3780</v>
      </c>
      <c r="J184" s="592">
        <f t="shared" si="29"/>
        <v>14670</v>
      </c>
      <c r="K184" s="593"/>
      <c r="L184" s="594">
        <f t="shared" si="27"/>
        <v>14670</v>
      </c>
      <c r="M184" s="610" t="s">
        <v>240</v>
      </c>
      <c r="N184" s="501">
        <f t="shared" si="30"/>
        <v>3.9013285001896651</v>
      </c>
      <c r="O184" s="595">
        <f t="shared" si="35"/>
        <v>57232</v>
      </c>
      <c r="P184" s="583"/>
      <c r="Q184" s="1149">
        <v>1514.3135345666992</v>
      </c>
      <c r="R184" s="1149">
        <v>1826.2269938650306</v>
      </c>
      <c r="S184" s="1149">
        <v>5275.7315311004786</v>
      </c>
      <c r="T184" s="593">
        <v>0.2036</v>
      </c>
      <c r="U184" s="595">
        <f t="shared" si="31"/>
        <v>1754.2729913207577</v>
      </c>
      <c r="V184" s="583"/>
      <c r="W184" s="432">
        <v>189.2891918208374</v>
      </c>
      <c r="X184" s="432">
        <v>0</v>
      </c>
      <c r="Y184" s="432">
        <v>0</v>
      </c>
      <c r="Z184" s="593">
        <v>1.7611399999999999</v>
      </c>
      <c r="AA184" s="596">
        <f t="shared" si="32"/>
        <v>333.36476728334958</v>
      </c>
      <c r="AB184" s="578"/>
      <c r="AC184" s="611"/>
      <c r="AD184" s="585"/>
      <c r="AE184" s="611"/>
      <c r="AF184" s="585"/>
      <c r="AG184" s="611"/>
      <c r="AH184" s="578"/>
      <c r="AI184" s="612"/>
      <c r="AJ184" s="613"/>
      <c r="AK184" s="600">
        <f t="shared" si="36"/>
        <v>0</v>
      </c>
      <c r="AL184" s="578"/>
      <c r="AM184" s="1150">
        <v>946.44595910418695</v>
      </c>
      <c r="AN184" s="1150">
        <v>405.82822085889569</v>
      </c>
      <c r="AO184" s="1150">
        <v>515.45454545454538</v>
      </c>
      <c r="AP184" s="593">
        <v>0.2036</v>
      </c>
      <c r="AQ184" s="595">
        <f t="shared" si="33"/>
        <v>380.26956849502909</v>
      </c>
      <c r="AR184" s="578"/>
      <c r="AS184" s="601">
        <f t="shared" si="34"/>
        <v>59699.907327099136</v>
      </c>
      <c r="AT184" s="586"/>
      <c r="AU184" s="512"/>
      <c r="AV184" s="512"/>
      <c r="AW184" s="512">
        <f t="shared" si="28"/>
        <v>59699.907327099136</v>
      </c>
      <c r="AX184" s="602"/>
      <c r="AZ184" s="438"/>
    </row>
    <row r="185" spans="1:52" s="588" customFormat="1" ht="15" x14ac:dyDescent="0.25">
      <c r="A185" s="587" t="s">
        <v>344</v>
      </c>
      <c r="B185" s="587" t="s">
        <v>345</v>
      </c>
      <c r="C185" s="589" t="s">
        <v>346</v>
      </c>
      <c r="D185" s="578">
        <v>385725</v>
      </c>
      <c r="E185" s="605"/>
      <c r="F185" s="606"/>
      <c r="G185" s="499">
        <v>4860</v>
      </c>
      <c r="H185" s="499">
        <v>5460</v>
      </c>
      <c r="I185" s="499">
        <v>5220</v>
      </c>
      <c r="J185" s="592">
        <f t="shared" si="29"/>
        <v>15540</v>
      </c>
      <c r="K185" s="593"/>
      <c r="L185" s="594">
        <f t="shared" ref="L185:L233" si="37">IF(K185&lt;0,F185,J185)</f>
        <v>15540</v>
      </c>
      <c r="M185" s="610" t="s">
        <v>255</v>
      </c>
      <c r="N185" s="501">
        <f t="shared" si="30"/>
        <v>3.9013285001896651</v>
      </c>
      <c r="O185" s="595">
        <f t="shared" si="35"/>
        <v>60627</v>
      </c>
      <c r="P185" s="583"/>
      <c r="Q185" s="1149">
        <v>270</v>
      </c>
      <c r="R185" s="1149">
        <v>0</v>
      </c>
      <c r="S185" s="1149">
        <v>0</v>
      </c>
      <c r="T185" s="593">
        <v>0.2036</v>
      </c>
      <c r="U185" s="595">
        <f t="shared" si="31"/>
        <v>54.972000000000001</v>
      </c>
      <c r="V185" s="583"/>
      <c r="W185" s="432">
        <v>0</v>
      </c>
      <c r="X185" s="432">
        <v>0</v>
      </c>
      <c r="Y185" s="432">
        <v>0</v>
      </c>
      <c r="Z185" s="593">
        <v>1.7611399999999999</v>
      </c>
      <c r="AA185" s="596">
        <f t="shared" si="32"/>
        <v>0</v>
      </c>
      <c r="AB185" s="578"/>
      <c r="AC185" s="611"/>
      <c r="AD185" s="585"/>
      <c r="AE185" s="611"/>
      <c r="AF185" s="585"/>
      <c r="AG185" s="611"/>
      <c r="AH185" s="578"/>
      <c r="AI185" s="612"/>
      <c r="AJ185" s="613"/>
      <c r="AK185" s="600">
        <f t="shared" si="36"/>
        <v>0</v>
      </c>
      <c r="AL185" s="578"/>
      <c r="AM185" s="1150">
        <v>501.42857142857139</v>
      </c>
      <c r="AN185" s="1150">
        <v>682.5</v>
      </c>
      <c r="AO185" s="1150">
        <v>447.42857142857144</v>
      </c>
      <c r="AP185" s="593">
        <v>0.2036</v>
      </c>
      <c r="AQ185" s="595">
        <f t="shared" si="33"/>
        <v>332.14431428571424</v>
      </c>
      <c r="AR185" s="578"/>
      <c r="AS185" s="601">
        <f t="shared" si="34"/>
        <v>61014.116314285711</v>
      </c>
      <c r="AT185" s="586"/>
      <c r="AU185" s="512"/>
      <c r="AV185" s="512"/>
      <c r="AW185" s="512">
        <f t="shared" ref="AW185:AW234" si="38">AU185+AS185+AV185</f>
        <v>61014.116314285711</v>
      </c>
      <c r="AX185" s="602"/>
      <c r="AY185" s="574"/>
      <c r="AZ185" s="438"/>
    </row>
    <row r="186" spans="1:52" s="588" customFormat="1" ht="15" x14ac:dyDescent="0.25">
      <c r="A186" s="651" t="s">
        <v>808</v>
      </c>
      <c r="B186" s="587"/>
      <c r="C186" s="529">
        <v>479383</v>
      </c>
      <c r="D186" s="578">
        <v>479383</v>
      </c>
      <c r="E186" s="605"/>
      <c r="F186" s="606"/>
      <c r="G186" s="499">
        <v>0</v>
      </c>
      <c r="H186" s="499">
        <v>0</v>
      </c>
      <c r="I186" s="499">
        <v>0</v>
      </c>
      <c r="J186" s="592">
        <f t="shared" ref="J186:J233" si="39">SUM(G186:I186)</f>
        <v>0</v>
      </c>
      <c r="K186" s="593"/>
      <c r="L186" s="594">
        <f t="shared" si="37"/>
        <v>0</v>
      </c>
      <c r="M186" s="652" t="s">
        <v>255</v>
      </c>
      <c r="N186" s="501">
        <f t="shared" ref="N186:N233" si="40">3.68049858508459/100*106</f>
        <v>3.9013285001896651</v>
      </c>
      <c r="O186" s="595">
        <f t="shared" si="35"/>
        <v>0</v>
      </c>
      <c r="P186" s="583"/>
      <c r="Q186" s="1149">
        <v>0</v>
      </c>
      <c r="R186" s="1149">
        <v>0</v>
      </c>
      <c r="S186" s="1149">
        <v>0</v>
      </c>
      <c r="T186" s="593">
        <v>0.2036</v>
      </c>
      <c r="U186" s="595">
        <f t="shared" ref="U186:U233" si="41">SUM(Q186+R186+S186)*T186</f>
        <v>0</v>
      </c>
      <c r="V186" s="583"/>
      <c r="W186" s="432">
        <v>0</v>
      </c>
      <c r="X186" s="432">
        <v>0</v>
      </c>
      <c r="Y186" s="432">
        <v>0</v>
      </c>
      <c r="Z186" s="593">
        <v>1.7611399999999999</v>
      </c>
      <c r="AA186" s="596">
        <f t="shared" ref="AA186:AA233" si="42">SUM(W186+X186+Y186)*Z186</f>
        <v>0</v>
      </c>
      <c r="AB186" s="578"/>
      <c r="AC186" s="611"/>
      <c r="AD186" s="585"/>
      <c r="AE186" s="611"/>
      <c r="AF186" s="585"/>
      <c r="AG186" s="611"/>
      <c r="AH186" s="578"/>
      <c r="AI186" s="612"/>
      <c r="AJ186" s="613"/>
      <c r="AK186" s="600">
        <f t="shared" si="36"/>
        <v>0</v>
      </c>
      <c r="AL186" s="578"/>
      <c r="AM186" s="1150">
        <v>0</v>
      </c>
      <c r="AN186" s="1150">
        <v>0</v>
      </c>
      <c r="AO186" s="1150">
        <v>0</v>
      </c>
      <c r="AP186" s="593">
        <v>0.2036</v>
      </c>
      <c r="AQ186" s="595">
        <f t="shared" ref="AQ186:AQ233" si="43">SUM(AM186+AN186+AO186)*AP186</f>
        <v>0</v>
      </c>
      <c r="AR186" s="578"/>
      <c r="AS186" s="601">
        <f t="shared" ref="AS186:AS234" si="44">SUM(AQ186,AK186,AA186,U186,O186,AC186,AE186,AG186)</f>
        <v>0</v>
      </c>
      <c r="AT186" s="586"/>
      <c r="AU186" s="512"/>
      <c r="AV186" s="512"/>
      <c r="AW186" s="512">
        <f t="shared" si="38"/>
        <v>0</v>
      </c>
      <c r="AX186" s="602"/>
      <c r="AY186" s="574"/>
      <c r="AZ186" s="438"/>
    </row>
    <row r="187" spans="1:52" s="588" customFormat="1" ht="15" x14ac:dyDescent="0.25">
      <c r="A187" s="80" t="s">
        <v>347</v>
      </c>
      <c r="B187" s="78"/>
      <c r="C187" s="78" t="s">
        <v>348</v>
      </c>
      <c r="D187" s="578">
        <v>471706</v>
      </c>
      <c r="E187" s="605"/>
      <c r="F187" s="606"/>
      <c r="G187" s="499">
        <v>5220</v>
      </c>
      <c r="H187" s="499">
        <v>1890</v>
      </c>
      <c r="I187" s="499">
        <v>2700</v>
      </c>
      <c r="J187" s="592">
        <f t="shared" si="39"/>
        <v>9810</v>
      </c>
      <c r="K187" s="593"/>
      <c r="L187" s="594">
        <f t="shared" si="37"/>
        <v>9810</v>
      </c>
      <c r="M187" s="610" t="s">
        <v>255</v>
      </c>
      <c r="N187" s="501">
        <f t="shared" si="40"/>
        <v>3.9013285001896651</v>
      </c>
      <c r="O187" s="595">
        <f t="shared" si="35"/>
        <v>38272</v>
      </c>
      <c r="P187" s="583"/>
      <c r="Q187" s="1149">
        <v>15235.875000000002</v>
      </c>
      <c r="R187" s="1149">
        <v>5670</v>
      </c>
      <c r="S187" s="1149">
        <v>3375</v>
      </c>
      <c r="T187" s="593">
        <v>0.2036</v>
      </c>
      <c r="U187" s="595">
        <f t="shared" si="41"/>
        <v>4943.5861500000001</v>
      </c>
      <c r="V187" s="583"/>
      <c r="W187" s="432">
        <v>636.1875</v>
      </c>
      <c r="X187" s="432">
        <v>372.58064516129031</v>
      </c>
      <c r="Y187" s="432">
        <v>337.5</v>
      </c>
      <c r="Z187" s="593">
        <v>1.7611399999999999</v>
      </c>
      <c r="AA187" s="596">
        <f t="shared" si="42"/>
        <v>2370.9666811693546</v>
      </c>
      <c r="AB187" s="578"/>
      <c r="AC187" s="611"/>
      <c r="AD187" s="585"/>
      <c r="AE187" s="611"/>
      <c r="AF187" s="585"/>
      <c r="AG187" s="611"/>
      <c r="AH187" s="578"/>
      <c r="AI187" s="612"/>
      <c r="AJ187" s="613"/>
      <c r="AK187" s="600">
        <f t="shared" si="36"/>
        <v>0</v>
      </c>
      <c r="AL187" s="578"/>
      <c r="AM187" s="1150">
        <v>375.18749999999994</v>
      </c>
      <c r="AN187" s="1150">
        <v>189.67741935483872</v>
      </c>
      <c r="AO187" s="1150">
        <v>675</v>
      </c>
      <c r="AP187" s="593">
        <v>0.2036</v>
      </c>
      <c r="AQ187" s="595">
        <f t="shared" si="43"/>
        <v>252.43649758064512</v>
      </c>
      <c r="AR187" s="578"/>
      <c r="AS187" s="601">
        <f t="shared" si="44"/>
        <v>45838.989328750002</v>
      </c>
      <c r="AT187" s="586"/>
      <c r="AU187" s="512"/>
      <c r="AV187" s="512"/>
      <c r="AW187" s="512">
        <f t="shared" si="38"/>
        <v>45838.989328750002</v>
      </c>
      <c r="AX187" s="602"/>
      <c r="AY187" s="574"/>
      <c r="AZ187" s="438"/>
    </row>
    <row r="188" spans="1:52" s="588" customFormat="1" ht="15" x14ac:dyDescent="0.25">
      <c r="A188" s="437" t="s">
        <v>809</v>
      </c>
      <c r="B188" s="437"/>
      <c r="C188" s="529" t="s">
        <v>810</v>
      </c>
      <c r="D188" s="578">
        <v>441899</v>
      </c>
      <c r="E188" s="605"/>
      <c r="F188" s="606"/>
      <c r="G188" s="499">
        <v>0</v>
      </c>
      <c r="H188" s="499">
        <v>0</v>
      </c>
      <c r="I188" s="499">
        <v>0</v>
      </c>
      <c r="J188" s="592">
        <f t="shared" si="39"/>
        <v>0</v>
      </c>
      <c r="K188" s="593"/>
      <c r="L188" s="594">
        <f t="shared" si="37"/>
        <v>0</v>
      </c>
      <c r="M188" s="610" t="s">
        <v>255</v>
      </c>
      <c r="N188" s="501">
        <f t="shared" si="40"/>
        <v>3.9013285001896651</v>
      </c>
      <c r="O188" s="595">
        <f t="shared" si="35"/>
        <v>0</v>
      </c>
      <c r="P188" s="583"/>
      <c r="Q188" s="1149">
        <v>0</v>
      </c>
      <c r="R188" s="1149">
        <v>0</v>
      </c>
      <c r="S188" s="1149">
        <v>0</v>
      </c>
      <c r="T188" s="593">
        <v>0.2036</v>
      </c>
      <c r="U188" s="595">
        <f t="shared" si="41"/>
        <v>0</v>
      </c>
      <c r="V188" s="583"/>
      <c r="W188" s="432">
        <v>0</v>
      </c>
      <c r="X188" s="432">
        <v>0</v>
      </c>
      <c r="Y188" s="432">
        <v>0</v>
      </c>
      <c r="Z188" s="593">
        <v>1.7611399999999999</v>
      </c>
      <c r="AA188" s="596">
        <f t="shared" si="42"/>
        <v>0</v>
      </c>
      <c r="AB188" s="578"/>
      <c r="AC188" s="611"/>
      <c r="AD188" s="585"/>
      <c r="AE188" s="611"/>
      <c r="AF188" s="585"/>
      <c r="AG188" s="611"/>
      <c r="AH188" s="578"/>
      <c r="AI188" s="612"/>
      <c r="AJ188" s="613"/>
      <c r="AK188" s="600">
        <f t="shared" si="36"/>
        <v>0</v>
      </c>
      <c r="AL188" s="578"/>
      <c r="AM188" s="1150">
        <v>0</v>
      </c>
      <c r="AN188" s="1150">
        <v>0</v>
      </c>
      <c r="AO188" s="1150">
        <v>0</v>
      </c>
      <c r="AP188" s="593">
        <v>0.2036</v>
      </c>
      <c r="AQ188" s="595">
        <f t="shared" si="43"/>
        <v>0</v>
      </c>
      <c r="AR188" s="578"/>
      <c r="AS188" s="601">
        <f t="shared" si="44"/>
        <v>0</v>
      </c>
      <c r="AT188" s="586"/>
      <c r="AU188" s="512"/>
      <c r="AV188" s="512"/>
      <c r="AW188" s="512">
        <f t="shared" si="38"/>
        <v>0</v>
      </c>
      <c r="AX188" s="602"/>
      <c r="AY188" s="574"/>
      <c r="AZ188" s="438"/>
    </row>
    <row r="189" spans="1:52" s="588" customFormat="1" ht="15" x14ac:dyDescent="0.25">
      <c r="A189" s="587" t="s">
        <v>349</v>
      </c>
      <c r="B189" s="587" t="s">
        <v>350</v>
      </c>
      <c r="C189" s="589">
        <v>206117</v>
      </c>
      <c r="D189" s="578">
        <v>206117</v>
      </c>
      <c r="E189" s="605"/>
      <c r="F189" s="606"/>
      <c r="G189" s="499">
        <v>7104</v>
      </c>
      <c r="H189" s="499">
        <v>9660</v>
      </c>
      <c r="I189" s="499">
        <v>10260</v>
      </c>
      <c r="J189" s="592">
        <f t="shared" si="39"/>
        <v>27024</v>
      </c>
      <c r="K189" s="593"/>
      <c r="L189" s="594">
        <f t="shared" si="37"/>
        <v>27024</v>
      </c>
      <c r="M189" s="610" t="s">
        <v>240</v>
      </c>
      <c r="N189" s="501">
        <f t="shared" si="40"/>
        <v>3.9013285001896651</v>
      </c>
      <c r="O189" s="595">
        <f t="shared" si="35"/>
        <v>105430</v>
      </c>
      <c r="P189" s="583"/>
      <c r="Q189" s="1149">
        <v>307.08933717579254</v>
      </c>
      <c r="R189" s="1149">
        <v>0</v>
      </c>
      <c r="S189" s="1149">
        <v>350.50794392523363</v>
      </c>
      <c r="T189" s="593">
        <v>0.2036</v>
      </c>
      <c r="U189" s="595">
        <f t="shared" si="41"/>
        <v>133.88680643216892</v>
      </c>
      <c r="V189" s="583"/>
      <c r="W189" s="432">
        <v>0</v>
      </c>
      <c r="X189" s="432">
        <v>0</v>
      </c>
      <c r="Y189" s="432">
        <v>0</v>
      </c>
      <c r="Z189" s="593">
        <v>1.7611399999999999</v>
      </c>
      <c r="AA189" s="596">
        <f t="shared" si="42"/>
        <v>0</v>
      </c>
      <c r="AB189" s="578"/>
      <c r="AC189" s="611"/>
      <c r="AD189" s="585"/>
      <c r="AE189" s="611"/>
      <c r="AF189" s="585"/>
      <c r="AG189" s="611"/>
      <c r="AH189" s="578"/>
      <c r="AI189" s="612"/>
      <c r="AJ189" s="613"/>
      <c r="AK189" s="600">
        <f t="shared" si="36"/>
        <v>0</v>
      </c>
      <c r="AL189" s="578"/>
      <c r="AM189" s="1150">
        <v>0</v>
      </c>
      <c r="AN189" s="1150">
        <v>0</v>
      </c>
      <c r="AO189" s="1150">
        <v>0</v>
      </c>
      <c r="AP189" s="593">
        <v>0.2036</v>
      </c>
      <c r="AQ189" s="595">
        <f t="shared" si="43"/>
        <v>0</v>
      </c>
      <c r="AR189" s="578"/>
      <c r="AS189" s="601">
        <f t="shared" si="44"/>
        <v>105563.88680643217</v>
      </c>
      <c r="AT189" s="586"/>
      <c r="AU189" s="512"/>
      <c r="AV189" s="512"/>
      <c r="AW189" s="512">
        <f t="shared" si="38"/>
        <v>105563.88680643217</v>
      </c>
      <c r="AX189" s="602"/>
      <c r="AY189" s="574"/>
      <c r="AZ189" s="438"/>
    </row>
    <row r="190" spans="1:52" s="588" customFormat="1" ht="15" x14ac:dyDescent="0.25">
      <c r="A190" s="587" t="s">
        <v>351</v>
      </c>
      <c r="B190" s="587" t="s">
        <v>352</v>
      </c>
      <c r="C190" s="589">
        <v>206141</v>
      </c>
      <c r="D190" s="578">
        <v>206141</v>
      </c>
      <c r="E190" s="605"/>
      <c r="F190" s="606"/>
      <c r="G190" s="499">
        <v>4320</v>
      </c>
      <c r="H190" s="499">
        <v>3780</v>
      </c>
      <c r="I190" s="499">
        <v>3600</v>
      </c>
      <c r="J190" s="592">
        <f t="shared" si="39"/>
        <v>11700</v>
      </c>
      <c r="K190" s="593"/>
      <c r="L190" s="594">
        <f t="shared" si="37"/>
        <v>11700</v>
      </c>
      <c r="M190" s="610" t="s">
        <v>255</v>
      </c>
      <c r="N190" s="501">
        <f t="shared" si="40"/>
        <v>3.9013285001896651</v>
      </c>
      <c r="O190" s="595">
        <f t="shared" si="35"/>
        <v>45646</v>
      </c>
      <c r="P190" s="583"/>
      <c r="Q190" s="1149">
        <v>0</v>
      </c>
      <c r="R190" s="1149">
        <v>771.42857142857144</v>
      </c>
      <c r="S190" s="1149">
        <v>374.53736842105263</v>
      </c>
      <c r="T190" s="593">
        <v>0.2036</v>
      </c>
      <c r="U190" s="595">
        <f t="shared" si="41"/>
        <v>233.31866535338349</v>
      </c>
      <c r="V190" s="583"/>
      <c r="W190" s="432">
        <v>0</v>
      </c>
      <c r="X190" s="432">
        <v>0</v>
      </c>
      <c r="Y190" s="432">
        <v>0</v>
      </c>
      <c r="Z190" s="593">
        <v>1.7611399999999999</v>
      </c>
      <c r="AA190" s="596">
        <f t="shared" si="42"/>
        <v>0</v>
      </c>
      <c r="AB190" s="578"/>
      <c r="AC190" s="611"/>
      <c r="AD190" s="585"/>
      <c r="AE190" s="611"/>
      <c r="AF190" s="585"/>
      <c r="AG190" s="611"/>
      <c r="AH190" s="578"/>
      <c r="AI190" s="612"/>
      <c r="AJ190" s="613"/>
      <c r="AK190" s="600">
        <f t="shared" si="36"/>
        <v>0</v>
      </c>
      <c r="AL190" s="578"/>
      <c r="AM190" s="1150">
        <v>242.11866146581812</v>
      </c>
      <c r="AN190" s="1150">
        <v>0</v>
      </c>
      <c r="AO190" s="1150">
        <v>90</v>
      </c>
      <c r="AP190" s="593">
        <v>0.2036</v>
      </c>
      <c r="AQ190" s="595">
        <f t="shared" si="43"/>
        <v>67.619359474440571</v>
      </c>
      <c r="AR190" s="578"/>
      <c r="AS190" s="601">
        <f t="shared" si="44"/>
        <v>45946.938024827825</v>
      </c>
      <c r="AT190" s="586"/>
      <c r="AU190" s="512"/>
      <c r="AV190" s="512"/>
      <c r="AW190" s="512">
        <f t="shared" si="38"/>
        <v>45946.938024827825</v>
      </c>
      <c r="AX190" s="602"/>
      <c r="AY190" s="574"/>
      <c r="AZ190" s="438"/>
    </row>
    <row r="191" spans="1:52" s="588" customFormat="1" ht="15" x14ac:dyDescent="0.25">
      <c r="A191" s="587" t="s">
        <v>353</v>
      </c>
      <c r="B191" s="587" t="s">
        <v>354</v>
      </c>
      <c r="C191" s="589" t="s">
        <v>355</v>
      </c>
      <c r="D191" s="578">
        <v>304261</v>
      </c>
      <c r="E191" s="605"/>
      <c r="F191" s="606"/>
      <c r="G191" s="499">
        <v>10080</v>
      </c>
      <c r="H191" s="499">
        <v>5250</v>
      </c>
      <c r="I191" s="499">
        <v>7200</v>
      </c>
      <c r="J191" s="592">
        <f t="shared" si="39"/>
        <v>22530</v>
      </c>
      <c r="K191" s="593"/>
      <c r="L191" s="594">
        <f t="shared" si="37"/>
        <v>22530</v>
      </c>
      <c r="M191" s="610" t="s">
        <v>240</v>
      </c>
      <c r="N191" s="501">
        <f t="shared" si="40"/>
        <v>3.9013285001896651</v>
      </c>
      <c r="O191" s="595">
        <f t="shared" si="35"/>
        <v>87897</v>
      </c>
      <c r="P191" s="583"/>
      <c r="Q191" s="1149">
        <v>2240</v>
      </c>
      <c r="R191" s="1149">
        <v>177.36486486486487</v>
      </c>
      <c r="S191" s="1149">
        <v>1026.5539318885449</v>
      </c>
      <c r="T191" s="593">
        <v>0.2036</v>
      </c>
      <c r="U191" s="595">
        <f t="shared" si="41"/>
        <v>701.18186701899424</v>
      </c>
      <c r="V191" s="583"/>
      <c r="W191" s="432">
        <v>0</v>
      </c>
      <c r="X191" s="432">
        <v>354.72972972972974</v>
      </c>
      <c r="Y191" s="432">
        <v>211.76470588235293</v>
      </c>
      <c r="Z191" s="593">
        <v>1.7611399999999999</v>
      </c>
      <c r="AA191" s="596">
        <f t="shared" si="42"/>
        <v>997.67601033386336</v>
      </c>
      <c r="AB191" s="578"/>
      <c r="AC191" s="611"/>
      <c r="AD191" s="585"/>
      <c r="AE191" s="611"/>
      <c r="AF191" s="585"/>
      <c r="AG191" s="611"/>
      <c r="AH191" s="578"/>
      <c r="AI191" s="612"/>
      <c r="AJ191" s="613"/>
      <c r="AK191" s="600">
        <f t="shared" si="36"/>
        <v>0</v>
      </c>
      <c r="AL191" s="578"/>
      <c r="AM191" s="1150">
        <v>672</v>
      </c>
      <c r="AN191" s="1150">
        <v>0</v>
      </c>
      <c r="AO191" s="1150">
        <v>0</v>
      </c>
      <c r="AP191" s="593">
        <v>0.2036</v>
      </c>
      <c r="AQ191" s="595">
        <f t="shared" si="43"/>
        <v>136.8192</v>
      </c>
      <c r="AR191" s="578"/>
      <c r="AS191" s="601">
        <f t="shared" si="44"/>
        <v>89732.677077352855</v>
      </c>
      <c r="AT191" s="586"/>
      <c r="AU191" s="512"/>
      <c r="AV191" s="512"/>
      <c r="AW191" s="512">
        <f t="shared" si="38"/>
        <v>89732.677077352855</v>
      </c>
      <c r="AX191" s="602"/>
      <c r="AY191" s="574"/>
      <c r="AZ191" s="438"/>
    </row>
    <row r="192" spans="1:52" s="588" customFormat="1" ht="15" x14ac:dyDescent="0.25">
      <c r="A192" s="587" t="s">
        <v>356</v>
      </c>
      <c r="B192" s="587" t="s">
        <v>357</v>
      </c>
      <c r="C192" s="589">
        <v>258404</v>
      </c>
      <c r="D192" s="578">
        <v>258404</v>
      </c>
      <c r="E192" s="605"/>
      <c r="F192" s="606"/>
      <c r="G192" s="499">
        <v>11160</v>
      </c>
      <c r="H192" s="499">
        <v>11340</v>
      </c>
      <c r="I192" s="499">
        <v>9720</v>
      </c>
      <c r="J192" s="592">
        <f t="shared" si="39"/>
        <v>32220</v>
      </c>
      <c r="K192" s="593"/>
      <c r="L192" s="594">
        <f t="shared" si="37"/>
        <v>32220</v>
      </c>
      <c r="M192" s="610" t="s">
        <v>240</v>
      </c>
      <c r="N192" s="501">
        <f t="shared" si="40"/>
        <v>3.9013285001896651</v>
      </c>
      <c r="O192" s="595">
        <f t="shared" si="35"/>
        <v>125701</v>
      </c>
      <c r="P192" s="583"/>
      <c r="Q192" s="1149">
        <v>11237.5</v>
      </c>
      <c r="R192" s="1149">
        <v>10395</v>
      </c>
      <c r="S192" s="1149">
        <v>26808.777473684208</v>
      </c>
      <c r="T192" s="593">
        <v>0.2036</v>
      </c>
      <c r="U192" s="595">
        <f t="shared" si="41"/>
        <v>9862.6440936421059</v>
      </c>
      <c r="V192" s="583"/>
      <c r="W192" s="432">
        <v>1162.5</v>
      </c>
      <c r="X192" s="432">
        <v>945</v>
      </c>
      <c r="Y192" s="432">
        <v>540</v>
      </c>
      <c r="Z192" s="593">
        <v>1.7611399999999999</v>
      </c>
      <c r="AA192" s="596">
        <f t="shared" si="42"/>
        <v>4662.6181500000002</v>
      </c>
      <c r="AB192" s="578"/>
      <c r="AC192" s="611"/>
      <c r="AD192" s="585"/>
      <c r="AE192" s="611"/>
      <c r="AF192" s="585"/>
      <c r="AG192" s="611"/>
      <c r="AH192" s="578"/>
      <c r="AI192" s="612"/>
      <c r="AJ192" s="613"/>
      <c r="AK192" s="600">
        <f t="shared" si="36"/>
        <v>0</v>
      </c>
      <c r="AL192" s="578"/>
      <c r="AM192" s="1150">
        <v>387.5</v>
      </c>
      <c r="AN192" s="1150">
        <v>0</v>
      </c>
      <c r="AO192" s="1150">
        <v>2700</v>
      </c>
      <c r="AP192" s="593">
        <v>0.2036</v>
      </c>
      <c r="AQ192" s="595">
        <f t="shared" si="43"/>
        <v>628.61500000000001</v>
      </c>
      <c r="AR192" s="578"/>
      <c r="AS192" s="601">
        <f t="shared" si="44"/>
        <v>140854.87724364211</v>
      </c>
      <c r="AT192" s="586"/>
      <c r="AU192" s="512"/>
      <c r="AV192" s="512"/>
      <c r="AW192" s="512">
        <f t="shared" si="38"/>
        <v>140854.87724364211</v>
      </c>
      <c r="AX192" s="602"/>
      <c r="AY192" s="574"/>
      <c r="AZ192" s="438"/>
    </row>
    <row r="193" spans="1:52" s="588" customFormat="1" ht="15" x14ac:dyDescent="0.25">
      <c r="A193" s="587" t="s">
        <v>358</v>
      </c>
      <c r="B193" s="587" t="s">
        <v>359</v>
      </c>
      <c r="C193" s="589">
        <v>258405</v>
      </c>
      <c r="D193" s="578">
        <v>258405</v>
      </c>
      <c r="E193" s="605"/>
      <c r="F193" s="606"/>
      <c r="G193" s="499">
        <v>8147.0769230769229</v>
      </c>
      <c r="H193" s="499">
        <v>6244</v>
      </c>
      <c r="I193" s="499">
        <v>7908</v>
      </c>
      <c r="J193" s="592">
        <f t="shared" si="39"/>
        <v>22299.076923076922</v>
      </c>
      <c r="K193" s="593"/>
      <c r="L193" s="594">
        <f t="shared" si="37"/>
        <v>22299.076923076922</v>
      </c>
      <c r="M193" s="610" t="s">
        <v>240</v>
      </c>
      <c r="N193" s="501">
        <f t="shared" si="40"/>
        <v>3.9013285001896651</v>
      </c>
      <c r="O193" s="595">
        <f t="shared" si="35"/>
        <v>86996</v>
      </c>
      <c r="P193" s="583"/>
      <c r="Q193" s="1149">
        <v>2866.1538461538462</v>
      </c>
      <c r="R193" s="1149">
        <v>1722.0000000000002</v>
      </c>
      <c r="S193" s="1149">
        <v>3006.4215789473678</v>
      </c>
      <c r="T193" s="593">
        <v>0.2036</v>
      </c>
      <c r="U193" s="595">
        <f t="shared" si="41"/>
        <v>1546.2555565506075</v>
      </c>
      <c r="V193" s="583"/>
      <c r="W193" s="432">
        <v>180</v>
      </c>
      <c r="X193" s="432">
        <v>210</v>
      </c>
      <c r="Y193" s="432">
        <v>180</v>
      </c>
      <c r="Z193" s="593">
        <v>1.7611399999999999</v>
      </c>
      <c r="AA193" s="596">
        <f t="shared" si="42"/>
        <v>1003.8498</v>
      </c>
      <c r="AB193" s="578"/>
      <c r="AC193" s="611"/>
      <c r="AD193" s="585"/>
      <c r="AE193" s="611"/>
      <c r="AF193" s="585"/>
      <c r="AG193" s="611"/>
      <c r="AH193" s="578"/>
      <c r="AI193" s="612"/>
      <c r="AJ193" s="613"/>
      <c r="AK193" s="600">
        <f t="shared" si="36"/>
        <v>0</v>
      </c>
      <c r="AL193" s="578"/>
      <c r="AM193" s="1150">
        <v>360</v>
      </c>
      <c r="AN193" s="1150">
        <v>1162</v>
      </c>
      <c r="AO193" s="1150">
        <v>360</v>
      </c>
      <c r="AP193" s="593">
        <v>0.2036</v>
      </c>
      <c r="AQ193" s="595">
        <f t="shared" si="43"/>
        <v>383.17520000000002</v>
      </c>
      <c r="AR193" s="578"/>
      <c r="AS193" s="601">
        <f t="shared" si="44"/>
        <v>89929.280556550613</v>
      </c>
      <c r="AT193" s="586"/>
      <c r="AU193" s="512"/>
      <c r="AV193" s="512"/>
      <c r="AW193" s="512">
        <f t="shared" si="38"/>
        <v>89929.280556550613</v>
      </c>
      <c r="AX193" s="602"/>
      <c r="AY193" s="574"/>
      <c r="AZ193" s="438"/>
    </row>
    <row r="194" spans="1:52" s="588" customFormat="1" ht="15" x14ac:dyDescent="0.25">
      <c r="A194" s="587" t="s">
        <v>360</v>
      </c>
      <c r="B194" s="587" t="s">
        <v>361</v>
      </c>
      <c r="C194" s="589">
        <v>258406</v>
      </c>
      <c r="D194" s="578">
        <v>258406</v>
      </c>
      <c r="E194" s="605"/>
      <c r="F194" s="606"/>
      <c r="G194" s="499">
        <v>6660</v>
      </c>
      <c r="H194" s="499">
        <v>5670</v>
      </c>
      <c r="I194" s="499">
        <v>4860</v>
      </c>
      <c r="J194" s="592">
        <f t="shared" si="39"/>
        <v>17190</v>
      </c>
      <c r="K194" s="593"/>
      <c r="L194" s="594">
        <f t="shared" si="37"/>
        <v>17190</v>
      </c>
      <c r="M194" s="610" t="s">
        <v>240</v>
      </c>
      <c r="N194" s="501">
        <f t="shared" si="40"/>
        <v>3.9013285001896651</v>
      </c>
      <c r="O194" s="595">
        <f t="shared" si="35"/>
        <v>67064</v>
      </c>
      <c r="P194" s="583"/>
      <c r="Q194" s="1149">
        <v>3168.6343612334799</v>
      </c>
      <c r="R194" s="1149">
        <v>3463.1137724550899</v>
      </c>
      <c r="S194" s="1149">
        <v>1329.2308462786925</v>
      </c>
      <c r="T194" s="593">
        <v>0.2036</v>
      </c>
      <c r="U194" s="595">
        <f t="shared" si="41"/>
        <v>1620.8553203213346</v>
      </c>
      <c r="V194" s="583"/>
      <c r="W194" s="432">
        <v>176.0352422907489</v>
      </c>
      <c r="X194" s="432">
        <v>0</v>
      </c>
      <c r="Y194" s="432">
        <v>0</v>
      </c>
      <c r="Z194" s="593">
        <v>1.7611399999999999</v>
      </c>
      <c r="AA194" s="596">
        <f t="shared" si="42"/>
        <v>310.02270660792948</v>
      </c>
      <c r="AB194" s="578"/>
      <c r="AC194" s="611"/>
      <c r="AD194" s="585"/>
      <c r="AE194" s="611"/>
      <c r="AF194" s="585"/>
      <c r="AG194" s="611"/>
      <c r="AH194" s="578"/>
      <c r="AI194" s="612"/>
      <c r="AJ194" s="613"/>
      <c r="AK194" s="600">
        <f t="shared" si="36"/>
        <v>0</v>
      </c>
      <c r="AL194" s="578"/>
      <c r="AM194" s="1150">
        <v>0</v>
      </c>
      <c r="AN194" s="1150">
        <v>203.7125748502994</v>
      </c>
      <c r="AO194" s="1150">
        <v>0</v>
      </c>
      <c r="AP194" s="593">
        <v>0.2036</v>
      </c>
      <c r="AQ194" s="595">
        <f t="shared" si="43"/>
        <v>41.475880239520961</v>
      </c>
      <c r="AR194" s="578"/>
      <c r="AS194" s="601">
        <f t="shared" si="44"/>
        <v>69036.353907168785</v>
      </c>
      <c r="AT194" s="586"/>
      <c r="AU194" s="512"/>
      <c r="AV194" s="512"/>
      <c r="AW194" s="512">
        <f t="shared" si="38"/>
        <v>69036.353907168785</v>
      </c>
      <c r="AX194" s="602"/>
      <c r="AY194" s="574"/>
      <c r="AZ194" s="438"/>
    </row>
    <row r="195" spans="1:52" s="588" customFormat="1" ht="15" x14ac:dyDescent="0.25">
      <c r="A195" s="587" t="s">
        <v>362</v>
      </c>
      <c r="B195" s="587" t="s">
        <v>363</v>
      </c>
      <c r="C195" s="589">
        <v>206160</v>
      </c>
      <c r="D195" s="578">
        <v>206160</v>
      </c>
      <c r="E195" s="605"/>
      <c r="F195" s="606"/>
      <c r="G195" s="499">
        <v>1800</v>
      </c>
      <c r="H195" s="499">
        <v>210</v>
      </c>
      <c r="I195" s="499">
        <v>900</v>
      </c>
      <c r="J195" s="592">
        <f t="shared" si="39"/>
        <v>2910</v>
      </c>
      <c r="K195" s="593"/>
      <c r="L195" s="594">
        <f t="shared" si="37"/>
        <v>2910</v>
      </c>
      <c r="M195" s="610" t="s">
        <v>255</v>
      </c>
      <c r="N195" s="501">
        <f t="shared" si="40"/>
        <v>3.9013285001896651</v>
      </c>
      <c r="O195" s="595">
        <f t="shared" si="35"/>
        <v>11353</v>
      </c>
      <c r="P195" s="583"/>
      <c r="Q195" s="1149">
        <v>409.09090909090907</v>
      </c>
      <c r="R195" s="1149">
        <v>210</v>
      </c>
      <c r="S195" s="1149">
        <v>1284.1281203007518</v>
      </c>
      <c r="T195" s="593">
        <v>0.2036</v>
      </c>
      <c r="U195" s="595">
        <f t="shared" si="41"/>
        <v>387.49539438414212</v>
      </c>
      <c r="V195" s="583"/>
      <c r="W195" s="432">
        <v>0</v>
      </c>
      <c r="X195" s="432">
        <v>0</v>
      </c>
      <c r="Y195" s="432">
        <v>0</v>
      </c>
      <c r="Z195" s="593">
        <v>1.7611399999999999</v>
      </c>
      <c r="AA195" s="596">
        <f t="shared" si="42"/>
        <v>0</v>
      </c>
      <c r="AB195" s="578"/>
      <c r="AC195" s="611"/>
      <c r="AD195" s="585"/>
      <c r="AE195" s="611"/>
      <c r="AF195" s="585"/>
      <c r="AG195" s="611"/>
      <c r="AH195" s="578"/>
      <c r="AI195" s="612"/>
      <c r="AJ195" s="613"/>
      <c r="AK195" s="600">
        <f t="shared" si="36"/>
        <v>0</v>
      </c>
      <c r="AL195" s="578"/>
      <c r="AM195" s="1150">
        <v>0</v>
      </c>
      <c r="AN195" s="1150">
        <v>0</v>
      </c>
      <c r="AO195" s="1150">
        <v>0</v>
      </c>
      <c r="AP195" s="593">
        <v>0.2036</v>
      </c>
      <c r="AQ195" s="595">
        <f t="shared" si="43"/>
        <v>0</v>
      </c>
      <c r="AR195" s="578"/>
      <c r="AS195" s="601">
        <f t="shared" si="44"/>
        <v>11740.495394384143</v>
      </c>
      <c r="AT195" s="586"/>
      <c r="AU195" s="512"/>
      <c r="AV195" s="512"/>
      <c r="AW195" s="512">
        <f t="shared" si="38"/>
        <v>11740.495394384143</v>
      </c>
      <c r="AX195" s="602"/>
      <c r="AY195" s="574"/>
      <c r="AZ195" s="438"/>
    </row>
    <row r="196" spans="1:52" s="588" customFormat="1" ht="15" x14ac:dyDescent="0.25">
      <c r="A196" s="587" t="s">
        <v>364</v>
      </c>
      <c r="B196" s="587" t="s">
        <v>365</v>
      </c>
      <c r="C196" s="589" t="s">
        <v>366</v>
      </c>
      <c r="D196" s="578">
        <v>284120</v>
      </c>
      <c r="E196" s="605"/>
      <c r="F196" s="606"/>
      <c r="G196" s="499">
        <v>11340</v>
      </c>
      <c r="H196" s="499">
        <v>8400</v>
      </c>
      <c r="I196" s="499">
        <v>9000</v>
      </c>
      <c r="J196" s="592">
        <f t="shared" si="39"/>
        <v>28740</v>
      </c>
      <c r="K196" s="593"/>
      <c r="L196" s="594">
        <f t="shared" si="37"/>
        <v>28740</v>
      </c>
      <c r="M196" s="610" t="s">
        <v>240</v>
      </c>
      <c r="N196" s="501">
        <f t="shared" si="40"/>
        <v>3.9013285001896651</v>
      </c>
      <c r="O196" s="595">
        <f t="shared" si="35"/>
        <v>112124</v>
      </c>
      <c r="P196" s="583"/>
      <c r="Q196" s="1149">
        <v>10560.048740861088</v>
      </c>
      <c r="R196" s="1149">
        <v>7761.044948136765</v>
      </c>
      <c r="S196" s="1149">
        <v>16328.648289473684</v>
      </c>
      <c r="T196" s="593">
        <v>0.2036</v>
      </c>
      <c r="U196" s="595">
        <f t="shared" si="41"/>
        <v>7054.6874668168057</v>
      </c>
      <c r="V196" s="583"/>
      <c r="W196" s="432">
        <v>199.59382615759543</v>
      </c>
      <c r="X196" s="432">
        <v>0</v>
      </c>
      <c r="Y196" s="432">
        <v>0</v>
      </c>
      <c r="Z196" s="593">
        <v>1.7611399999999999</v>
      </c>
      <c r="AA196" s="596">
        <f t="shared" si="42"/>
        <v>351.51267099918761</v>
      </c>
      <c r="AB196" s="578"/>
      <c r="AC196" s="611"/>
      <c r="AD196" s="585"/>
      <c r="AE196" s="611"/>
      <c r="AF196" s="585"/>
      <c r="AG196" s="611"/>
      <c r="AH196" s="578"/>
      <c r="AI196" s="612"/>
      <c r="AJ196" s="613"/>
      <c r="AK196" s="600">
        <f t="shared" si="36"/>
        <v>0</v>
      </c>
      <c r="AL196" s="578"/>
      <c r="AM196" s="1150">
        <v>4145.4102355808282</v>
      </c>
      <c r="AN196" s="1150">
        <v>2620.3611217825583</v>
      </c>
      <c r="AO196" s="1150">
        <v>6900.0000000000009</v>
      </c>
      <c r="AP196" s="593">
        <v>0.2036</v>
      </c>
      <c r="AQ196" s="595">
        <f t="shared" si="43"/>
        <v>2782.3510483591858</v>
      </c>
      <c r="AR196" s="578"/>
      <c r="AS196" s="601">
        <f t="shared" si="44"/>
        <v>122312.55118617517</v>
      </c>
      <c r="AT196" s="586"/>
      <c r="AU196" s="512"/>
      <c r="AV196" s="512"/>
      <c r="AW196" s="512">
        <f t="shared" si="38"/>
        <v>122312.55118617517</v>
      </c>
      <c r="AX196" s="602"/>
      <c r="AY196" s="574"/>
      <c r="AZ196" s="438"/>
    </row>
    <row r="197" spans="1:52" s="588" customFormat="1" ht="15" x14ac:dyDescent="0.25">
      <c r="A197" s="619" t="s">
        <v>367</v>
      </c>
      <c r="B197" s="587"/>
      <c r="C197" s="604" t="s">
        <v>368</v>
      </c>
      <c r="D197" s="578">
        <v>331291</v>
      </c>
      <c r="E197" s="605"/>
      <c r="F197" s="606"/>
      <c r="G197" s="499">
        <v>0</v>
      </c>
      <c r="H197" s="499">
        <v>0</v>
      </c>
      <c r="I197" s="499">
        <v>0</v>
      </c>
      <c r="J197" s="592">
        <f t="shared" si="39"/>
        <v>0</v>
      </c>
      <c r="K197" s="593"/>
      <c r="L197" s="594">
        <f t="shared" si="37"/>
        <v>0</v>
      </c>
      <c r="M197" s="610" t="s">
        <v>240</v>
      </c>
      <c r="N197" s="501">
        <f t="shared" si="40"/>
        <v>3.9013285001896651</v>
      </c>
      <c r="O197" s="595">
        <f t="shared" si="35"/>
        <v>0</v>
      </c>
      <c r="P197" s="583"/>
      <c r="Q197" s="1149">
        <v>0</v>
      </c>
      <c r="R197" s="1149">
        <v>0</v>
      </c>
      <c r="S197" s="1149">
        <v>0</v>
      </c>
      <c r="T197" s="593">
        <v>0.2036</v>
      </c>
      <c r="U197" s="595">
        <f t="shared" si="41"/>
        <v>0</v>
      </c>
      <c r="V197" s="583"/>
      <c r="W197" s="432">
        <v>0</v>
      </c>
      <c r="X197" s="432">
        <v>0</v>
      </c>
      <c r="Y197" s="432">
        <v>0</v>
      </c>
      <c r="Z197" s="593">
        <v>1.7611399999999999</v>
      </c>
      <c r="AA197" s="596">
        <f t="shared" si="42"/>
        <v>0</v>
      </c>
      <c r="AB197" s="578"/>
      <c r="AC197" s="611"/>
      <c r="AD197" s="585"/>
      <c r="AE197" s="611"/>
      <c r="AF197" s="585"/>
      <c r="AG197" s="611"/>
      <c r="AH197" s="578"/>
      <c r="AI197" s="612"/>
      <c r="AJ197" s="613"/>
      <c r="AK197" s="600">
        <f t="shared" si="36"/>
        <v>0</v>
      </c>
      <c r="AL197" s="578"/>
      <c r="AM197" s="1150">
        <v>0</v>
      </c>
      <c r="AN197" s="1150">
        <v>0</v>
      </c>
      <c r="AO197" s="1150">
        <v>0</v>
      </c>
      <c r="AP197" s="593">
        <v>0.2036</v>
      </c>
      <c r="AQ197" s="595">
        <f t="shared" si="43"/>
        <v>0</v>
      </c>
      <c r="AR197" s="578"/>
      <c r="AS197" s="601">
        <f t="shared" si="44"/>
        <v>0</v>
      </c>
      <c r="AT197" s="586"/>
      <c r="AU197" s="512"/>
      <c r="AV197" s="512"/>
      <c r="AW197" s="512">
        <f t="shared" si="38"/>
        <v>0</v>
      </c>
      <c r="AX197" s="602"/>
      <c r="AY197" s="574"/>
      <c r="AZ197" s="438"/>
    </row>
    <row r="198" spans="1:52" s="588" customFormat="1" ht="15" x14ac:dyDescent="0.25">
      <c r="A198" s="653" t="s">
        <v>811</v>
      </c>
      <c r="B198" s="437"/>
      <c r="C198" s="529" t="s">
        <v>812</v>
      </c>
      <c r="D198" s="578">
        <v>474393</v>
      </c>
      <c r="E198" s="605"/>
      <c r="F198" s="606"/>
      <c r="G198" s="499">
        <v>4500</v>
      </c>
      <c r="H198" s="499">
        <v>2100</v>
      </c>
      <c r="I198" s="499">
        <v>2700</v>
      </c>
      <c r="J198" s="592">
        <f t="shared" si="39"/>
        <v>9300</v>
      </c>
      <c r="K198" s="593"/>
      <c r="L198" s="594">
        <f t="shared" si="37"/>
        <v>9300</v>
      </c>
      <c r="M198" s="610" t="s">
        <v>240</v>
      </c>
      <c r="N198" s="501">
        <f t="shared" si="40"/>
        <v>3.9013285001896651</v>
      </c>
      <c r="O198" s="595">
        <f t="shared" si="35"/>
        <v>36282</v>
      </c>
      <c r="P198" s="583"/>
      <c r="Q198" s="1149">
        <v>13500</v>
      </c>
      <c r="R198" s="1149">
        <v>6037.5</v>
      </c>
      <c r="S198" s="1149">
        <v>0</v>
      </c>
      <c r="T198" s="593">
        <v>0.2036</v>
      </c>
      <c r="U198" s="595">
        <f t="shared" si="41"/>
        <v>3977.835</v>
      </c>
      <c r="V198" s="583"/>
      <c r="W198" s="432">
        <v>0</v>
      </c>
      <c r="X198" s="432">
        <v>131.25</v>
      </c>
      <c r="Y198" s="432">
        <v>0</v>
      </c>
      <c r="Z198" s="593">
        <v>1.7611399999999999</v>
      </c>
      <c r="AA198" s="596">
        <f t="shared" si="42"/>
        <v>231.14962499999999</v>
      </c>
      <c r="AB198" s="578"/>
      <c r="AC198" s="611"/>
      <c r="AD198" s="585"/>
      <c r="AE198" s="611"/>
      <c r="AF198" s="585"/>
      <c r="AG198" s="611"/>
      <c r="AH198" s="578"/>
      <c r="AI198" s="612"/>
      <c r="AJ198" s="613"/>
      <c r="AK198" s="600">
        <f t="shared" si="36"/>
        <v>0</v>
      </c>
      <c r="AL198" s="578"/>
      <c r="AM198" s="1150">
        <v>2250</v>
      </c>
      <c r="AN198" s="1150">
        <v>1050</v>
      </c>
      <c r="AO198" s="1150">
        <v>3240</v>
      </c>
      <c r="AP198" s="593">
        <v>0.2036</v>
      </c>
      <c r="AQ198" s="595">
        <f t="shared" si="43"/>
        <v>1331.5440000000001</v>
      </c>
      <c r="AR198" s="578"/>
      <c r="AS198" s="601">
        <f t="shared" si="44"/>
        <v>41822.528624999999</v>
      </c>
      <c r="AT198" s="586"/>
      <c r="AU198" s="512"/>
      <c r="AV198" s="512"/>
      <c r="AW198" s="512">
        <f t="shared" si="38"/>
        <v>41822.528624999999</v>
      </c>
      <c r="AX198" s="602"/>
      <c r="AY198" s="574"/>
      <c r="AZ198" s="438"/>
    </row>
    <row r="199" spans="1:52" s="588" customFormat="1" ht="15" x14ac:dyDescent="0.25">
      <c r="A199" s="587" t="s">
        <v>369</v>
      </c>
      <c r="B199" s="587" t="s">
        <v>370</v>
      </c>
      <c r="C199" s="589" t="s">
        <v>371</v>
      </c>
      <c r="D199" s="578">
        <v>261314</v>
      </c>
      <c r="E199" s="605"/>
      <c r="F199" s="606"/>
      <c r="G199" s="499">
        <v>0</v>
      </c>
      <c r="H199" s="499">
        <v>0</v>
      </c>
      <c r="I199" s="499">
        <v>0</v>
      </c>
      <c r="J199" s="592">
        <f t="shared" si="39"/>
        <v>0</v>
      </c>
      <c r="K199" s="593"/>
      <c r="L199" s="594">
        <f t="shared" si="37"/>
        <v>0</v>
      </c>
      <c r="M199" s="610" t="s">
        <v>240</v>
      </c>
      <c r="N199" s="501">
        <f t="shared" si="40"/>
        <v>3.9013285001896651</v>
      </c>
      <c r="O199" s="595">
        <f t="shared" si="35"/>
        <v>0</v>
      </c>
      <c r="P199" s="583"/>
      <c r="Q199" s="1149">
        <v>0</v>
      </c>
      <c r="R199" s="1149">
        <v>0</v>
      </c>
      <c r="S199" s="1149">
        <v>0</v>
      </c>
      <c r="T199" s="593">
        <v>0.2036</v>
      </c>
      <c r="U199" s="595">
        <f t="shared" si="41"/>
        <v>0</v>
      </c>
      <c r="V199" s="583"/>
      <c r="W199" s="432">
        <v>0</v>
      </c>
      <c r="X199" s="432">
        <v>0</v>
      </c>
      <c r="Y199" s="432">
        <v>0</v>
      </c>
      <c r="Z199" s="593">
        <v>1.7611399999999999</v>
      </c>
      <c r="AA199" s="596">
        <f t="shared" si="42"/>
        <v>0</v>
      </c>
      <c r="AB199" s="578"/>
      <c r="AC199" s="611"/>
      <c r="AD199" s="585"/>
      <c r="AE199" s="611"/>
      <c r="AF199" s="585"/>
      <c r="AG199" s="611"/>
      <c r="AH199" s="578"/>
      <c r="AI199" s="612"/>
      <c r="AJ199" s="613"/>
      <c r="AK199" s="600">
        <f t="shared" si="36"/>
        <v>0</v>
      </c>
      <c r="AL199" s="578"/>
      <c r="AM199" s="1150">
        <v>0</v>
      </c>
      <c r="AN199" s="1150">
        <v>0</v>
      </c>
      <c r="AO199" s="1150">
        <v>0</v>
      </c>
      <c r="AP199" s="593">
        <v>0.2036</v>
      </c>
      <c r="AQ199" s="595">
        <f t="shared" si="43"/>
        <v>0</v>
      </c>
      <c r="AR199" s="578"/>
      <c r="AS199" s="601">
        <f t="shared" si="44"/>
        <v>0</v>
      </c>
      <c r="AT199" s="586"/>
      <c r="AU199" s="512"/>
      <c r="AV199" s="512"/>
      <c r="AW199" s="512">
        <f t="shared" si="38"/>
        <v>0</v>
      </c>
      <c r="AX199" s="602"/>
      <c r="AY199" s="574"/>
      <c r="AZ199" s="438"/>
    </row>
    <row r="200" spans="1:52" s="588" customFormat="1" ht="15" x14ac:dyDescent="0.25">
      <c r="A200" s="587" t="s">
        <v>372</v>
      </c>
      <c r="B200" s="587" t="s">
        <v>373</v>
      </c>
      <c r="C200" s="589">
        <v>206146</v>
      </c>
      <c r="D200" s="578">
        <v>206146</v>
      </c>
      <c r="E200" s="605"/>
      <c r="F200" s="606"/>
      <c r="G200" s="499">
        <v>6552</v>
      </c>
      <c r="H200" s="499">
        <v>4220</v>
      </c>
      <c r="I200" s="499">
        <v>5400</v>
      </c>
      <c r="J200" s="592">
        <f t="shared" si="39"/>
        <v>16172</v>
      </c>
      <c r="K200" s="593"/>
      <c r="L200" s="594">
        <f t="shared" si="37"/>
        <v>16172</v>
      </c>
      <c r="M200" s="610" t="s">
        <v>255</v>
      </c>
      <c r="N200" s="501">
        <f t="shared" si="40"/>
        <v>3.9013285001896651</v>
      </c>
      <c r="O200" s="595">
        <f t="shared" si="35"/>
        <v>63092</v>
      </c>
      <c r="P200" s="583"/>
      <c r="Q200" s="1149">
        <v>1080</v>
      </c>
      <c r="R200" s="1149">
        <v>840</v>
      </c>
      <c r="S200" s="1149">
        <v>3439.6702105263162</v>
      </c>
      <c r="T200" s="593">
        <v>0.2036</v>
      </c>
      <c r="U200" s="595">
        <f t="shared" si="41"/>
        <v>1091.2288548631579</v>
      </c>
      <c r="V200" s="583"/>
      <c r="W200" s="432">
        <v>0</v>
      </c>
      <c r="X200" s="432">
        <v>0</v>
      </c>
      <c r="Y200" s="432">
        <v>180</v>
      </c>
      <c r="Z200" s="593">
        <v>1.7611399999999999</v>
      </c>
      <c r="AA200" s="596">
        <f t="shared" si="42"/>
        <v>317.0052</v>
      </c>
      <c r="AB200" s="578"/>
      <c r="AC200" s="611"/>
      <c r="AD200" s="585"/>
      <c r="AE200" s="611"/>
      <c r="AF200" s="585"/>
      <c r="AG200" s="611"/>
      <c r="AH200" s="578"/>
      <c r="AI200" s="612"/>
      <c r="AJ200" s="613"/>
      <c r="AK200" s="600">
        <f t="shared" si="36"/>
        <v>0</v>
      </c>
      <c r="AL200" s="578"/>
      <c r="AM200" s="1150">
        <v>360</v>
      </c>
      <c r="AN200" s="1150">
        <v>210</v>
      </c>
      <c r="AO200" s="1150">
        <v>180</v>
      </c>
      <c r="AP200" s="593">
        <v>0.2036</v>
      </c>
      <c r="AQ200" s="595">
        <f t="shared" si="43"/>
        <v>152.69999999999999</v>
      </c>
      <c r="AR200" s="578"/>
      <c r="AS200" s="601">
        <f t="shared" si="44"/>
        <v>64652.934054863159</v>
      </c>
      <c r="AT200" s="586"/>
      <c r="AU200" s="512"/>
      <c r="AV200" s="512"/>
      <c r="AW200" s="512">
        <f t="shared" si="38"/>
        <v>64652.934054863159</v>
      </c>
      <c r="AX200" s="602"/>
      <c r="AY200" s="574"/>
      <c r="AZ200" s="438"/>
    </row>
    <row r="201" spans="1:52" s="588" customFormat="1" ht="15" x14ac:dyDescent="0.25">
      <c r="A201" s="619" t="s">
        <v>374</v>
      </c>
      <c r="B201" s="587"/>
      <c r="C201" s="604" t="s">
        <v>375</v>
      </c>
      <c r="D201" s="578">
        <v>370198</v>
      </c>
      <c r="E201" s="605"/>
      <c r="F201" s="606"/>
      <c r="G201" s="499">
        <v>8100</v>
      </c>
      <c r="H201" s="499">
        <v>7980</v>
      </c>
      <c r="I201" s="499">
        <v>8100</v>
      </c>
      <c r="J201" s="592">
        <f t="shared" si="39"/>
        <v>24180</v>
      </c>
      <c r="K201" s="593"/>
      <c r="L201" s="594">
        <f t="shared" si="37"/>
        <v>24180</v>
      </c>
      <c r="M201" s="610" t="s">
        <v>240</v>
      </c>
      <c r="N201" s="501">
        <f t="shared" si="40"/>
        <v>3.9013285001896651</v>
      </c>
      <c r="O201" s="595">
        <f t="shared" si="35"/>
        <v>94334</v>
      </c>
      <c r="P201" s="583"/>
      <c r="Q201" s="1149">
        <v>21700.64829821718</v>
      </c>
      <c r="R201" s="1149">
        <v>20580</v>
      </c>
      <c r="S201" s="1149">
        <v>12265.255263157895</v>
      </c>
      <c r="T201" s="593">
        <v>0.2036</v>
      </c>
      <c r="U201" s="595">
        <f t="shared" si="41"/>
        <v>11105.545965095966</v>
      </c>
      <c r="V201" s="583"/>
      <c r="W201" s="432">
        <v>196.92058346839548</v>
      </c>
      <c r="X201" s="432">
        <v>0</v>
      </c>
      <c r="Y201" s="432">
        <v>0</v>
      </c>
      <c r="Z201" s="593">
        <v>1.7611399999999999</v>
      </c>
      <c r="AA201" s="596">
        <f t="shared" si="42"/>
        <v>346.80471636953001</v>
      </c>
      <c r="AB201" s="578"/>
      <c r="AC201" s="611"/>
      <c r="AD201" s="585"/>
      <c r="AE201" s="611"/>
      <c r="AF201" s="585"/>
      <c r="AG201" s="611"/>
      <c r="AH201" s="578"/>
      <c r="AI201" s="612"/>
      <c r="AJ201" s="613"/>
      <c r="AK201" s="600">
        <f t="shared" si="36"/>
        <v>0</v>
      </c>
      <c r="AL201" s="578"/>
      <c r="AM201" s="1150">
        <v>3570.8265802269043</v>
      </c>
      <c r="AN201" s="1150">
        <v>6720</v>
      </c>
      <c r="AO201" s="1150">
        <v>7766.6666666666661</v>
      </c>
      <c r="AP201" s="593">
        <v>0.2036</v>
      </c>
      <c r="AQ201" s="595">
        <f t="shared" si="43"/>
        <v>3676.5056250675316</v>
      </c>
      <c r="AR201" s="578"/>
      <c r="AS201" s="601">
        <f t="shared" si="44"/>
        <v>109462.85630653302</v>
      </c>
      <c r="AT201" s="586"/>
      <c r="AU201" s="512"/>
      <c r="AV201" s="512"/>
      <c r="AW201" s="512">
        <f t="shared" si="38"/>
        <v>109462.85630653302</v>
      </c>
      <c r="AX201" s="602"/>
      <c r="AY201" s="574"/>
      <c r="AZ201" s="438"/>
    </row>
    <row r="202" spans="1:52" s="588" customFormat="1" ht="15" x14ac:dyDescent="0.25">
      <c r="A202" s="587" t="s">
        <v>813</v>
      </c>
      <c r="B202" s="587" t="s">
        <v>376</v>
      </c>
      <c r="C202" s="640" t="s">
        <v>814</v>
      </c>
      <c r="D202" s="578">
        <v>461565</v>
      </c>
      <c r="E202" s="605"/>
      <c r="F202" s="606"/>
      <c r="G202" s="499">
        <v>0</v>
      </c>
      <c r="H202" s="499">
        <v>0</v>
      </c>
      <c r="I202" s="499">
        <v>0</v>
      </c>
      <c r="J202" s="592">
        <f t="shared" si="39"/>
        <v>0</v>
      </c>
      <c r="K202" s="593"/>
      <c r="L202" s="594">
        <f t="shared" si="37"/>
        <v>0</v>
      </c>
      <c r="M202" s="610" t="s">
        <v>240</v>
      </c>
      <c r="N202" s="501">
        <f t="shared" si="40"/>
        <v>3.9013285001896651</v>
      </c>
      <c r="O202" s="595">
        <f t="shared" si="35"/>
        <v>0</v>
      </c>
      <c r="P202" s="583"/>
      <c r="Q202" s="1149">
        <v>0</v>
      </c>
      <c r="R202" s="1149">
        <v>0</v>
      </c>
      <c r="S202" s="1149">
        <v>0</v>
      </c>
      <c r="T202" s="593">
        <v>0.2036</v>
      </c>
      <c r="U202" s="595">
        <f t="shared" si="41"/>
        <v>0</v>
      </c>
      <c r="V202" s="583"/>
      <c r="W202" s="432">
        <v>0</v>
      </c>
      <c r="X202" s="432">
        <v>0</v>
      </c>
      <c r="Y202" s="432">
        <v>0</v>
      </c>
      <c r="Z202" s="593">
        <v>1.7611399999999999</v>
      </c>
      <c r="AA202" s="596">
        <f t="shared" si="42"/>
        <v>0</v>
      </c>
      <c r="AB202" s="578"/>
      <c r="AC202" s="611"/>
      <c r="AD202" s="585"/>
      <c r="AE202" s="611"/>
      <c r="AF202" s="585"/>
      <c r="AG202" s="611"/>
      <c r="AH202" s="578"/>
      <c r="AI202" s="612"/>
      <c r="AJ202" s="613"/>
      <c r="AK202" s="600">
        <f t="shared" si="36"/>
        <v>0</v>
      </c>
      <c r="AL202" s="578"/>
      <c r="AM202" s="1150">
        <v>0</v>
      </c>
      <c r="AN202" s="1150">
        <v>0</v>
      </c>
      <c r="AO202" s="1150">
        <v>0</v>
      </c>
      <c r="AP202" s="593">
        <v>0.2036</v>
      </c>
      <c r="AQ202" s="595">
        <f t="shared" si="43"/>
        <v>0</v>
      </c>
      <c r="AR202" s="578"/>
      <c r="AS202" s="601">
        <f t="shared" si="44"/>
        <v>0</v>
      </c>
      <c r="AT202" s="586"/>
      <c r="AU202" s="512"/>
      <c r="AV202" s="512"/>
      <c r="AW202" s="512">
        <f t="shared" si="38"/>
        <v>0</v>
      </c>
      <c r="AX202" s="602"/>
      <c r="AZ202" s="438"/>
    </row>
    <row r="203" spans="1:52" s="588" customFormat="1" ht="15" x14ac:dyDescent="0.25">
      <c r="A203" s="587" t="s">
        <v>815</v>
      </c>
      <c r="B203" s="587" t="s">
        <v>376</v>
      </c>
      <c r="C203" s="640" t="s">
        <v>816</v>
      </c>
      <c r="D203" s="578">
        <v>461568</v>
      </c>
      <c r="E203" s="605"/>
      <c r="F203" s="606"/>
      <c r="G203" s="499">
        <v>0</v>
      </c>
      <c r="H203" s="499">
        <v>0</v>
      </c>
      <c r="I203" s="499">
        <v>0</v>
      </c>
      <c r="J203" s="592">
        <f t="shared" si="39"/>
        <v>0</v>
      </c>
      <c r="K203" s="593"/>
      <c r="L203" s="594">
        <f t="shared" si="37"/>
        <v>0</v>
      </c>
      <c r="M203" s="610" t="s">
        <v>240</v>
      </c>
      <c r="N203" s="501">
        <f t="shared" si="40"/>
        <v>3.9013285001896651</v>
      </c>
      <c r="O203" s="595">
        <f t="shared" si="35"/>
        <v>0</v>
      </c>
      <c r="P203" s="583"/>
      <c r="Q203" s="1149">
        <v>0</v>
      </c>
      <c r="R203" s="1149">
        <v>0</v>
      </c>
      <c r="S203" s="1149">
        <v>0</v>
      </c>
      <c r="T203" s="593">
        <v>0.2036</v>
      </c>
      <c r="U203" s="595">
        <f t="shared" si="41"/>
        <v>0</v>
      </c>
      <c r="V203" s="583"/>
      <c r="W203" s="432">
        <v>0</v>
      </c>
      <c r="X203" s="432">
        <v>0</v>
      </c>
      <c r="Y203" s="432">
        <v>0</v>
      </c>
      <c r="Z203" s="593">
        <v>1.7611399999999999</v>
      </c>
      <c r="AA203" s="596">
        <f t="shared" si="42"/>
        <v>0</v>
      </c>
      <c r="AB203" s="578"/>
      <c r="AC203" s="611"/>
      <c r="AD203" s="585"/>
      <c r="AE203" s="611"/>
      <c r="AF203" s="585"/>
      <c r="AG203" s="611"/>
      <c r="AH203" s="578"/>
      <c r="AI203" s="612"/>
      <c r="AJ203" s="613"/>
      <c r="AK203" s="600">
        <f t="shared" si="36"/>
        <v>0</v>
      </c>
      <c r="AL203" s="578"/>
      <c r="AM203" s="1150">
        <v>0</v>
      </c>
      <c r="AN203" s="1150">
        <v>0</v>
      </c>
      <c r="AO203" s="1150">
        <v>0</v>
      </c>
      <c r="AP203" s="593">
        <v>0.2036</v>
      </c>
      <c r="AQ203" s="595">
        <f t="shared" si="43"/>
        <v>0</v>
      </c>
      <c r="AR203" s="578"/>
      <c r="AS203" s="601">
        <f t="shared" si="44"/>
        <v>0</v>
      </c>
      <c r="AT203" s="586"/>
      <c r="AU203" s="512"/>
      <c r="AV203" s="512"/>
      <c r="AW203" s="512">
        <f t="shared" si="38"/>
        <v>0</v>
      </c>
      <c r="AX203" s="602"/>
      <c r="AY203" s="574"/>
      <c r="AZ203" s="438"/>
    </row>
    <row r="204" spans="1:52" s="588" customFormat="1" ht="15" x14ac:dyDescent="0.25">
      <c r="A204" s="654" t="s">
        <v>377</v>
      </c>
      <c r="B204" s="587" t="s">
        <v>376</v>
      </c>
      <c r="C204" s="589" t="s">
        <v>378</v>
      </c>
      <c r="D204" s="578">
        <v>283730</v>
      </c>
      <c r="E204" s="605"/>
      <c r="F204" s="606"/>
      <c r="G204" s="499">
        <v>0</v>
      </c>
      <c r="H204" s="499">
        <v>0</v>
      </c>
      <c r="I204" s="499">
        <v>0</v>
      </c>
      <c r="J204" s="592">
        <f t="shared" si="39"/>
        <v>0</v>
      </c>
      <c r="K204" s="593"/>
      <c r="L204" s="594">
        <f t="shared" si="37"/>
        <v>0</v>
      </c>
      <c r="M204" s="610" t="s">
        <v>240</v>
      </c>
      <c r="N204" s="501">
        <f t="shared" si="40"/>
        <v>3.9013285001896651</v>
      </c>
      <c r="O204" s="595">
        <f t="shared" si="35"/>
        <v>0</v>
      </c>
      <c r="P204" s="583"/>
      <c r="Q204" s="1149">
        <v>0</v>
      </c>
      <c r="R204" s="1149">
        <v>0</v>
      </c>
      <c r="S204" s="1149">
        <v>0</v>
      </c>
      <c r="T204" s="593">
        <v>0.2036</v>
      </c>
      <c r="U204" s="595">
        <f t="shared" si="41"/>
        <v>0</v>
      </c>
      <c r="V204" s="583"/>
      <c r="W204" s="432">
        <v>0</v>
      </c>
      <c r="X204" s="432">
        <v>0</v>
      </c>
      <c r="Y204" s="432">
        <v>0</v>
      </c>
      <c r="Z204" s="593">
        <v>1.7611399999999999</v>
      </c>
      <c r="AA204" s="596">
        <f t="shared" si="42"/>
        <v>0</v>
      </c>
      <c r="AB204" s="578"/>
      <c r="AC204" s="611"/>
      <c r="AD204" s="585"/>
      <c r="AE204" s="611"/>
      <c r="AF204" s="585"/>
      <c r="AG204" s="611"/>
      <c r="AH204" s="578"/>
      <c r="AI204" s="612"/>
      <c r="AJ204" s="613"/>
      <c r="AK204" s="600">
        <f t="shared" si="36"/>
        <v>0</v>
      </c>
      <c r="AL204" s="578"/>
      <c r="AM204" s="1150">
        <v>0</v>
      </c>
      <c r="AN204" s="1150">
        <v>0</v>
      </c>
      <c r="AO204" s="1150">
        <v>0</v>
      </c>
      <c r="AP204" s="593">
        <v>0.2036</v>
      </c>
      <c r="AQ204" s="595">
        <f t="shared" si="43"/>
        <v>0</v>
      </c>
      <c r="AR204" s="578"/>
      <c r="AS204" s="601">
        <f t="shared" si="44"/>
        <v>0</v>
      </c>
      <c r="AT204" s="586"/>
      <c r="AU204" s="512"/>
      <c r="AV204" s="512"/>
      <c r="AW204" s="512">
        <f t="shared" si="38"/>
        <v>0</v>
      </c>
      <c r="AX204" s="602"/>
      <c r="AY204" s="574"/>
      <c r="AZ204" s="438"/>
    </row>
    <row r="205" spans="1:52" s="588" customFormat="1" ht="15" x14ac:dyDescent="0.25">
      <c r="A205" s="646" t="s">
        <v>377</v>
      </c>
      <c r="B205" s="437"/>
      <c r="C205" s="655" t="s">
        <v>817</v>
      </c>
      <c r="D205" s="578">
        <v>472250</v>
      </c>
      <c r="E205" s="605"/>
      <c r="F205" s="606"/>
      <c r="G205" s="499">
        <v>0</v>
      </c>
      <c r="H205" s="499">
        <v>0</v>
      </c>
      <c r="I205" s="499">
        <v>0</v>
      </c>
      <c r="J205" s="592">
        <f t="shared" si="39"/>
        <v>0</v>
      </c>
      <c r="K205" s="593"/>
      <c r="L205" s="594">
        <f t="shared" si="37"/>
        <v>0</v>
      </c>
      <c r="M205" s="610" t="s">
        <v>240</v>
      </c>
      <c r="N205" s="501">
        <f t="shared" si="40"/>
        <v>3.9013285001896651</v>
      </c>
      <c r="O205" s="595">
        <f t="shared" si="35"/>
        <v>0</v>
      </c>
      <c r="P205" s="583"/>
      <c r="Q205" s="1149">
        <v>0</v>
      </c>
      <c r="R205" s="1149">
        <v>0</v>
      </c>
      <c r="S205" s="1149">
        <v>0</v>
      </c>
      <c r="T205" s="593">
        <v>0.2036</v>
      </c>
      <c r="U205" s="595">
        <f t="shared" si="41"/>
        <v>0</v>
      </c>
      <c r="V205" s="583"/>
      <c r="W205" s="432">
        <v>0</v>
      </c>
      <c r="X205" s="432">
        <v>0</v>
      </c>
      <c r="Y205" s="432">
        <v>0</v>
      </c>
      <c r="Z205" s="593">
        <v>1.7611399999999999</v>
      </c>
      <c r="AA205" s="596">
        <f t="shared" si="42"/>
        <v>0</v>
      </c>
      <c r="AB205" s="578"/>
      <c r="AC205" s="611"/>
      <c r="AD205" s="585"/>
      <c r="AE205" s="611"/>
      <c r="AF205" s="585"/>
      <c r="AG205" s="611"/>
      <c r="AH205" s="578"/>
      <c r="AI205" s="612"/>
      <c r="AJ205" s="613"/>
      <c r="AK205" s="600">
        <f t="shared" si="36"/>
        <v>0</v>
      </c>
      <c r="AL205" s="578"/>
      <c r="AM205" s="1150">
        <v>0</v>
      </c>
      <c r="AN205" s="1150">
        <v>0</v>
      </c>
      <c r="AO205" s="1150">
        <v>0</v>
      </c>
      <c r="AP205" s="593">
        <v>0.2036</v>
      </c>
      <c r="AQ205" s="595">
        <f t="shared" si="43"/>
        <v>0</v>
      </c>
      <c r="AR205" s="578"/>
      <c r="AS205" s="601">
        <f t="shared" si="44"/>
        <v>0</v>
      </c>
      <c r="AT205" s="586"/>
      <c r="AU205" s="512"/>
      <c r="AV205" s="512"/>
      <c r="AW205" s="512">
        <f t="shared" si="38"/>
        <v>0</v>
      </c>
      <c r="AX205" s="602"/>
      <c r="AY205" s="574"/>
      <c r="AZ205" s="438"/>
    </row>
    <row r="206" spans="1:52" s="588" customFormat="1" ht="15" x14ac:dyDescent="0.25">
      <c r="A206" s="587" t="s">
        <v>379</v>
      </c>
      <c r="B206" s="587" t="s">
        <v>380</v>
      </c>
      <c r="C206" s="589" t="s">
        <v>381</v>
      </c>
      <c r="D206" s="578">
        <v>283239</v>
      </c>
      <c r="E206" s="605"/>
      <c r="F206" s="606"/>
      <c r="G206" s="499">
        <v>5112</v>
      </c>
      <c r="H206" s="499">
        <v>7602</v>
      </c>
      <c r="I206" s="499">
        <v>7560</v>
      </c>
      <c r="J206" s="592">
        <f t="shared" si="39"/>
        <v>20274</v>
      </c>
      <c r="K206" s="593"/>
      <c r="L206" s="594">
        <f t="shared" si="37"/>
        <v>20274</v>
      </c>
      <c r="M206" s="610" t="s">
        <v>240</v>
      </c>
      <c r="N206" s="501">
        <f t="shared" si="40"/>
        <v>3.9013285001896651</v>
      </c>
      <c r="O206" s="595">
        <f t="shared" si="35"/>
        <v>79096</v>
      </c>
      <c r="P206" s="583"/>
      <c r="Q206" s="1149">
        <v>5489.1147540983602</v>
      </c>
      <c r="R206" s="1149">
        <v>8272.7647058823532</v>
      </c>
      <c r="S206" s="1149">
        <v>4470.9377928692702</v>
      </c>
      <c r="T206" s="593">
        <v>0.2036</v>
      </c>
      <c r="U206" s="595">
        <f t="shared" si="41"/>
        <v>3712.2015926802569</v>
      </c>
      <c r="V206" s="583"/>
      <c r="W206" s="432">
        <v>0</v>
      </c>
      <c r="X206" s="432">
        <v>0</v>
      </c>
      <c r="Y206" s="432">
        <v>243.87096774193549</v>
      </c>
      <c r="Z206" s="593">
        <v>1.7611399999999999</v>
      </c>
      <c r="AA206" s="596">
        <f t="shared" si="42"/>
        <v>429.49091612903226</v>
      </c>
      <c r="AB206" s="578"/>
      <c r="AC206" s="611"/>
      <c r="AD206" s="585"/>
      <c r="AE206" s="611"/>
      <c r="AF206" s="585"/>
      <c r="AG206" s="611"/>
      <c r="AH206" s="578"/>
      <c r="AI206" s="612"/>
      <c r="AJ206" s="613"/>
      <c r="AK206" s="600">
        <f t="shared" si="36"/>
        <v>0</v>
      </c>
      <c r="AL206" s="578"/>
      <c r="AM206" s="1150">
        <v>209.50819672131146</v>
      </c>
      <c r="AN206" s="1150">
        <v>558.97058823529414</v>
      </c>
      <c r="AO206" s="1150">
        <v>487.74193548387098</v>
      </c>
      <c r="AP206" s="593">
        <v>0.2036</v>
      </c>
      <c r="AQ206" s="595">
        <f t="shared" si="43"/>
        <v>255.76653868168106</v>
      </c>
      <c r="AR206" s="578"/>
      <c r="AS206" s="601">
        <f t="shared" si="44"/>
        <v>83493.459047490964</v>
      </c>
      <c r="AT206" s="586"/>
      <c r="AU206" s="512"/>
      <c r="AV206" s="512"/>
      <c r="AW206" s="512">
        <f t="shared" si="38"/>
        <v>83493.459047490964</v>
      </c>
      <c r="AX206" s="602"/>
      <c r="AY206" s="574"/>
      <c r="AZ206" s="438"/>
    </row>
    <row r="207" spans="1:52" s="588" customFormat="1" ht="15" x14ac:dyDescent="0.25">
      <c r="A207" s="619" t="s">
        <v>382</v>
      </c>
      <c r="B207" s="587"/>
      <c r="C207" s="604" t="s">
        <v>383</v>
      </c>
      <c r="D207" s="578">
        <v>440893</v>
      </c>
      <c r="E207" s="605"/>
      <c r="F207" s="606"/>
      <c r="G207" s="499">
        <v>7200</v>
      </c>
      <c r="H207" s="499">
        <v>6300</v>
      </c>
      <c r="I207" s="499">
        <v>8100</v>
      </c>
      <c r="J207" s="592">
        <f t="shared" si="39"/>
        <v>21600</v>
      </c>
      <c r="K207" s="593"/>
      <c r="L207" s="594">
        <f t="shared" si="37"/>
        <v>21600</v>
      </c>
      <c r="M207" s="610" t="s">
        <v>240</v>
      </c>
      <c r="N207" s="501">
        <f t="shared" si="40"/>
        <v>3.9013285001896651</v>
      </c>
      <c r="O207" s="595">
        <f t="shared" si="35"/>
        <v>84269</v>
      </c>
      <c r="P207" s="583"/>
      <c r="Q207" s="1149">
        <v>19689.795918367345</v>
      </c>
      <c r="R207" s="1149">
        <v>15463.636363636364</v>
      </c>
      <c r="S207" s="1149">
        <v>23963.029665071768</v>
      </c>
      <c r="T207" s="593">
        <v>0.2036</v>
      </c>
      <c r="U207" s="595">
        <f t="shared" si="41"/>
        <v>12036.111652424566</v>
      </c>
      <c r="V207" s="583"/>
      <c r="W207" s="432">
        <v>0</v>
      </c>
      <c r="X207" s="432">
        <v>572.72727272727275</v>
      </c>
      <c r="Y207" s="432">
        <v>736.36363636363637</v>
      </c>
      <c r="Z207" s="593">
        <v>1.7611399999999999</v>
      </c>
      <c r="AA207" s="596">
        <f t="shared" si="42"/>
        <v>2305.4923636363633</v>
      </c>
      <c r="AB207" s="578"/>
      <c r="AC207" s="611"/>
      <c r="AD207" s="585"/>
      <c r="AE207" s="611"/>
      <c r="AF207" s="585"/>
      <c r="AG207" s="611"/>
      <c r="AH207" s="578"/>
      <c r="AI207" s="612"/>
      <c r="AJ207" s="613"/>
      <c r="AK207" s="600">
        <f t="shared" si="36"/>
        <v>0</v>
      </c>
      <c r="AL207" s="578"/>
      <c r="AM207" s="1150">
        <v>2351.0204081632651</v>
      </c>
      <c r="AN207" s="1150">
        <v>572.72727272727275</v>
      </c>
      <c r="AO207" s="1150">
        <v>2847.272727272727</v>
      </c>
      <c r="AP207" s="593">
        <v>0.2036</v>
      </c>
      <c r="AQ207" s="595">
        <f t="shared" si="43"/>
        <v>1174.9797551020406</v>
      </c>
      <c r="AR207" s="578"/>
      <c r="AS207" s="601">
        <f t="shared" si="44"/>
        <v>99785.583771162972</v>
      </c>
      <c r="AT207" s="586"/>
      <c r="AU207" s="512"/>
      <c r="AV207" s="512"/>
      <c r="AW207" s="512">
        <f t="shared" si="38"/>
        <v>99785.583771162972</v>
      </c>
      <c r="AX207" s="602"/>
      <c r="AY207" s="574"/>
      <c r="AZ207" s="438"/>
    </row>
    <row r="208" spans="1:52" s="588" customFormat="1" ht="15" x14ac:dyDescent="0.25">
      <c r="A208" s="587" t="s">
        <v>384</v>
      </c>
      <c r="B208" s="587" t="s">
        <v>385</v>
      </c>
      <c r="C208" s="589">
        <v>113044</v>
      </c>
      <c r="D208" s="578">
        <v>113044</v>
      </c>
      <c r="E208" s="605"/>
      <c r="F208" s="606"/>
      <c r="G208" s="499">
        <v>1188</v>
      </c>
      <c r="H208" s="499">
        <v>1260</v>
      </c>
      <c r="I208" s="499">
        <v>1620</v>
      </c>
      <c r="J208" s="592">
        <f t="shared" si="39"/>
        <v>4068</v>
      </c>
      <c r="K208" s="593"/>
      <c r="L208" s="594">
        <f t="shared" si="37"/>
        <v>4068</v>
      </c>
      <c r="M208" s="610" t="s">
        <v>255</v>
      </c>
      <c r="N208" s="501">
        <f t="shared" si="40"/>
        <v>3.9013285001896651</v>
      </c>
      <c r="O208" s="595">
        <f t="shared" si="35"/>
        <v>15871</v>
      </c>
      <c r="P208" s="583"/>
      <c r="Q208" s="1149">
        <v>1980</v>
      </c>
      <c r="R208" s="1149">
        <v>1470</v>
      </c>
      <c r="S208" s="1149">
        <v>1558.8852631578945</v>
      </c>
      <c r="T208" s="593">
        <v>0.2036</v>
      </c>
      <c r="U208" s="595">
        <f t="shared" si="41"/>
        <v>1019.8090395789474</v>
      </c>
      <c r="V208" s="583"/>
      <c r="W208" s="432">
        <v>468</v>
      </c>
      <c r="X208" s="432">
        <v>420</v>
      </c>
      <c r="Y208" s="432">
        <v>0</v>
      </c>
      <c r="Z208" s="593">
        <v>1.7611399999999999</v>
      </c>
      <c r="AA208" s="596">
        <f t="shared" si="42"/>
        <v>1563.8923199999999</v>
      </c>
      <c r="AB208" s="578"/>
      <c r="AC208" s="611"/>
      <c r="AD208" s="585"/>
      <c r="AE208" s="611"/>
      <c r="AF208" s="585"/>
      <c r="AG208" s="611"/>
      <c r="AH208" s="578"/>
      <c r="AI208" s="612"/>
      <c r="AJ208" s="613"/>
      <c r="AK208" s="600">
        <f t="shared" si="36"/>
        <v>0</v>
      </c>
      <c r="AL208" s="578"/>
      <c r="AM208" s="1150">
        <v>360</v>
      </c>
      <c r="AN208" s="1150">
        <v>210</v>
      </c>
      <c r="AO208" s="1150">
        <v>1080</v>
      </c>
      <c r="AP208" s="593">
        <v>0.2036</v>
      </c>
      <c r="AQ208" s="595">
        <f t="shared" si="43"/>
        <v>335.94</v>
      </c>
      <c r="AR208" s="578"/>
      <c r="AS208" s="601">
        <f t="shared" si="44"/>
        <v>18790.641359578949</v>
      </c>
      <c r="AT208" s="586"/>
      <c r="AU208" s="512"/>
      <c r="AV208" s="512"/>
      <c r="AW208" s="512">
        <f t="shared" si="38"/>
        <v>18790.641359578949</v>
      </c>
      <c r="AX208" s="602"/>
      <c r="AY208" s="574"/>
      <c r="AZ208" s="438"/>
    </row>
    <row r="209" spans="1:53" s="588" customFormat="1" ht="15" x14ac:dyDescent="0.25">
      <c r="A209" s="619" t="s">
        <v>386</v>
      </c>
      <c r="B209" s="661" t="s">
        <v>387</v>
      </c>
      <c r="C209" s="604" t="s">
        <v>388</v>
      </c>
      <c r="D209" s="578">
        <v>370254</v>
      </c>
      <c r="E209" s="605"/>
      <c r="F209" s="606"/>
      <c r="G209" s="499">
        <v>8640</v>
      </c>
      <c r="H209" s="499">
        <v>6300</v>
      </c>
      <c r="I209" s="499">
        <v>6660</v>
      </c>
      <c r="J209" s="592">
        <f t="shared" si="39"/>
        <v>21600</v>
      </c>
      <c r="K209" s="593"/>
      <c r="L209" s="594">
        <f t="shared" si="37"/>
        <v>21600</v>
      </c>
      <c r="M209" s="610" t="s">
        <v>240</v>
      </c>
      <c r="N209" s="501">
        <f t="shared" si="40"/>
        <v>3.9013285001896651</v>
      </c>
      <c r="O209" s="595">
        <f t="shared" si="35"/>
        <v>84269</v>
      </c>
      <c r="P209" s="583"/>
      <c r="Q209" s="1149">
        <v>8640</v>
      </c>
      <c r="R209" s="1149">
        <v>6090</v>
      </c>
      <c r="S209" s="1149">
        <v>4499.101059169664</v>
      </c>
      <c r="T209" s="593">
        <v>0.2036</v>
      </c>
      <c r="U209" s="595">
        <f t="shared" si="41"/>
        <v>3915.0449756469438</v>
      </c>
      <c r="V209" s="583"/>
      <c r="W209" s="432">
        <v>0</v>
      </c>
      <c r="X209" s="432">
        <v>420</v>
      </c>
      <c r="Y209" s="432">
        <v>155.12422360248448</v>
      </c>
      <c r="Z209" s="593">
        <v>1.7611399999999999</v>
      </c>
      <c r="AA209" s="596">
        <f t="shared" si="42"/>
        <v>1012.8742751552794</v>
      </c>
      <c r="AB209" s="578"/>
      <c r="AC209" s="611"/>
      <c r="AD209" s="585"/>
      <c r="AE209" s="611"/>
      <c r="AF209" s="585"/>
      <c r="AG209" s="611"/>
      <c r="AH209" s="578"/>
      <c r="AI209" s="612"/>
      <c r="AJ209" s="613"/>
      <c r="AK209" s="600">
        <f t="shared" si="36"/>
        <v>0</v>
      </c>
      <c r="AL209" s="578"/>
      <c r="AM209" s="1150">
        <v>176.32653061224488</v>
      </c>
      <c r="AN209" s="1150">
        <v>0</v>
      </c>
      <c r="AO209" s="1150">
        <v>0</v>
      </c>
      <c r="AP209" s="593">
        <v>0.2036</v>
      </c>
      <c r="AQ209" s="595">
        <f t="shared" si="43"/>
        <v>35.900081632653055</v>
      </c>
      <c r="AR209" s="578"/>
      <c r="AS209" s="601">
        <f t="shared" si="44"/>
        <v>89232.819332434883</v>
      </c>
      <c r="AT209" s="586"/>
      <c r="AU209" s="512"/>
      <c r="AV209" s="512"/>
      <c r="AW209" s="512">
        <f t="shared" si="38"/>
        <v>89232.819332434883</v>
      </c>
      <c r="AX209" s="602"/>
      <c r="AY209" s="574"/>
      <c r="AZ209" s="438"/>
    </row>
    <row r="210" spans="1:53" s="588" customFormat="1" ht="15" x14ac:dyDescent="0.25">
      <c r="A210" s="619" t="s">
        <v>818</v>
      </c>
      <c r="B210" s="661"/>
      <c r="C210" s="604" t="s">
        <v>819</v>
      </c>
      <c r="D210" s="578">
        <v>481412</v>
      </c>
      <c r="E210" s="605"/>
      <c r="F210" s="606"/>
      <c r="G210" s="499">
        <v>3622.1538461538466</v>
      </c>
      <c r="H210" s="499">
        <v>3150</v>
      </c>
      <c r="I210" s="499">
        <v>3960</v>
      </c>
      <c r="J210" s="592">
        <f t="shared" si="39"/>
        <v>10732.153846153848</v>
      </c>
      <c r="K210" s="593"/>
      <c r="L210" s="594">
        <f t="shared" si="37"/>
        <v>10732.153846153848</v>
      </c>
      <c r="M210" s="652" t="s">
        <v>255</v>
      </c>
      <c r="N210" s="501">
        <f t="shared" si="40"/>
        <v>3.9013285001896651</v>
      </c>
      <c r="O210" s="595">
        <f t="shared" si="35"/>
        <v>41870</v>
      </c>
      <c r="P210" s="583"/>
      <c r="Q210" s="1149">
        <v>0</v>
      </c>
      <c r="R210" s="1149">
        <v>0</v>
      </c>
      <c r="S210" s="1149">
        <v>0</v>
      </c>
      <c r="T210" s="593">
        <v>0.2036</v>
      </c>
      <c r="U210" s="595">
        <f t="shared" si="41"/>
        <v>0</v>
      </c>
      <c r="V210" s="583"/>
      <c r="W210" s="432">
        <v>0</v>
      </c>
      <c r="X210" s="432">
        <v>0</v>
      </c>
      <c r="Y210" s="432">
        <v>0</v>
      </c>
      <c r="Z210" s="593">
        <v>1.7611399999999999</v>
      </c>
      <c r="AA210" s="596">
        <f t="shared" si="42"/>
        <v>0</v>
      </c>
      <c r="AB210" s="578"/>
      <c r="AC210" s="611"/>
      <c r="AD210" s="585"/>
      <c r="AE210" s="611"/>
      <c r="AF210" s="585"/>
      <c r="AG210" s="611"/>
      <c r="AH210" s="578"/>
      <c r="AI210" s="612"/>
      <c r="AJ210" s="613"/>
      <c r="AK210" s="600">
        <f t="shared" si="36"/>
        <v>0</v>
      </c>
      <c r="AL210" s="578"/>
      <c r="AM210" s="1150">
        <v>0</v>
      </c>
      <c r="AN210" s="1150">
        <v>0</v>
      </c>
      <c r="AO210" s="1150">
        <v>0</v>
      </c>
      <c r="AP210" s="593">
        <v>0.2036</v>
      </c>
      <c r="AQ210" s="595">
        <f t="shared" si="43"/>
        <v>0</v>
      </c>
      <c r="AR210" s="578"/>
      <c r="AS210" s="601">
        <f t="shared" si="44"/>
        <v>41870</v>
      </c>
      <c r="AT210" s="586"/>
      <c r="AU210" s="512"/>
      <c r="AV210" s="512"/>
      <c r="AW210" s="512">
        <f t="shared" si="38"/>
        <v>41870</v>
      </c>
      <c r="AX210" s="602"/>
      <c r="AY210" s="574"/>
      <c r="AZ210" s="438"/>
    </row>
    <row r="211" spans="1:53" s="588" customFormat="1" ht="15" x14ac:dyDescent="0.25">
      <c r="A211" s="619" t="s">
        <v>820</v>
      </c>
      <c r="B211" s="661"/>
      <c r="C211" s="604" t="s">
        <v>821</v>
      </c>
      <c r="D211" s="578">
        <v>466991</v>
      </c>
      <c r="E211" s="605"/>
      <c r="F211" s="606"/>
      <c r="G211" s="499">
        <v>1440</v>
      </c>
      <c r="H211" s="499">
        <v>2100</v>
      </c>
      <c r="I211" s="499">
        <v>1800</v>
      </c>
      <c r="J211" s="592">
        <f t="shared" si="39"/>
        <v>5340</v>
      </c>
      <c r="K211" s="593"/>
      <c r="L211" s="594">
        <f t="shared" si="37"/>
        <v>5340</v>
      </c>
      <c r="M211" s="652" t="s">
        <v>255</v>
      </c>
      <c r="N211" s="501">
        <f t="shared" si="40"/>
        <v>3.9013285001896651</v>
      </c>
      <c r="O211" s="595">
        <f t="shared" si="35"/>
        <v>20833</v>
      </c>
      <c r="P211" s="583"/>
      <c r="Q211" s="1149">
        <v>1620</v>
      </c>
      <c r="R211" s="1149">
        <v>1750</v>
      </c>
      <c r="S211" s="1149">
        <v>0</v>
      </c>
      <c r="T211" s="593">
        <v>0.2036</v>
      </c>
      <c r="U211" s="595">
        <f t="shared" si="41"/>
        <v>686.13200000000006</v>
      </c>
      <c r="V211" s="583"/>
      <c r="W211" s="432">
        <v>0</v>
      </c>
      <c r="X211" s="432">
        <v>0</v>
      </c>
      <c r="Y211" s="432">
        <v>360</v>
      </c>
      <c r="Z211" s="593">
        <v>1.7611399999999999</v>
      </c>
      <c r="AA211" s="596">
        <f t="shared" si="42"/>
        <v>634.0104</v>
      </c>
      <c r="AB211" s="578"/>
      <c r="AC211" s="611"/>
      <c r="AD211" s="585"/>
      <c r="AE211" s="611"/>
      <c r="AF211" s="585"/>
      <c r="AG211" s="611"/>
      <c r="AH211" s="578"/>
      <c r="AI211" s="612"/>
      <c r="AJ211" s="613"/>
      <c r="AK211" s="600">
        <f t="shared" si="36"/>
        <v>0</v>
      </c>
      <c r="AL211" s="578"/>
      <c r="AM211" s="1150">
        <v>0</v>
      </c>
      <c r="AN211" s="1150">
        <v>0</v>
      </c>
      <c r="AO211" s="1150">
        <v>0</v>
      </c>
      <c r="AP211" s="593">
        <v>0.2036</v>
      </c>
      <c r="AQ211" s="595">
        <f t="shared" si="43"/>
        <v>0</v>
      </c>
      <c r="AR211" s="578"/>
      <c r="AS211" s="601">
        <f t="shared" si="44"/>
        <v>22153.142400000001</v>
      </c>
      <c r="AT211" s="586"/>
      <c r="AU211" s="512"/>
      <c r="AV211" s="512"/>
      <c r="AW211" s="512">
        <f t="shared" si="38"/>
        <v>22153.142400000001</v>
      </c>
      <c r="AX211" s="602"/>
      <c r="AY211" s="574"/>
      <c r="AZ211" s="438"/>
    </row>
    <row r="212" spans="1:53" s="588" customFormat="1" ht="15" x14ac:dyDescent="0.25">
      <c r="A212" s="619" t="s">
        <v>389</v>
      </c>
      <c r="B212" s="661" t="s">
        <v>390</v>
      </c>
      <c r="C212" s="604" t="s">
        <v>391</v>
      </c>
      <c r="D212" s="578">
        <v>347673</v>
      </c>
      <c r="E212" s="605"/>
      <c r="F212" s="606"/>
      <c r="G212" s="499">
        <v>1440</v>
      </c>
      <c r="H212" s="499">
        <v>630</v>
      </c>
      <c r="I212" s="499">
        <v>360</v>
      </c>
      <c r="J212" s="592">
        <f t="shared" si="39"/>
        <v>2430</v>
      </c>
      <c r="K212" s="593"/>
      <c r="L212" s="594">
        <f t="shared" si="37"/>
        <v>2430</v>
      </c>
      <c r="M212" s="610" t="s">
        <v>255</v>
      </c>
      <c r="N212" s="501">
        <f t="shared" si="40"/>
        <v>3.9013285001896651</v>
      </c>
      <c r="O212" s="595">
        <f t="shared" si="35"/>
        <v>9480</v>
      </c>
      <c r="P212" s="583"/>
      <c r="Q212" s="1149">
        <v>3032.5827814569539</v>
      </c>
      <c r="R212" s="1149">
        <v>1890</v>
      </c>
      <c r="S212" s="1149">
        <v>1002.5454315789475</v>
      </c>
      <c r="T212" s="593">
        <v>0.2036</v>
      </c>
      <c r="U212" s="595">
        <f t="shared" si="41"/>
        <v>1206.3561041741095</v>
      </c>
      <c r="V212" s="583"/>
      <c r="W212" s="432">
        <v>143.04635761589404</v>
      </c>
      <c r="X212" s="432">
        <v>0</v>
      </c>
      <c r="Y212" s="432">
        <v>0</v>
      </c>
      <c r="Z212" s="593">
        <v>1.7611399999999999</v>
      </c>
      <c r="AA212" s="596">
        <f t="shared" si="42"/>
        <v>251.9246622516556</v>
      </c>
      <c r="AB212" s="578"/>
      <c r="AC212" s="611"/>
      <c r="AD212" s="585"/>
      <c r="AE212" s="611"/>
      <c r="AF212" s="585"/>
      <c r="AG212" s="611"/>
      <c r="AH212" s="578"/>
      <c r="AI212" s="612"/>
      <c r="AJ212" s="613"/>
      <c r="AK212" s="600">
        <f t="shared" si="36"/>
        <v>0</v>
      </c>
      <c r="AL212" s="578"/>
      <c r="AM212" s="1150">
        <v>0</v>
      </c>
      <c r="AN212" s="1150">
        <v>0</v>
      </c>
      <c r="AO212" s="1150">
        <v>0</v>
      </c>
      <c r="AP212" s="593">
        <v>0.2036</v>
      </c>
      <c r="AQ212" s="595">
        <f t="shared" si="43"/>
        <v>0</v>
      </c>
      <c r="AR212" s="578"/>
      <c r="AS212" s="601">
        <f t="shared" si="44"/>
        <v>10938.280766425765</v>
      </c>
      <c r="AT212" s="586"/>
      <c r="AU212" s="512"/>
      <c r="AV212" s="512"/>
      <c r="AW212" s="512">
        <f t="shared" si="38"/>
        <v>10938.280766425765</v>
      </c>
      <c r="AX212" s="602"/>
      <c r="AY212" s="574"/>
      <c r="AZ212" s="438"/>
    </row>
    <row r="213" spans="1:53" s="689" customFormat="1" ht="15" x14ac:dyDescent="0.25">
      <c r="A213" s="587" t="s">
        <v>392</v>
      </c>
      <c r="B213" s="587" t="s">
        <v>393</v>
      </c>
      <c r="C213" s="589" t="s">
        <v>394</v>
      </c>
      <c r="D213" s="578">
        <v>282326</v>
      </c>
      <c r="E213" s="605"/>
      <c r="F213" s="606"/>
      <c r="G213" s="499">
        <v>6876</v>
      </c>
      <c r="H213" s="499">
        <v>3780</v>
      </c>
      <c r="I213" s="499">
        <v>5760</v>
      </c>
      <c r="J213" s="592">
        <f t="shared" si="39"/>
        <v>16416</v>
      </c>
      <c r="K213" s="593"/>
      <c r="L213" s="594">
        <f t="shared" si="37"/>
        <v>16416</v>
      </c>
      <c r="M213" s="610" t="s">
        <v>240</v>
      </c>
      <c r="N213" s="501">
        <f t="shared" si="40"/>
        <v>3.9013285001896651</v>
      </c>
      <c r="O213" s="595">
        <f t="shared" si="35"/>
        <v>64044</v>
      </c>
      <c r="P213" s="583"/>
      <c r="Q213" s="1149">
        <v>7056</v>
      </c>
      <c r="R213" s="1149">
        <v>4620</v>
      </c>
      <c r="S213" s="1149">
        <v>5597.8152631578951</v>
      </c>
      <c r="T213" s="593">
        <v>0.2036</v>
      </c>
      <c r="U213" s="595">
        <f t="shared" si="41"/>
        <v>3516.9487875789478</v>
      </c>
      <c r="V213" s="583"/>
      <c r="W213" s="432">
        <v>0</v>
      </c>
      <c r="X213" s="432">
        <v>0</v>
      </c>
      <c r="Y213" s="432">
        <v>180</v>
      </c>
      <c r="Z213" s="593">
        <v>1.7611399999999999</v>
      </c>
      <c r="AA213" s="596">
        <f t="shared" si="42"/>
        <v>317.0052</v>
      </c>
      <c r="AB213" s="578"/>
      <c r="AC213" s="611"/>
      <c r="AD213" s="585"/>
      <c r="AE213" s="611"/>
      <c r="AF213" s="585"/>
      <c r="AG213" s="611"/>
      <c r="AH213" s="578"/>
      <c r="AI213" s="612"/>
      <c r="AJ213" s="613"/>
      <c r="AK213" s="600">
        <f t="shared" si="36"/>
        <v>0</v>
      </c>
      <c r="AL213" s="578"/>
      <c r="AM213" s="1150">
        <v>0</v>
      </c>
      <c r="AN213" s="1150">
        <v>0</v>
      </c>
      <c r="AO213" s="1150">
        <v>180</v>
      </c>
      <c r="AP213" s="593">
        <v>0.2036</v>
      </c>
      <c r="AQ213" s="595">
        <f t="shared" si="43"/>
        <v>36.648000000000003</v>
      </c>
      <c r="AR213" s="578"/>
      <c r="AS213" s="601">
        <f t="shared" si="44"/>
        <v>67914.60198757895</v>
      </c>
      <c r="AT213" s="586"/>
      <c r="AU213" s="512"/>
      <c r="AV213" s="512"/>
      <c r="AW213" s="512">
        <f t="shared" si="38"/>
        <v>67914.60198757895</v>
      </c>
      <c r="AX213" s="602"/>
      <c r="AY213" s="574"/>
      <c r="AZ213" s="438"/>
      <c r="BA213" s="588"/>
    </row>
    <row r="214" spans="1:53" s="588" customFormat="1" ht="15" x14ac:dyDescent="0.25">
      <c r="A214" s="587" t="s">
        <v>395</v>
      </c>
      <c r="B214" s="587" t="s">
        <v>396</v>
      </c>
      <c r="C214" s="589" t="s">
        <v>397</v>
      </c>
      <c r="D214" s="578">
        <v>279508</v>
      </c>
      <c r="E214" s="605"/>
      <c r="F214" s="606"/>
      <c r="G214" s="499">
        <v>9540</v>
      </c>
      <c r="H214" s="499">
        <v>7350</v>
      </c>
      <c r="I214" s="499">
        <v>6660</v>
      </c>
      <c r="J214" s="592">
        <f t="shared" si="39"/>
        <v>23550</v>
      </c>
      <c r="K214" s="593"/>
      <c r="L214" s="594">
        <f t="shared" si="37"/>
        <v>23550</v>
      </c>
      <c r="M214" s="610" t="s">
        <v>240</v>
      </c>
      <c r="N214" s="501">
        <f t="shared" si="40"/>
        <v>3.9013285001896651</v>
      </c>
      <c r="O214" s="595">
        <f t="shared" si="35"/>
        <v>91876</v>
      </c>
      <c r="P214" s="583"/>
      <c r="Q214" s="1149">
        <v>17291.792538671521</v>
      </c>
      <c r="R214" s="1149">
        <v>9922.5</v>
      </c>
      <c r="S214" s="1149">
        <v>10708.042636092805</v>
      </c>
      <c r="T214" s="593">
        <v>0.2036</v>
      </c>
      <c r="U214" s="595">
        <f t="shared" si="41"/>
        <v>7720.9874415820168</v>
      </c>
      <c r="V214" s="583"/>
      <c r="W214" s="432">
        <v>121.52866242038218</v>
      </c>
      <c r="X214" s="432">
        <v>275.625</v>
      </c>
      <c r="Y214" s="432">
        <v>0</v>
      </c>
      <c r="Z214" s="593">
        <v>1.7611399999999999</v>
      </c>
      <c r="AA214" s="596">
        <f t="shared" si="42"/>
        <v>699.44320103503173</v>
      </c>
      <c r="AB214" s="578"/>
      <c r="AC214" s="611"/>
      <c r="AD214" s="585"/>
      <c r="AE214" s="611"/>
      <c r="AF214" s="585"/>
      <c r="AG214" s="611"/>
      <c r="AH214" s="578"/>
      <c r="AI214" s="612"/>
      <c r="AJ214" s="613"/>
      <c r="AK214" s="600">
        <f t="shared" si="36"/>
        <v>0</v>
      </c>
      <c r="AL214" s="578"/>
      <c r="AM214" s="1150">
        <v>260.41856232939034</v>
      </c>
      <c r="AN214" s="1150">
        <v>0</v>
      </c>
      <c r="AO214" s="1150">
        <v>0</v>
      </c>
      <c r="AP214" s="593">
        <v>0.2036</v>
      </c>
      <c r="AQ214" s="595">
        <f t="shared" si="43"/>
        <v>53.021219290263872</v>
      </c>
      <c r="AR214" s="578"/>
      <c r="AS214" s="601">
        <f t="shared" si="44"/>
        <v>100349.45186190732</v>
      </c>
      <c r="AT214" s="586"/>
      <c r="AU214" s="512"/>
      <c r="AV214" s="512"/>
      <c r="AW214" s="512">
        <f t="shared" si="38"/>
        <v>100349.45186190732</v>
      </c>
      <c r="AX214" s="587"/>
      <c r="AZ214" s="693"/>
    </row>
    <row r="215" spans="1:53" s="588" customFormat="1" ht="15" x14ac:dyDescent="0.25">
      <c r="A215" s="607" t="s">
        <v>398</v>
      </c>
      <c r="B215" s="615"/>
      <c r="C215" s="609" t="s">
        <v>399</v>
      </c>
      <c r="D215" s="578">
        <v>456892</v>
      </c>
      <c r="E215" s="605"/>
      <c r="F215" s="606"/>
      <c r="G215" s="499">
        <v>5106.461538461539</v>
      </c>
      <c r="H215" s="499">
        <v>3486</v>
      </c>
      <c r="I215" s="499">
        <v>4860</v>
      </c>
      <c r="J215" s="592">
        <f t="shared" si="39"/>
        <v>13452.461538461539</v>
      </c>
      <c r="K215" s="593"/>
      <c r="L215" s="594">
        <f t="shared" si="37"/>
        <v>13452.461538461539</v>
      </c>
      <c r="M215" s="610" t="s">
        <v>240</v>
      </c>
      <c r="N215" s="501">
        <f t="shared" si="40"/>
        <v>3.9013285001896651</v>
      </c>
      <c r="O215" s="595">
        <f t="shared" si="35"/>
        <v>52482</v>
      </c>
      <c r="P215" s="583"/>
      <c r="Q215" s="1149">
        <v>6352.6153846153857</v>
      </c>
      <c r="R215" s="1149">
        <v>5670</v>
      </c>
      <c r="S215" s="1149">
        <v>6014.867684210526</v>
      </c>
      <c r="T215" s="593">
        <v>0.2036</v>
      </c>
      <c r="U215" s="595">
        <f t="shared" si="41"/>
        <v>3672.4315528129559</v>
      </c>
      <c r="V215" s="583"/>
      <c r="W215" s="432">
        <v>360</v>
      </c>
      <c r="X215" s="432">
        <v>336</v>
      </c>
      <c r="Y215" s="432">
        <v>180</v>
      </c>
      <c r="Z215" s="593">
        <v>1.7611399999999999</v>
      </c>
      <c r="AA215" s="596">
        <f t="shared" si="42"/>
        <v>1542.75864</v>
      </c>
      <c r="AB215" s="578"/>
      <c r="AC215" s="611"/>
      <c r="AD215" s="585"/>
      <c r="AE215" s="611"/>
      <c r="AF215" s="585"/>
      <c r="AG215" s="611"/>
      <c r="AH215" s="578"/>
      <c r="AI215" s="612"/>
      <c r="AJ215" s="613"/>
      <c r="AK215" s="600">
        <f t="shared" si="36"/>
        <v>0</v>
      </c>
      <c r="AL215" s="578"/>
      <c r="AM215" s="1150">
        <v>0</v>
      </c>
      <c r="AN215" s="1150">
        <v>210</v>
      </c>
      <c r="AO215" s="1150">
        <v>0</v>
      </c>
      <c r="AP215" s="593">
        <v>0.2036</v>
      </c>
      <c r="AQ215" s="595">
        <f t="shared" si="43"/>
        <v>42.756</v>
      </c>
      <c r="AR215" s="578"/>
      <c r="AS215" s="601">
        <f t="shared" si="44"/>
        <v>57739.946192812953</v>
      </c>
      <c r="AT215" s="586"/>
      <c r="AU215" s="512"/>
      <c r="AV215" s="512"/>
      <c r="AW215" s="512">
        <f t="shared" si="38"/>
        <v>57739.946192812953</v>
      </c>
      <c r="AX215" s="587"/>
      <c r="AZ215" s="693"/>
    </row>
    <row r="216" spans="1:53" s="587" customFormat="1" ht="15" x14ac:dyDescent="0.25">
      <c r="A216" s="587" t="s">
        <v>400</v>
      </c>
      <c r="B216" s="587" t="s">
        <v>401</v>
      </c>
      <c r="C216" s="589">
        <v>206152</v>
      </c>
      <c r="D216" s="578">
        <v>206152</v>
      </c>
      <c r="E216" s="605"/>
      <c r="F216" s="606"/>
      <c r="G216" s="499">
        <v>5400</v>
      </c>
      <c r="H216" s="499">
        <v>4200</v>
      </c>
      <c r="I216" s="499">
        <v>4140</v>
      </c>
      <c r="J216" s="592">
        <f t="shared" si="39"/>
        <v>13740</v>
      </c>
      <c r="K216" s="593"/>
      <c r="L216" s="594">
        <f t="shared" si="37"/>
        <v>13740</v>
      </c>
      <c r="M216" s="610" t="s">
        <v>255</v>
      </c>
      <c r="N216" s="501">
        <f t="shared" si="40"/>
        <v>3.9013285001896651</v>
      </c>
      <c r="O216" s="595">
        <f t="shared" si="35"/>
        <v>53604</v>
      </c>
      <c r="P216" s="583"/>
      <c r="Q216" s="1149">
        <v>3363.4285714285716</v>
      </c>
      <c r="R216" s="1149">
        <v>1709.3023255813953</v>
      </c>
      <c r="S216" s="1149">
        <v>3810.1079131578958</v>
      </c>
      <c r="T216" s="593">
        <v>0.2036</v>
      </c>
      <c r="U216" s="595">
        <f t="shared" si="41"/>
        <v>1808.5459817501769</v>
      </c>
      <c r="V216" s="583"/>
      <c r="W216" s="432">
        <v>154.28571428571428</v>
      </c>
      <c r="X216" s="432">
        <v>0</v>
      </c>
      <c r="Y216" s="432">
        <v>0</v>
      </c>
      <c r="Z216" s="593">
        <v>1.7611399999999999</v>
      </c>
      <c r="AA216" s="596">
        <f t="shared" si="42"/>
        <v>271.71874285714284</v>
      </c>
      <c r="AB216" s="578"/>
      <c r="AC216" s="611"/>
      <c r="AD216" s="585"/>
      <c r="AE216" s="611"/>
      <c r="AF216" s="585"/>
      <c r="AG216" s="611"/>
      <c r="AH216" s="578"/>
      <c r="AI216" s="612"/>
      <c r="AJ216" s="613"/>
      <c r="AK216" s="600">
        <f t="shared" si="36"/>
        <v>0</v>
      </c>
      <c r="AL216" s="578"/>
      <c r="AM216" s="1150">
        <v>1481.1428571428571</v>
      </c>
      <c r="AN216" s="1150">
        <v>976.74418604651157</v>
      </c>
      <c r="AO216" s="1150">
        <v>1324.8</v>
      </c>
      <c r="AP216" s="593">
        <v>0.2036</v>
      </c>
      <c r="AQ216" s="595">
        <f t="shared" si="43"/>
        <v>770.15508199335545</v>
      </c>
      <c r="AR216" s="578"/>
      <c r="AS216" s="601">
        <f t="shared" si="44"/>
        <v>56454.419806600672</v>
      </c>
      <c r="AT216" s="586"/>
      <c r="AU216" s="512"/>
      <c r="AV216" s="512"/>
      <c r="AW216" s="512">
        <f t="shared" si="38"/>
        <v>56454.419806600672</v>
      </c>
      <c r="AX216" s="698"/>
      <c r="AZ216" s="705"/>
    </row>
    <row r="217" spans="1:53" s="587" customFormat="1" ht="15" x14ac:dyDescent="0.25">
      <c r="A217" s="587" t="s">
        <v>402</v>
      </c>
      <c r="B217" s="587" t="s">
        <v>403</v>
      </c>
      <c r="C217" s="589">
        <v>206153</v>
      </c>
      <c r="D217" s="578">
        <v>206153</v>
      </c>
      <c r="E217" s="605"/>
      <c r="F217" s="606"/>
      <c r="G217" s="499">
        <v>3816</v>
      </c>
      <c r="H217" s="499">
        <v>2352</v>
      </c>
      <c r="I217" s="499">
        <v>2592</v>
      </c>
      <c r="J217" s="592">
        <f t="shared" si="39"/>
        <v>8760</v>
      </c>
      <c r="K217" s="593"/>
      <c r="L217" s="594">
        <f t="shared" si="37"/>
        <v>8760</v>
      </c>
      <c r="M217" s="610" t="s">
        <v>255</v>
      </c>
      <c r="N217" s="501">
        <f t="shared" si="40"/>
        <v>3.9013285001896651</v>
      </c>
      <c r="O217" s="595">
        <f t="shared" si="35"/>
        <v>34176</v>
      </c>
      <c r="P217" s="583"/>
      <c r="Q217" s="1149">
        <v>569.55223880597009</v>
      </c>
      <c r="R217" s="1149">
        <v>185.68421052631578</v>
      </c>
      <c r="S217" s="1149">
        <v>190.95332210526314</v>
      </c>
      <c r="T217" s="593">
        <v>0.2036</v>
      </c>
      <c r="U217" s="595">
        <f t="shared" si="41"/>
        <v>192.64423746468501</v>
      </c>
      <c r="V217" s="583"/>
      <c r="W217" s="432">
        <v>0</v>
      </c>
      <c r="X217" s="432">
        <v>154.73684210526315</v>
      </c>
      <c r="Y217" s="432">
        <v>0</v>
      </c>
      <c r="Z217" s="593">
        <v>1.7611399999999999</v>
      </c>
      <c r="AA217" s="596">
        <f t="shared" si="42"/>
        <v>272.51324210526315</v>
      </c>
      <c r="AB217" s="578"/>
      <c r="AC217" s="611"/>
      <c r="AD217" s="585"/>
      <c r="AE217" s="611"/>
      <c r="AF217" s="585"/>
      <c r="AG217" s="611"/>
      <c r="AH217" s="578"/>
      <c r="AI217" s="612"/>
      <c r="AJ217" s="613"/>
      <c r="AK217" s="600">
        <f t="shared" si="36"/>
        <v>0</v>
      </c>
      <c r="AL217" s="578"/>
      <c r="AM217" s="1150">
        <v>0</v>
      </c>
      <c r="AN217" s="1150">
        <v>154.73684210526315</v>
      </c>
      <c r="AO217" s="1150">
        <v>129.6</v>
      </c>
      <c r="AP217" s="593">
        <v>0.2036</v>
      </c>
      <c r="AQ217" s="595">
        <f t="shared" si="43"/>
        <v>57.890981052631574</v>
      </c>
      <c r="AR217" s="578"/>
      <c r="AS217" s="601">
        <f t="shared" si="44"/>
        <v>34699.04846062258</v>
      </c>
      <c r="AT217" s="586"/>
      <c r="AU217" s="512"/>
      <c r="AV217" s="512"/>
      <c r="AW217" s="512">
        <f t="shared" si="38"/>
        <v>34699.04846062258</v>
      </c>
      <c r="AX217" s="703"/>
      <c r="AZ217" s="705"/>
    </row>
    <row r="218" spans="1:53" s="587" customFormat="1" ht="15" x14ac:dyDescent="0.25">
      <c r="A218" s="656" t="s">
        <v>404</v>
      </c>
      <c r="B218" s="587" t="s">
        <v>405</v>
      </c>
      <c r="C218" s="589">
        <v>206154</v>
      </c>
      <c r="D218" s="578">
        <v>206154</v>
      </c>
      <c r="E218" s="605"/>
      <c r="F218" s="606"/>
      <c r="G218" s="499">
        <v>10260</v>
      </c>
      <c r="H218" s="499">
        <v>8400</v>
      </c>
      <c r="I218" s="499">
        <v>9900</v>
      </c>
      <c r="J218" s="592">
        <f t="shared" si="39"/>
        <v>28560</v>
      </c>
      <c r="K218" s="593"/>
      <c r="L218" s="594">
        <f t="shared" si="37"/>
        <v>28560</v>
      </c>
      <c r="M218" s="610" t="s">
        <v>255</v>
      </c>
      <c r="N218" s="501">
        <f t="shared" si="40"/>
        <v>3.9013285001896651</v>
      </c>
      <c r="O218" s="595">
        <f t="shared" si="35"/>
        <v>111422</v>
      </c>
      <c r="P218" s="583"/>
      <c r="Q218" s="1149">
        <v>21741.428571428572</v>
      </c>
      <c r="R218" s="1149">
        <v>20222.222222222223</v>
      </c>
      <c r="S218" s="1149">
        <v>19948.16392105263</v>
      </c>
      <c r="T218" s="593">
        <v>0.2036</v>
      </c>
      <c r="U218" s="595">
        <f t="shared" si="41"/>
        <v>12605.24547591362</v>
      </c>
      <c r="V218" s="583"/>
      <c r="W218" s="432">
        <v>0</v>
      </c>
      <c r="X218" s="432">
        <v>0</v>
      </c>
      <c r="Y218" s="432">
        <v>0</v>
      </c>
      <c r="Z218" s="593">
        <v>1.7611399999999999</v>
      </c>
      <c r="AA218" s="596">
        <f t="shared" si="42"/>
        <v>0</v>
      </c>
      <c r="AB218" s="578"/>
      <c r="AC218" s="611"/>
      <c r="AD218" s="585"/>
      <c r="AE218" s="611"/>
      <c r="AF218" s="585"/>
      <c r="AG218" s="611"/>
      <c r="AH218" s="578"/>
      <c r="AI218" s="612"/>
      <c r="AJ218" s="613"/>
      <c r="AK218" s="600">
        <f t="shared" si="36"/>
        <v>0</v>
      </c>
      <c r="AL218" s="578"/>
      <c r="AM218" s="1150">
        <v>4201.7142857142853</v>
      </c>
      <c r="AN218" s="1150">
        <v>5911.1111111111113</v>
      </c>
      <c r="AO218" s="1150">
        <v>6138</v>
      </c>
      <c r="AP218" s="593">
        <v>0.2036</v>
      </c>
      <c r="AQ218" s="595">
        <f t="shared" si="43"/>
        <v>3308.6680507936508</v>
      </c>
      <c r="AR218" s="578"/>
      <c r="AS218" s="601">
        <f t="shared" si="44"/>
        <v>127335.91352670727</v>
      </c>
      <c r="AT218" s="586"/>
      <c r="AU218" s="512"/>
      <c r="AV218" s="512"/>
      <c r="AW218" s="512">
        <f t="shared" si="38"/>
        <v>127335.91352670727</v>
      </c>
      <c r="AZ218" s="705"/>
    </row>
    <row r="219" spans="1:53" s="587" customFormat="1" ht="15" x14ac:dyDescent="0.25">
      <c r="A219" s="619" t="s">
        <v>406</v>
      </c>
      <c r="C219" s="604" t="s">
        <v>407</v>
      </c>
      <c r="D219" s="578">
        <v>395637</v>
      </c>
      <c r="E219" s="605"/>
      <c r="F219" s="606"/>
      <c r="G219" s="499">
        <v>2232</v>
      </c>
      <c r="H219" s="499">
        <v>707</v>
      </c>
      <c r="I219" s="499">
        <v>1404</v>
      </c>
      <c r="J219" s="592">
        <f t="shared" si="39"/>
        <v>4343</v>
      </c>
      <c r="K219" s="593"/>
      <c r="L219" s="594">
        <f t="shared" si="37"/>
        <v>4343</v>
      </c>
      <c r="M219" s="610" t="s">
        <v>255</v>
      </c>
      <c r="N219" s="501">
        <f t="shared" si="40"/>
        <v>3.9013285001896651</v>
      </c>
      <c r="O219" s="595">
        <f t="shared" si="35"/>
        <v>16943</v>
      </c>
      <c r="P219" s="583"/>
      <c r="Q219" s="1149">
        <v>2700</v>
      </c>
      <c r="R219" s="1149">
        <v>1260</v>
      </c>
      <c r="S219" s="1149">
        <v>1801.8284210526317</v>
      </c>
      <c r="T219" s="593">
        <v>0.2036</v>
      </c>
      <c r="U219" s="595">
        <f t="shared" si="41"/>
        <v>1173.1082665263159</v>
      </c>
      <c r="V219" s="583"/>
      <c r="W219" s="432">
        <v>180</v>
      </c>
      <c r="X219" s="432">
        <v>210</v>
      </c>
      <c r="Y219" s="432">
        <v>0</v>
      </c>
      <c r="Z219" s="593">
        <v>1.7611399999999999</v>
      </c>
      <c r="AA219" s="596">
        <f t="shared" si="42"/>
        <v>686.84460000000001</v>
      </c>
      <c r="AB219" s="578"/>
      <c r="AC219" s="611"/>
      <c r="AD219" s="585"/>
      <c r="AE219" s="611"/>
      <c r="AF219" s="585"/>
      <c r="AG219" s="611"/>
      <c r="AH219" s="578"/>
      <c r="AI219" s="612"/>
      <c r="AJ219" s="613"/>
      <c r="AK219" s="600">
        <f t="shared" si="36"/>
        <v>0</v>
      </c>
      <c r="AL219" s="578"/>
      <c r="AM219" s="1150">
        <v>360</v>
      </c>
      <c r="AN219" s="1150">
        <v>210</v>
      </c>
      <c r="AO219" s="1150">
        <v>359.99999999999994</v>
      </c>
      <c r="AP219" s="593">
        <v>0.2036</v>
      </c>
      <c r="AQ219" s="595">
        <f t="shared" si="43"/>
        <v>189.34800000000001</v>
      </c>
      <c r="AR219" s="578"/>
      <c r="AS219" s="601">
        <f t="shared" si="44"/>
        <v>18992.300866526315</v>
      </c>
      <c r="AT219" s="586"/>
      <c r="AU219" s="512"/>
      <c r="AV219" s="512"/>
      <c r="AW219" s="512">
        <f t="shared" si="38"/>
        <v>18992.300866526315</v>
      </c>
      <c r="AZ219" s="705"/>
    </row>
    <row r="220" spans="1:53" s="608" customFormat="1" ht="15" x14ac:dyDescent="0.25">
      <c r="A220" s="619" t="s">
        <v>408</v>
      </c>
      <c r="B220" s="661" t="s">
        <v>409</v>
      </c>
      <c r="C220" s="604" t="s">
        <v>410</v>
      </c>
      <c r="D220" s="578">
        <v>330097</v>
      </c>
      <c r="E220" s="605"/>
      <c r="F220" s="606"/>
      <c r="G220" s="499">
        <v>10800</v>
      </c>
      <c r="H220" s="499">
        <v>7350</v>
      </c>
      <c r="I220" s="499">
        <v>8100</v>
      </c>
      <c r="J220" s="592">
        <f t="shared" si="39"/>
        <v>26250</v>
      </c>
      <c r="K220" s="593"/>
      <c r="L220" s="594">
        <f t="shared" si="37"/>
        <v>26250</v>
      </c>
      <c r="M220" s="610" t="s">
        <v>240</v>
      </c>
      <c r="N220" s="501">
        <f t="shared" si="40"/>
        <v>3.9013285001896651</v>
      </c>
      <c r="O220" s="595">
        <f t="shared" si="35"/>
        <v>102410</v>
      </c>
      <c r="P220" s="583"/>
      <c r="Q220" s="1149">
        <v>21882.352941176468</v>
      </c>
      <c r="R220" s="1149">
        <v>16678.846153846152</v>
      </c>
      <c r="S220" s="1149">
        <v>13169.738350202431</v>
      </c>
      <c r="T220" s="593">
        <v>0.2036</v>
      </c>
      <c r="U220" s="595">
        <f t="shared" si="41"/>
        <v>10532.418863847821</v>
      </c>
      <c r="V220" s="583"/>
      <c r="W220" s="432">
        <v>176.47058823529412</v>
      </c>
      <c r="X220" s="432">
        <v>565.38461538461547</v>
      </c>
      <c r="Y220" s="432">
        <v>467.30769230769232</v>
      </c>
      <c r="Z220" s="593">
        <v>1.7611399999999999</v>
      </c>
      <c r="AA220" s="596">
        <f t="shared" si="42"/>
        <v>2129.505142533937</v>
      </c>
      <c r="AB220" s="578"/>
      <c r="AC220" s="611"/>
      <c r="AD220" s="585"/>
      <c r="AE220" s="611"/>
      <c r="AF220" s="585"/>
      <c r="AG220" s="611"/>
      <c r="AH220" s="578"/>
      <c r="AI220" s="612"/>
      <c r="AJ220" s="613"/>
      <c r="AK220" s="600">
        <f t="shared" si="36"/>
        <v>0</v>
      </c>
      <c r="AL220" s="578"/>
      <c r="AM220" s="1150">
        <v>529.41176470588232</v>
      </c>
      <c r="AN220" s="1150">
        <v>282.69230769230774</v>
      </c>
      <c r="AO220" s="1150">
        <v>778.84615384615392</v>
      </c>
      <c r="AP220" s="593">
        <v>0.2036</v>
      </c>
      <c r="AQ220" s="595">
        <f t="shared" si="43"/>
        <v>323.9174660633484</v>
      </c>
      <c r="AR220" s="578"/>
      <c r="AS220" s="601">
        <f t="shared" si="44"/>
        <v>115395.84147244511</v>
      </c>
      <c r="AT220" s="586"/>
      <c r="AU220" s="512"/>
      <c r="AV220" s="512"/>
      <c r="AW220" s="512">
        <f t="shared" si="38"/>
        <v>115395.84147244511</v>
      </c>
      <c r="AX220" s="709"/>
      <c r="AY220" s="709"/>
      <c r="AZ220" s="710"/>
    </row>
    <row r="221" spans="1:53" s="608" customFormat="1" ht="15" x14ac:dyDescent="0.25">
      <c r="A221" s="619" t="s">
        <v>1396</v>
      </c>
      <c r="B221" s="661"/>
      <c r="C221" s="604">
        <v>484523</v>
      </c>
      <c r="D221" s="578">
        <v>484523</v>
      </c>
      <c r="E221" s="605"/>
      <c r="F221" s="606"/>
      <c r="G221" s="499">
        <v>2520</v>
      </c>
      <c r="H221" s="499">
        <v>2940</v>
      </c>
      <c r="I221" s="499">
        <v>2520</v>
      </c>
      <c r="J221" s="592">
        <f t="shared" si="39"/>
        <v>7980</v>
      </c>
      <c r="K221" s="593"/>
      <c r="L221" s="594">
        <f t="shared" si="37"/>
        <v>7980</v>
      </c>
      <c r="M221" s="1155" t="s">
        <v>240</v>
      </c>
      <c r="N221" s="501">
        <f t="shared" si="40"/>
        <v>3.9013285001896651</v>
      </c>
      <c r="O221" s="595">
        <f t="shared" si="35"/>
        <v>31133</v>
      </c>
      <c r="P221" s="583"/>
      <c r="Q221" s="1149">
        <v>0</v>
      </c>
      <c r="R221" s="1149">
        <v>1901.7821782178216</v>
      </c>
      <c r="S221" s="1149">
        <v>0</v>
      </c>
      <c r="T221" s="593">
        <v>0.2036</v>
      </c>
      <c r="U221" s="595">
        <f t="shared" si="41"/>
        <v>387.20285148514847</v>
      </c>
      <c r="V221" s="583"/>
      <c r="W221" s="432">
        <v>0</v>
      </c>
      <c r="X221" s="432">
        <v>0</v>
      </c>
      <c r="Y221" s="432">
        <v>0</v>
      </c>
      <c r="Z221" s="593">
        <v>1.7611399999999999</v>
      </c>
      <c r="AA221" s="596">
        <f t="shared" si="42"/>
        <v>0</v>
      </c>
      <c r="AB221" s="578"/>
      <c r="AC221" s="611"/>
      <c r="AD221" s="585"/>
      <c r="AE221" s="611"/>
      <c r="AF221" s="585"/>
      <c r="AG221" s="611"/>
      <c r="AH221" s="578"/>
      <c r="AI221" s="612"/>
      <c r="AJ221" s="613"/>
      <c r="AK221" s="600">
        <f t="shared" si="36"/>
        <v>0</v>
      </c>
      <c r="AL221" s="578"/>
      <c r="AM221" s="1150">
        <v>0</v>
      </c>
      <c r="AN221" s="1150">
        <v>339.60396039603961</v>
      </c>
      <c r="AO221" s="1150">
        <v>0</v>
      </c>
      <c r="AP221" s="593">
        <v>0.2036</v>
      </c>
      <c r="AQ221" s="595">
        <f t="shared" si="43"/>
        <v>69.143366336633662</v>
      </c>
      <c r="AR221" s="578"/>
      <c r="AS221" s="601">
        <f t="shared" si="44"/>
        <v>31589.346217821781</v>
      </c>
      <c r="AT221" s="586"/>
      <c r="AU221" s="512"/>
      <c r="AV221" s="512"/>
      <c r="AW221" s="512">
        <f t="shared" si="38"/>
        <v>31589.346217821781</v>
      </c>
      <c r="AX221" s="709"/>
      <c r="AY221" s="709"/>
      <c r="AZ221" s="710"/>
    </row>
    <row r="222" spans="1:53" s="608" customFormat="1" ht="15" x14ac:dyDescent="0.25">
      <c r="A222" s="587" t="s">
        <v>411</v>
      </c>
      <c r="B222" s="587" t="s">
        <v>412</v>
      </c>
      <c r="C222" s="589" t="s">
        <v>413</v>
      </c>
      <c r="D222" s="578">
        <v>100960</v>
      </c>
      <c r="E222" s="605"/>
      <c r="F222" s="606"/>
      <c r="G222" s="499">
        <v>5760</v>
      </c>
      <c r="H222" s="499">
        <v>4830</v>
      </c>
      <c r="I222" s="499">
        <v>4644</v>
      </c>
      <c r="J222" s="592">
        <f t="shared" si="39"/>
        <v>15234</v>
      </c>
      <c r="K222" s="593"/>
      <c r="L222" s="594">
        <f t="shared" si="37"/>
        <v>15234</v>
      </c>
      <c r="M222" s="610" t="s">
        <v>240</v>
      </c>
      <c r="N222" s="501">
        <f t="shared" si="40"/>
        <v>3.9013285001896651</v>
      </c>
      <c r="O222" s="595">
        <f t="shared" si="35"/>
        <v>59433</v>
      </c>
      <c r="P222" s="583"/>
      <c r="Q222" s="1149">
        <v>0</v>
      </c>
      <c r="R222" s="1149">
        <v>84</v>
      </c>
      <c r="S222" s="1149">
        <v>125.52063157894736</v>
      </c>
      <c r="T222" s="593">
        <v>0.2036</v>
      </c>
      <c r="U222" s="595">
        <f t="shared" si="41"/>
        <v>42.658400589473686</v>
      </c>
      <c r="V222" s="583"/>
      <c r="W222" s="432">
        <v>0</v>
      </c>
      <c r="X222" s="432">
        <v>0</v>
      </c>
      <c r="Y222" s="432">
        <v>0</v>
      </c>
      <c r="Z222" s="593">
        <v>1.7611399999999999</v>
      </c>
      <c r="AA222" s="596">
        <f t="shared" si="42"/>
        <v>0</v>
      </c>
      <c r="AB222" s="578"/>
      <c r="AC222" s="611"/>
      <c r="AD222" s="585"/>
      <c r="AE222" s="611"/>
      <c r="AF222" s="585"/>
      <c r="AG222" s="611"/>
      <c r="AH222" s="578"/>
      <c r="AI222" s="612"/>
      <c r="AJ222" s="613"/>
      <c r="AK222" s="600">
        <f t="shared" si="36"/>
        <v>0</v>
      </c>
      <c r="AL222" s="578"/>
      <c r="AM222" s="1150">
        <v>0</v>
      </c>
      <c r="AN222" s="1150">
        <v>0</v>
      </c>
      <c r="AO222" s="1150">
        <v>0</v>
      </c>
      <c r="AP222" s="593">
        <v>0.2036</v>
      </c>
      <c r="AQ222" s="595">
        <f t="shared" si="43"/>
        <v>0</v>
      </c>
      <c r="AR222" s="578"/>
      <c r="AS222" s="601">
        <f t="shared" si="44"/>
        <v>59475.658400589477</v>
      </c>
      <c r="AT222" s="586"/>
      <c r="AU222" s="512"/>
      <c r="AV222" s="512"/>
      <c r="AW222" s="512">
        <f t="shared" si="38"/>
        <v>59475.658400589477</v>
      </c>
      <c r="AX222" s="709"/>
      <c r="AY222" s="709"/>
      <c r="AZ222" s="710"/>
    </row>
    <row r="223" spans="1:53" s="587" customFormat="1" ht="15" x14ac:dyDescent="0.25">
      <c r="A223" s="587" t="s">
        <v>414</v>
      </c>
      <c r="B223" s="587" t="s">
        <v>412</v>
      </c>
      <c r="C223" s="589">
        <v>206103</v>
      </c>
      <c r="D223" s="578">
        <v>206103</v>
      </c>
      <c r="E223" s="605"/>
      <c r="F223" s="606"/>
      <c r="G223" s="499">
        <v>11160</v>
      </c>
      <c r="H223" s="499">
        <v>8400</v>
      </c>
      <c r="I223" s="499">
        <v>7740</v>
      </c>
      <c r="J223" s="592">
        <f t="shared" si="39"/>
        <v>27300</v>
      </c>
      <c r="K223" s="593"/>
      <c r="L223" s="594">
        <f t="shared" si="37"/>
        <v>27300</v>
      </c>
      <c r="M223" s="610" t="s">
        <v>240</v>
      </c>
      <c r="N223" s="501">
        <f t="shared" si="40"/>
        <v>3.9013285001896651</v>
      </c>
      <c r="O223" s="595">
        <f t="shared" si="35"/>
        <v>106506</v>
      </c>
      <c r="P223" s="583"/>
      <c r="Q223" s="1149">
        <v>9517.1573604060923</v>
      </c>
      <c r="R223" s="1149">
        <v>7045.1612903225805</v>
      </c>
      <c r="S223" s="1149">
        <v>5097.1476046650714</v>
      </c>
      <c r="T223" s="593">
        <v>0.2036</v>
      </c>
      <c r="U223" s="595">
        <f t="shared" si="41"/>
        <v>4409.8673295981662</v>
      </c>
      <c r="V223" s="583"/>
      <c r="W223" s="432">
        <v>283.24873096446703</v>
      </c>
      <c r="X223" s="432">
        <v>225.80645161290323</v>
      </c>
      <c r="Y223" s="432">
        <v>219.88636363636363</v>
      </c>
      <c r="Z223" s="593">
        <v>1.7611399999999999</v>
      </c>
      <c r="AA223" s="596">
        <f t="shared" si="42"/>
        <v>1283.7681146988552</v>
      </c>
      <c r="AB223" s="578"/>
      <c r="AC223" s="611"/>
      <c r="AD223" s="585"/>
      <c r="AE223" s="611"/>
      <c r="AF223" s="585"/>
      <c r="AG223" s="611"/>
      <c r="AH223" s="578"/>
      <c r="AI223" s="612"/>
      <c r="AJ223" s="613"/>
      <c r="AK223" s="600">
        <f t="shared" si="36"/>
        <v>0</v>
      </c>
      <c r="AL223" s="578"/>
      <c r="AM223" s="1150">
        <v>396.54822335025381</v>
      </c>
      <c r="AN223" s="1150">
        <v>0</v>
      </c>
      <c r="AO223" s="1150">
        <v>1187.3863636363637</v>
      </c>
      <c r="AP223" s="593">
        <v>0.2036</v>
      </c>
      <c r="AQ223" s="595">
        <f t="shared" si="43"/>
        <v>322.48908191047531</v>
      </c>
      <c r="AR223" s="578"/>
      <c r="AS223" s="601">
        <f t="shared" si="44"/>
        <v>112522.1245262075</v>
      </c>
      <c r="AT223" s="586"/>
      <c r="AU223" s="512"/>
      <c r="AV223" s="512"/>
      <c r="AW223" s="512">
        <f t="shared" si="38"/>
        <v>112522.1245262075</v>
      </c>
      <c r="AZ223" s="705"/>
    </row>
    <row r="224" spans="1:53" ht="15" x14ac:dyDescent="0.25">
      <c r="A224" s="657" t="s">
        <v>822</v>
      </c>
      <c r="B224" s="658" t="s">
        <v>823</v>
      </c>
      <c r="C224" s="529" t="s">
        <v>824</v>
      </c>
      <c r="D224" s="578" t="s">
        <v>824</v>
      </c>
      <c r="E224" s="605"/>
      <c r="F224" s="606"/>
      <c r="G224" s="499">
        <v>6984</v>
      </c>
      <c r="H224" s="499">
        <v>6384</v>
      </c>
      <c r="I224" s="499">
        <v>6624</v>
      </c>
      <c r="J224" s="592">
        <f t="shared" si="39"/>
        <v>19992</v>
      </c>
      <c r="K224" s="593"/>
      <c r="L224" s="594">
        <f t="shared" si="37"/>
        <v>19992</v>
      </c>
      <c r="M224" s="610" t="s">
        <v>240</v>
      </c>
      <c r="N224" s="501">
        <f t="shared" si="40"/>
        <v>3.9013285001896651</v>
      </c>
      <c r="O224" s="595">
        <f t="shared" si="35"/>
        <v>77995</v>
      </c>
      <c r="P224" s="583"/>
      <c r="Q224" s="1149">
        <v>0</v>
      </c>
      <c r="R224" s="1149">
        <v>0</v>
      </c>
      <c r="S224" s="1149">
        <v>0</v>
      </c>
      <c r="T224" s="593">
        <v>0.2036</v>
      </c>
      <c r="U224" s="595">
        <f t="shared" si="41"/>
        <v>0</v>
      </c>
      <c r="V224" s="583"/>
      <c r="W224" s="432">
        <v>0</v>
      </c>
      <c r="X224" s="432">
        <v>0</v>
      </c>
      <c r="Y224" s="432">
        <v>0</v>
      </c>
      <c r="Z224" s="593">
        <v>1.7611399999999999</v>
      </c>
      <c r="AA224" s="596">
        <f t="shared" si="42"/>
        <v>0</v>
      </c>
      <c r="AB224" s="578"/>
      <c r="AC224" s="611"/>
      <c r="AD224" s="585"/>
      <c r="AE224" s="611"/>
      <c r="AF224" s="585"/>
      <c r="AG224" s="611"/>
      <c r="AH224" s="578"/>
      <c r="AI224" s="612"/>
      <c r="AJ224" s="613"/>
      <c r="AK224" s="600">
        <f t="shared" si="36"/>
        <v>0</v>
      </c>
      <c r="AL224" s="578"/>
      <c r="AM224" s="1150">
        <v>0</v>
      </c>
      <c r="AN224" s="1150">
        <v>0</v>
      </c>
      <c r="AO224" s="1150">
        <v>0</v>
      </c>
      <c r="AP224" s="593">
        <v>0.2036</v>
      </c>
      <c r="AQ224" s="595">
        <f t="shared" si="43"/>
        <v>0</v>
      </c>
      <c r="AR224" s="578"/>
      <c r="AS224" s="601">
        <f t="shared" si="44"/>
        <v>77995</v>
      </c>
      <c r="AT224" s="586"/>
      <c r="AU224" s="512"/>
      <c r="AV224" s="512"/>
      <c r="AW224" s="512">
        <f t="shared" si="38"/>
        <v>77995</v>
      </c>
    </row>
    <row r="225" spans="1:49" ht="15" x14ac:dyDescent="0.25">
      <c r="A225" s="646" t="s">
        <v>415</v>
      </c>
      <c r="B225" s="587" t="s">
        <v>416</v>
      </c>
      <c r="C225" s="589" t="s">
        <v>417</v>
      </c>
      <c r="D225" s="578">
        <v>359739</v>
      </c>
      <c r="E225" s="659" t="s">
        <v>805</v>
      </c>
      <c r="F225" s="606"/>
      <c r="G225" s="499">
        <v>0</v>
      </c>
      <c r="H225" s="499">
        <v>0</v>
      </c>
      <c r="I225" s="499">
        <v>0</v>
      </c>
      <c r="J225" s="592">
        <f t="shared" si="39"/>
        <v>0</v>
      </c>
      <c r="K225" s="593"/>
      <c r="L225" s="594">
        <f t="shared" si="37"/>
        <v>0</v>
      </c>
      <c r="M225" s="610" t="s">
        <v>240</v>
      </c>
      <c r="N225" s="501">
        <f t="shared" si="40"/>
        <v>3.9013285001896651</v>
      </c>
      <c r="O225" s="595">
        <f t="shared" ref="O225:O233" si="45">ROUND(N225*L225,0)</f>
        <v>0</v>
      </c>
      <c r="P225" s="583"/>
      <c r="Q225" s="1149">
        <v>0</v>
      </c>
      <c r="R225" s="1149">
        <v>0</v>
      </c>
      <c r="S225" s="1149">
        <v>0</v>
      </c>
      <c r="T225" s="593">
        <v>0.2036</v>
      </c>
      <c r="U225" s="595">
        <f t="shared" si="41"/>
        <v>0</v>
      </c>
      <c r="V225" s="583"/>
      <c r="W225" s="432">
        <v>0</v>
      </c>
      <c r="X225" s="432">
        <v>0</v>
      </c>
      <c r="Y225" s="432">
        <v>0</v>
      </c>
      <c r="Z225" s="593">
        <v>1.7611399999999999</v>
      </c>
      <c r="AA225" s="596">
        <f t="shared" si="42"/>
        <v>0</v>
      </c>
      <c r="AB225" s="578"/>
      <c r="AC225" s="611"/>
      <c r="AD225" s="585"/>
      <c r="AE225" s="611"/>
      <c r="AF225" s="585"/>
      <c r="AG225" s="611"/>
      <c r="AH225" s="578"/>
      <c r="AI225" s="612"/>
      <c r="AJ225" s="613"/>
      <c r="AK225" s="600">
        <f t="shared" si="36"/>
        <v>0</v>
      </c>
      <c r="AL225" s="578"/>
      <c r="AM225" s="1150">
        <v>0</v>
      </c>
      <c r="AN225" s="1150">
        <v>0</v>
      </c>
      <c r="AO225" s="1150">
        <v>0</v>
      </c>
      <c r="AP225" s="593">
        <v>0.2036</v>
      </c>
      <c r="AQ225" s="595">
        <f t="shared" si="43"/>
        <v>0</v>
      </c>
      <c r="AR225" s="578"/>
      <c r="AS225" s="601">
        <f t="shared" si="44"/>
        <v>0</v>
      </c>
      <c r="AT225" s="586"/>
      <c r="AU225" s="512"/>
      <c r="AV225" s="512"/>
      <c r="AW225" s="512">
        <f t="shared" si="38"/>
        <v>0</v>
      </c>
    </row>
    <row r="226" spans="1:49" ht="15" x14ac:dyDescent="0.25">
      <c r="A226" s="587" t="s">
        <v>418</v>
      </c>
      <c r="B226" s="587" t="s">
        <v>419</v>
      </c>
      <c r="C226" s="589" t="s">
        <v>420</v>
      </c>
      <c r="D226" s="578">
        <v>103452</v>
      </c>
      <c r="E226" s="605"/>
      <c r="F226" s="606"/>
      <c r="G226" s="499">
        <v>8460</v>
      </c>
      <c r="H226" s="499">
        <v>6300</v>
      </c>
      <c r="I226" s="499">
        <v>8460</v>
      </c>
      <c r="J226" s="592">
        <f t="shared" si="39"/>
        <v>23220</v>
      </c>
      <c r="K226" s="593"/>
      <c r="L226" s="594">
        <f t="shared" si="37"/>
        <v>23220</v>
      </c>
      <c r="M226" s="610" t="s">
        <v>240</v>
      </c>
      <c r="N226" s="501">
        <f t="shared" si="40"/>
        <v>3.9013285001896651</v>
      </c>
      <c r="O226" s="595">
        <f t="shared" si="45"/>
        <v>90589</v>
      </c>
      <c r="P226" s="583"/>
      <c r="Q226" s="1149">
        <v>16124.388714733543</v>
      </c>
      <c r="R226" s="1149">
        <v>13152.134831460673</v>
      </c>
      <c r="S226" s="1149">
        <v>17813.152058823529</v>
      </c>
      <c r="T226" s="593">
        <v>0.2036</v>
      </c>
      <c r="U226" s="595">
        <f t="shared" si="41"/>
        <v>9587.4579531816125</v>
      </c>
      <c r="V226" s="583"/>
      <c r="W226" s="432">
        <v>861.91222570532921</v>
      </c>
      <c r="X226" s="432">
        <v>792.80898876404501</v>
      </c>
      <c r="Y226" s="432">
        <v>248.8235294117647</v>
      </c>
      <c r="Z226" s="593">
        <v>1.7611399999999999</v>
      </c>
      <c r="AA226" s="596">
        <f t="shared" si="42"/>
        <v>3352.4087902388287</v>
      </c>
      <c r="AB226" s="578"/>
      <c r="AC226" s="611"/>
      <c r="AD226" s="585"/>
      <c r="AE226" s="611"/>
      <c r="AF226" s="585"/>
      <c r="AG226" s="611"/>
      <c r="AH226" s="578"/>
      <c r="AI226" s="612"/>
      <c r="AJ226" s="613"/>
      <c r="AK226" s="600">
        <f t="shared" si="36"/>
        <v>0</v>
      </c>
      <c r="AL226" s="578"/>
      <c r="AM226" s="1150">
        <v>835.39184952978053</v>
      </c>
      <c r="AN226" s="1150">
        <v>594.60674157303379</v>
      </c>
      <c r="AO226" s="1150">
        <v>497.64705882352939</v>
      </c>
      <c r="AP226" s="593">
        <v>0.2036</v>
      </c>
      <c r="AQ226" s="595">
        <f t="shared" si="43"/>
        <v>392.46865432500357</v>
      </c>
      <c r="AR226" s="578"/>
      <c r="AS226" s="601">
        <f t="shared" si="44"/>
        <v>103921.33539774544</v>
      </c>
      <c r="AT226" s="586"/>
      <c r="AU226" s="512"/>
      <c r="AV226" s="512"/>
      <c r="AW226" s="512">
        <f t="shared" si="38"/>
        <v>103921.33539774544</v>
      </c>
    </row>
    <row r="227" spans="1:49" ht="15" x14ac:dyDescent="0.25">
      <c r="A227" s="587" t="s">
        <v>421</v>
      </c>
      <c r="B227" s="587" t="s">
        <v>422</v>
      </c>
      <c r="C227" s="589">
        <v>258420</v>
      </c>
      <c r="D227" s="578">
        <v>258420</v>
      </c>
      <c r="E227" s="605"/>
      <c r="F227" s="606"/>
      <c r="G227" s="499">
        <v>7380</v>
      </c>
      <c r="H227" s="499">
        <v>5250</v>
      </c>
      <c r="I227" s="499">
        <v>5400</v>
      </c>
      <c r="J227" s="592">
        <f t="shared" si="39"/>
        <v>18030</v>
      </c>
      <c r="K227" s="593"/>
      <c r="L227" s="594">
        <f t="shared" si="37"/>
        <v>18030</v>
      </c>
      <c r="M227" s="610" t="s">
        <v>240</v>
      </c>
      <c r="N227" s="501">
        <f t="shared" si="40"/>
        <v>3.9013285001896651</v>
      </c>
      <c r="O227" s="595">
        <f t="shared" si="45"/>
        <v>70341</v>
      </c>
      <c r="P227" s="583"/>
      <c r="Q227" s="1149">
        <v>14424.545454545454</v>
      </c>
      <c r="R227" s="1149">
        <v>7250</v>
      </c>
      <c r="S227" s="1149">
        <v>5371.4559910414337</v>
      </c>
      <c r="T227" s="593">
        <v>0.2036</v>
      </c>
      <c r="U227" s="595">
        <f t="shared" si="41"/>
        <v>5506.5658943214903</v>
      </c>
      <c r="V227" s="583"/>
      <c r="W227" s="432">
        <v>0</v>
      </c>
      <c r="X227" s="432">
        <v>0</v>
      </c>
      <c r="Y227" s="432">
        <v>287.2340425531915</v>
      </c>
      <c r="Z227" s="593">
        <v>1.7611399999999999</v>
      </c>
      <c r="AA227" s="596">
        <f t="shared" si="42"/>
        <v>505.85936170212767</v>
      </c>
      <c r="AB227" s="578"/>
      <c r="AC227" s="611"/>
      <c r="AD227" s="585"/>
      <c r="AE227" s="611"/>
      <c r="AF227" s="585"/>
      <c r="AG227" s="611"/>
      <c r="AH227" s="578"/>
      <c r="AI227" s="612"/>
      <c r="AJ227" s="613"/>
      <c r="AK227" s="600">
        <f t="shared" si="36"/>
        <v>0</v>
      </c>
      <c r="AL227" s="578"/>
      <c r="AM227" s="1150">
        <v>0</v>
      </c>
      <c r="AN227" s="1150">
        <v>166.66666666666666</v>
      </c>
      <c r="AO227" s="1150">
        <v>287.2340425531915</v>
      </c>
      <c r="AP227" s="593">
        <v>0.2036</v>
      </c>
      <c r="AQ227" s="595">
        <f t="shared" si="43"/>
        <v>92.414184397163126</v>
      </c>
      <c r="AR227" s="578"/>
      <c r="AS227" s="601">
        <f t="shared" si="44"/>
        <v>76445.839440420779</v>
      </c>
      <c r="AT227" s="586"/>
      <c r="AU227" s="512"/>
      <c r="AV227" s="512"/>
      <c r="AW227" s="512">
        <f t="shared" si="38"/>
        <v>76445.839440420779</v>
      </c>
    </row>
    <row r="228" spans="1:49" ht="15" x14ac:dyDescent="0.25">
      <c r="A228" s="587" t="s">
        <v>423</v>
      </c>
      <c r="B228" s="587" t="s">
        <v>424</v>
      </c>
      <c r="C228" s="589">
        <v>258424</v>
      </c>
      <c r="D228" s="578">
        <v>258424</v>
      </c>
      <c r="E228" s="605"/>
      <c r="F228" s="606"/>
      <c r="G228" s="499">
        <v>8820</v>
      </c>
      <c r="H228" s="499">
        <v>6090</v>
      </c>
      <c r="I228" s="499">
        <v>6300</v>
      </c>
      <c r="J228" s="592">
        <f t="shared" si="39"/>
        <v>21210</v>
      </c>
      <c r="K228" s="593"/>
      <c r="L228" s="594">
        <f t="shared" si="37"/>
        <v>21210</v>
      </c>
      <c r="M228" s="610" t="s">
        <v>240</v>
      </c>
      <c r="N228" s="501">
        <f t="shared" si="40"/>
        <v>3.9013285001896651</v>
      </c>
      <c r="O228" s="595">
        <f t="shared" si="45"/>
        <v>82747</v>
      </c>
      <c r="P228" s="583"/>
      <c r="Q228" s="1149">
        <v>5450.297645490893</v>
      </c>
      <c r="R228" s="1149">
        <v>3845.8709229701599</v>
      </c>
      <c r="S228" s="1149">
        <v>3857.0600526315793</v>
      </c>
      <c r="T228" s="593">
        <v>0.2036</v>
      </c>
      <c r="U228" s="595">
        <f t="shared" si="41"/>
        <v>2677.9973472544598</v>
      </c>
      <c r="V228" s="583"/>
      <c r="W228" s="432">
        <v>0</v>
      </c>
      <c r="X228" s="432">
        <v>0</v>
      </c>
      <c r="Y228" s="432">
        <v>210</v>
      </c>
      <c r="Z228" s="593">
        <v>1.7611399999999999</v>
      </c>
      <c r="AA228" s="596">
        <f t="shared" si="42"/>
        <v>369.83940000000001</v>
      </c>
      <c r="AB228" s="578"/>
      <c r="AC228" s="611"/>
      <c r="AD228" s="585"/>
      <c r="AE228" s="611"/>
      <c r="AF228" s="585"/>
      <c r="AG228" s="611"/>
      <c r="AH228" s="578"/>
      <c r="AI228" s="612"/>
      <c r="AJ228" s="613"/>
      <c r="AK228" s="600">
        <f t="shared" ref="AK228:AK233" si="46">AJ228*AI228</f>
        <v>0</v>
      </c>
      <c r="AL228" s="578"/>
      <c r="AM228" s="1150">
        <v>0</v>
      </c>
      <c r="AN228" s="1150">
        <v>0</v>
      </c>
      <c r="AO228" s="1150">
        <v>0</v>
      </c>
      <c r="AP228" s="593">
        <v>0.2036</v>
      </c>
      <c r="AQ228" s="595">
        <f t="shared" si="43"/>
        <v>0</v>
      </c>
      <c r="AR228" s="578"/>
      <c r="AS228" s="601">
        <f t="shared" si="44"/>
        <v>85794.836747254463</v>
      </c>
      <c r="AT228" s="586"/>
      <c r="AU228" s="512"/>
      <c r="AV228" s="512"/>
      <c r="AW228" s="512">
        <f t="shared" si="38"/>
        <v>85794.836747254463</v>
      </c>
    </row>
    <row r="229" spans="1:49" ht="15" x14ac:dyDescent="0.25">
      <c r="A229" s="80" t="s">
        <v>425</v>
      </c>
      <c r="B229" s="78"/>
      <c r="C229" s="78" t="s">
        <v>426</v>
      </c>
      <c r="D229" s="578">
        <v>467205</v>
      </c>
      <c r="E229" s="605"/>
      <c r="F229" s="606"/>
      <c r="G229" s="499">
        <v>648</v>
      </c>
      <c r="H229" s="499">
        <v>420</v>
      </c>
      <c r="I229" s="499">
        <v>360</v>
      </c>
      <c r="J229" s="592">
        <f t="shared" si="39"/>
        <v>1428</v>
      </c>
      <c r="K229" s="593"/>
      <c r="L229" s="594">
        <f t="shared" si="37"/>
        <v>1428</v>
      </c>
      <c r="M229" s="610" t="s">
        <v>255</v>
      </c>
      <c r="N229" s="501">
        <f t="shared" si="40"/>
        <v>3.9013285001896651</v>
      </c>
      <c r="O229" s="595">
        <f t="shared" si="45"/>
        <v>5571</v>
      </c>
      <c r="P229" s="583"/>
      <c r="Q229" s="1149">
        <v>1944</v>
      </c>
      <c r="R229" s="1149">
        <v>1260</v>
      </c>
      <c r="S229" s="1149">
        <v>1364.2105263157896</v>
      </c>
      <c r="T229" s="593">
        <v>0.2036</v>
      </c>
      <c r="U229" s="595">
        <f t="shared" si="41"/>
        <v>930.08766315789489</v>
      </c>
      <c r="V229" s="583"/>
      <c r="W229" s="432">
        <v>0</v>
      </c>
      <c r="X229" s="432">
        <v>0</v>
      </c>
      <c r="Y229" s="432">
        <v>0</v>
      </c>
      <c r="Z229" s="593">
        <v>1.7611399999999999</v>
      </c>
      <c r="AA229" s="596">
        <f t="shared" si="42"/>
        <v>0</v>
      </c>
      <c r="AB229" s="578"/>
      <c r="AC229" s="611"/>
      <c r="AD229" s="585"/>
      <c r="AE229" s="611"/>
      <c r="AF229" s="585"/>
      <c r="AG229" s="611"/>
      <c r="AH229" s="578"/>
      <c r="AI229" s="612"/>
      <c r="AJ229" s="613"/>
      <c r="AK229" s="600">
        <f t="shared" si="46"/>
        <v>0</v>
      </c>
      <c r="AL229" s="578"/>
      <c r="AM229" s="1150">
        <v>216</v>
      </c>
      <c r="AN229" s="1150">
        <v>140</v>
      </c>
      <c r="AO229" s="1150">
        <v>0</v>
      </c>
      <c r="AP229" s="593">
        <v>0.2036</v>
      </c>
      <c r="AQ229" s="595">
        <f t="shared" si="43"/>
        <v>72.4816</v>
      </c>
      <c r="AR229" s="578"/>
      <c r="AS229" s="601">
        <f t="shared" si="44"/>
        <v>6573.569263157895</v>
      </c>
      <c r="AT229" s="586"/>
      <c r="AU229" s="512"/>
      <c r="AV229" s="512"/>
      <c r="AW229" s="512">
        <f t="shared" si="38"/>
        <v>6573.569263157895</v>
      </c>
    </row>
    <row r="230" spans="1:49" ht="15" x14ac:dyDescent="0.25">
      <c r="A230" s="587" t="s">
        <v>427</v>
      </c>
      <c r="B230" s="587" t="s">
        <v>428</v>
      </c>
      <c r="C230" s="604" t="s">
        <v>429</v>
      </c>
      <c r="D230" s="578">
        <v>393352</v>
      </c>
      <c r="E230" s="605"/>
      <c r="F230" s="606"/>
      <c r="G230" s="499">
        <v>6006.461538461539</v>
      </c>
      <c r="H230" s="499">
        <v>4074</v>
      </c>
      <c r="I230" s="499">
        <v>5940</v>
      </c>
      <c r="J230" s="592">
        <f t="shared" si="39"/>
        <v>16020.461538461539</v>
      </c>
      <c r="K230" s="593"/>
      <c r="L230" s="594">
        <f t="shared" si="37"/>
        <v>16020.461538461539</v>
      </c>
      <c r="M230" s="610" t="s">
        <v>255</v>
      </c>
      <c r="N230" s="501">
        <f t="shared" si="40"/>
        <v>3.9013285001896651</v>
      </c>
      <c r="O230" s="595">
        <f t="shared" si="45"/>
        <v>62501</v>
      </c>
      <c r="P230" s="583"/>
      <c r="Q230" s="1149">
        <v>4292.3076923076924</v>
      </c>
      <c r="R230" s="1149">
        <v>3150</v>
      </c>
      <c r="S230" s="1149">
        <v>2494.2164210526316</v>
      </c>
      <c r="T230" s="593">
        <v>0.2036</v>
      </c>
      <c r="U230" s="595">
        <f t="shared" si="41"/>
        <v>2023.0763094801619</v>
      </c>
      <c r="V230" s="583"/>
      <c r="W230" s="432">
        <v>180.00000000000003</v>
      </c>
      <c r="X230" s="432">
        <v>840</v>
      </c>
      <c r="Y230" s="432">
        <v>0</v>
      </c>
      <c r="Z230" s="593">
        <v>1.7611399999999999</v>
      </c>
      <c r="AA230" s="596">
        <f t="shared" si="42"/>
        <v>1796.3627999999999</v>
      </c>
      <c r="AB230" s="578"/>
      <c r="AC230" s="611"/>
      <c r="AD230" s="585"/>
      <c r="AE230" s="611"/>
      <c r="AF230" s="585"/>
      <c r="AG230" s="611"/>
      <c r="AH230" s="578"/>
      <c r="AI230" s="612"/>
      <c r="AJ230" s="613"/>
      <c r="AK230" s="600">
        <f t="shared" si="46"/>
        <v>0</v>
      </c>
      <c r="AL230" s="578"/>
      <c r="AM230" s="1150">
        <v>0</v>
      </c>
      <c r="AN230" s="1150">
        <v>0</v>
      </c>
      <c r="AO230" s="1150">
        <v>0</v>
      </c>
      <c r="AP230" s="593">
        <v>0.2036</v>
      </c>
      <c r="AQ230" s="595">
        <f t="shared" si="43"/>
        <v>0</v>
      </c>
      <c r="AR230" s="578"/>
      <c r="AS230" s="601">
        <f t="shared" si="44"/>
        <v>66320.439109480169</v>
      </c>
      <c r="AT230" s="586"/>
      <c r="AU230" s="512"/>
      <c r="AV230" s="512"/>
      <c r="AW230" s="512">
        <f t="shared" si="38"/>
        <v>66320.439109480169</v>
      </c>
    </row>
    <row r="231" spans="1:49" ht="15" x14ac:dyDescent="0.25">
      <c r="A231" s="656" t="s">
        <v>430</v>
      </c>
      <c r="B231" s="587"/>
      <c r="C231" s="660" t="s">
        <v>431</v>
      </c>
      <c r="D231" s="578">
        <v>431769</v>
      </c>
      <c r="E231" s="605"/>
      <c r="F231" s="606"/>
      <c r="G231" s="499">
        <v>13500</v>
      </c>
      <c r="H231" s="499">
        <v>6300</v>
      </c>
      <c r="I231" s="499">
        <v>9180</v>
      </c>
      <c r="J231" s="592">
        <f t="shared" si="39"/>
        <v>28980</v>
      </c>
      <c r="K231" s="593"/>
      <c r="L231" s="594">
        <f t="shared" si="37"/>
        <v>28980</v>
      </c>
      <c r="M231" s="610" t="s">
        <v>240</v>
      </c>
      <c r="N231" s="501">
        <f t="shared" si="40"/>
        <v>3.9013285001896651</v>
      </c>
      <c r="O231" s="595">
        <f t="shared" si="45"/>
        <v>113060</v>
      </c>
      <c r="P231" s="583"/>
      <c r="Q231" s="1149">
        <v>2625</v>
      </c>
      <c r="R231" s="1149">
        <v>1341.4826498422713</v>
      </c>
      <c r="S231" s="1149">
        <v>1645.7558468899522</v>
      </c>
      <c r="T231" s="593">
        <v>0.2036</v>
      </c>
      <c r="U231" s="595">
        <f t="shared" si="41"/>
        <v>1142.6517579346807</v>
      </c>
      <c r="V231" s="583"/>
      <c r="W231" s="432">
        <v>0</v>
      </c>
      <c r="X231" s="432">
        <v>0</v>
      </c>
      <c r="Y231" s="432">
        <v>0</v>
      </c>
      <c r="Z231" s="593">
        <v>1.7611399999999999</v>
      </c>
      <c r="AA231" s="596">
        <f t="shared" si="42"/>
        <v>0</v>
      </c>
      <c r="AB231" s="578"/>
      <c r="AC231" s="611"/>
      <c r="AD231" s="585"/>
      <c r="AE231" s="611"/>
      <c r="AF231" s="585"/>
      <c r="AG231" s="611"/>
      <c r="AH231" s="578"/>
      <c r="AI231" s="612"/>
      <c r="AJ231" s="613"/>
      <c r="AK231" s="600">
        <f t="shared" si="46"/>
        <v>0</v>
      </c>
      <c r="AL231" s="578"/>
      <c r="AM231" s="1150">
        <v>0</v>
      </c>
      <c r="AN231" s="1150">
        <v>0</v>
      </c>
      <c r="AO231" s="1150">
        <v>0</v>
      </c>
      <c r="AP231" s="593">
        <v>0.2036</v>
      </c>
      <c r="AQ231" s="595">
        <f t="shared" si="43"/>
        <v>0</v>
      </c>
      <c r="AR231" s="578"/>
      <c r="AS231" s="601">
        <f t="shared" si="44"/>
        <v>114202.65175793468</v>
      </c>
      <c r="AT231" s="586"/>
      <c r="AU231" s="512"/>
      <c r="AV231" s="512"/>
      <c r="AW231" s="512">
        <f t="shared" si="38"/>
        <v>114202.65175793468</v>
      </c>
    </row>
    <row r="232" spans="1:49" ht="15" x14ac:dyDescent="0.25">
      <c r="A232" s="619" t="s">
        <v>432</v>
      </c>
      <c r="B232" s="661" t="s">
        <v>433</v>
      </c>
      <c r="C232" s="604" t="s">
        <v>433</v>
      </c>
      <c r="D232" s="578">
        <v>452684</v>
      </c>
      <c r="E232" s="605"/>
      <c r="F232" s="606"/>
      <c r="G232" s="499">
        <v>11520</v>
      </c>
      <c r="H232" s="499">
        <v>10290</v>
      </c>
      <c r="I232" s="499">
        <v>11160</v>
      </c>
      <c r="J232" s="592">
        <f t="shared" si="39"/>
        <v>32970</v>
      </c>
      <c r="K232" s="593"/>
      <c r="L232" s="594">
        <f t="shared" si="37"/>
        <v>32970</v>
      </c>
      <c r="M232" s="610" t="s">
        <v>240</v>
      </c>
      <c r="N232" s="501">
        <f t="shared" si="40"/>
        <v>3.9013285001896651</v>
      </c>
      <c r="O232" s="595">
        <f t="shared" si="45"/>
        <v>128627</v>
      </c>
      <c r="P232" s="583"/>
      <c r="Q232" s="1149">
        <v>12030.664928292046</v>
      </c>
      <c r="R232" s="1149">
        <v>9876.1425959780627</v>
      </c>
      <c r="S232" s="1149">
        <v>8284.3616842105275</v>
      </c>
      <c r="T232" s="593">
        <v>0.2036</v>
      </c>
      <c r="U232" s="595">
        <f t="shared" si="41"/>
        <v>6146.9220508466569</v>
      </c>
      <c r="V232" s="583"/>
      <c r="W232" s="432">
        <v>195.25423728813558</v>
      </c>
      <c r="X232" s="432">
        <v>0</v>
      </c>
      <c r="Y232" s="432">
        <v>0</v>
      </c>
      <c r="Z232" s="593">
        <v>1.7611399999999999</v>
      </c>
      <c r="AA232" s="596">
        <f t="shared" si="42"/>
        <v>343.87004745762709</v>
      </c>
      <c r="AB232" s="578"/>
      <c r="AC232" s="611"/>
      <c r="AD232" s="585"/>
      <c r="AE232" s="611"/>
      <c r="AF232" s="585"/>
      <c r="AG232" s="611"/>
      <c r="AH232" s="578"/>
      <c r="AI232" s="612"/>
      <c r="AJ232" s="613"/>
      <c r="AK232" s="600">
        <f t="shared" si="46"/>
        <v>0</v>
      </c>
      <c r="AL232" s="578"/>
      <c r="AM232" s="1150">
        <v>585.76271186440681</v>
      </c>
      <c r="AN232" s="1150">
        <v>0</v>
      </c>
      <c r="AO232" s="1150">
        <v>223.20000000000002</v>
      </c>
      <c r="AP232" s="593">
        <v>0.2036</v>
      </c>
      <c r="AQ232" s="595">
        <f t="shared" si="43"/>
        <v>164.70480813559323</v>
      </c>
      <c r="AR232" s="578"/>
      <c r="AS232" s="601">
        <f t="shared" si="44"/>
        <v>135282.49690643989</v>
      </c>
      <c r="AT232" s="586"/>
      <c r="AU232" s="512"/>
      <c r="AV232" s="512"/>
      <c r="AW232" s="512">
        <f t="shared" si="38"/>
        <v>135282.49690643989</v>
      </c>
    </row>
    <row r="233" spans="1:49" ht="15" x14ac:dyDescent="0.25">
      <c r="A233" s="587" t="s">
        <v>434</v>
      </c>
      <c r="B233" s="587" t="s">
        <v>435</v>
      </c>
      <c r="C233" s="589">
        <v>509204</v>
      </c>
      <c r="D233" s="578">
        <v>509204</v>
      </c>
      <c r="E233" s="662"/>
      <c r="F233" s="663"/>
      <c r="G233" s="499">
        <v>8100</v>
      </c>
      <c r="H233" s="499">
        <v>5250</v>
      </c>
      <c r="I233" s="499">
        <v>6840</v>
      </c>
      <c r="J233" s="592">
        <f t="shared" si="39"/>
        <v>20190</v>
      </c>
      <c r="K233" s="593"/>
      <c r="L233" s="594">
        <f t="shared" si="37"/>
        <v>20190</v>
      </c>
      <c r="M233" s="664" t="s">
        <v>240</v>
      </c>
      <c r="N233" s="501">
        <f t="shared" si="40"/>
        <v>3.9013285001896651</v>
      </c>
      <c r="O233" s="595">
        <f t="shared" si="45"/>
        <v>78768</v>
      </c>
      <c r="P233" s="583"/>
      <c r="Q233" s="1149">
        <v>176.94174757281553</v>
      </c>
      <c r="R233" s="1149">
        <v>0</v>
      </c>
      <c r="S233" s="1149">
        <v>1245.1468191268193</v>
      </c>
      <c r="T233" s="593">
        <v>0.2036</v>
      </c>
      <c r="U233" s="595">
        <f t="shared" si="41"/>
        <v>289.53723218004563</v>
      </c>
      <c r="V233" s="583"/>
      <c r="W233" s="432">
        <v>0</v>
      </c>
      <c r="X233" s="432">
        <v>0</v>
      </c>
      <c r="Y233" s="432">
        <v>0</v>
      </c>
      <c r="Z233" s="593">
        <v>1.7611399999999999</v>
      </c>
      <c r="AA233" s="596">
        <f t="shared" si="42"/>
        <v>0</v>
      </c>
      <c r="AB233" s="578"/>
      <c r="AC233" s="665"/>
      <c r="AD233" s="585"/>
      <c r="AE233" s="665"/>
      <c r="AF233" s="585"/>
      <c r="AG233" s="665"/>
      <c r="AH233" s="578"/>
      <c r="AI233" s="666"/>
      <c r="AJ233" s="667"/>
      <c r="AK233" s="600">
        <f t="shared" si="46"/>
        <v>0</v>
      </c>
      <c r="AL233" s="578"/>
      <c r="AM233" s="1150">
        <v>0</v>
      </c>
      <c r="AN233" s="1150">
        <v>0</v>
      </c>
      <c r="AO233" s="1150">
        <v>106.65280665280666</v>
      </c>
      <c r="AP233" s="593">
        <v>0.2036</v>
      </c>
      <c r="AQ233" s="595">
        <f t="shared" si="43"/>
        <v>21.714511434511437</v>
      </c>
      <c r="AR233" s="578"/>
      <c r="AS233" s="601">
        <f t="shared" si="44"/>
        <v>79079.251743614557</v>
      </c>
      <c r="AT233" s="586"/>
      <c r="AU233" s="512"/>
      <c r="AV233" s="512"/>
      <c r="AW233" s="512">
        <f t="shared" si="38"/>
        <v>79079.251743614557</v>
      </c>
    </row>
    <row r="234" spans="1:49" ht="15" x14ac:dyDescent="0.25">
      <c r="A234" s="575" t="s">
        <v>826</v>
      </c>
      <c r="B234" s="576"/>
      <c r="C234" s="577"/>
      <c r="D234" s="578"/>
      <c r="E234" s="579"/>
      <c r="F234" s="579"/>
      <c r="G234" s="580"/>
      <c r="H234" s="580"/>
      <c r="I234" s="580"/>
      <c r="J234" s="581"/>
      <c r="K234" s="579"/>
      <c r="L234" s="668"/>
      <c r="M234" s="579"/>
      <c r="N234" s="579"/>
      <c r="O234" s="582"/>
      <c r="P234" s="583"/>
      <c r="Q234" s="669"/>
      <c r="R234" s="669"/>
      <c r="S234" s="669"/>
      <c r="T234" s="579"/>
      <c r="U234" s="582"/>
      <c r="V234" s="670"/>
      <c r="W234" s="671"/>
      <c r="X234" s="671"/>
      <c r="Y234" s="671"/>
      <c r="Z234" s="579"/>
      <c r="AA234" s="580"/>
      <c r="AB234" s="578"/>
      <c r="AC234" s="584"/>
      <c r="AD234" s="585"/>
      <c r="AE234" s="584"/>
      <c r="AF234" s="585"/>
      <c r="AG234" s="584"/>
      <c r="AH234" s="578"/>
      <c r="AI234" s="579"/>
      <c r="AJ234" s="579"/>
      <c r="AK234" s="672"/>
      <c r="AL234" s="578"/>
      <c r="AM234" s="669"/>
      <c r="AN234" s="669"/>
      <c r="AO234" s="669"/>
      <c r="AP234" s="579"/>
      <c r="AQ234" s="582"/>
      <c r="AR234" s="578"/>
      <c r="AS234" s="601">
        <f t="shared" si="44"/>
        <v>0</v>
      </c>
      <c r="AT234" s="586"/>
      <c r="AU234" s="512">
        <v>80000</v>
      </c>
      <c r="AV234" s="512"/>
      <c r="AW234" s="512">
        <f t="shared" si="38"/>
        <v>80000</v>
      </c>
    </row>
    <row r="235" spans="1:49" ht="15" x14ac:dyDescent="0.25">
      <c r="A235" s="673" t="s">
        <v>827</v>
      </c>
      <c r="B235" s="674"/>
      <c r="C235" s="675"/>
      <c r="D235" s="676"/>
      <c r="E235" s="677"/>
      <c r="F235" s="678"/>
      <c r="G235" s="679">
        <f>SUM(G60:G234)</f>
        <v>496145.3076923078</v>
      </c>
      <c r="H235" s="680">
        <f>SUM(H60:H234)</f>
        <v>386526</v>
      </c>
      <c r="I235" s="680">
        <f>SUM(I60:I233)</f>
        <v>425511</v>
      </c>
      <c r="J235" s="681">
        <f>SUM(J60:J234)</f>
        <v>1308182.3076923075</v>
      </c>
      <c r="K235" s="682"/>
      <c r="L235" s="681">
        <f>SUM(L60:L234)</f>
        <v>1308182.3076923075</v>
      </c>
      <c r="M235" s="678"/>
      <c r="N235" s="678"/>
      <c r="O235" s="683">
        <f>SUM(O60:O234)</f>
        <v>5103647</v>
      </c>
      <c r="P235" s="684"/>
      <c r="Q235" s="685">
        <f>SUM(Q60:Q234)</f>
        <v>504940.86773289094</v>
      </c>
      <c r="R235" s="685">
        <f>SUM(R60:R234)</f>
        <v>412206.13700645813</v>
      </c>
      <c r="S235" s="685">
        <f>SUM(S60:S234)</f>
        <v>356251.16272902908</v>
      </c>
      <c r="T235" s="678"/>
      <c r="U235" s="683">
        <f>SUM(U60:U234)</f>
        <v>259263.86689656175</v>
      </c>
      <c r="V235" s="684"/>
      <c r="W235" s="685">
        <f>SUM(W60:W234)</f>
        <v>9550.1463340771479</v>
      </c>
      <c r="X235" s="685">
        <f>SUM(X60:X234)</f>
        <v>10624.687936245051</v>
      </c>
      <c r="Y235" s="685">
        <f>SUM(Y60:Y234)</f>
        <v>9210.2809499921641</v>
      </c>
      <c r="Z235" s="678"/>
      <c r="AA235" s="686">
        <f>SUM(AA60:AA234)</f>
        <v>51751.30181910441</v>
      </c>
      <c r="AB235" s="676"/>
      <c r="AC235" s="687">
        <f>SUM(AC60:AC234)</f>
        <v>0</v>
      </c>
      <c r="AD235" s="676"/>
      <c r="AE235" s="687">
        <f>SUM(AE60:AE234)</f>
        <v>0</v>
      </c>
      <c r="AF235" s="676"/>
      <c r="AG235" s="687">
        <f>SUM(AG60:AG234)</f>
        <v>0</v>
      </c>
      <c r="AH235" s="676"/>
      <c r="AI235" s="678"/>
      <c r="AJ235" s="678"/>
      <c r="AK235" s="683">
        <f>SUM(AK60:AK234)</f>
        <v>0</v>
      </c>
      <c r="AL235" s="676"/>
      <c r="AM235" s="685">
        <f>SUM(AM60:AM234)</f>
        <v>41865.401227114133</v>
      </c>
      <c r="AN235" s="685">
        <f>SUM(AN60:AN234)</f>
        <v>40438.706565890512</v>
      </c>
      <c r="AO235" s="685">
        <f>SUM(AO60:AO234)</f>
        <v>53799.199986182291</v>
      </c>
      <c r="AP235" s="678"/>
      <c r="AQ235" s="683">
        <f>SUM(AQ60:AQ234)</f>
        <v>27710.633463842463</v>
      </c>
      <c r="AR235" s="676"/>
      <c r="AS235" s="512">
        <f>SUM(AS60:AS234)</f>
        <v>5442372.8021795088</v>
      </c>
      <c r="AT235" s="688"/>
      <c r="AU235" s="512">
        <f>SUM(AU60:AU234)</f>
        <v>80000</v>
      </c>
      <c r="AV235" s="512">
        <f>SUM(AV60:AV234)</f>
        <v>0</v>
      </c>
      <c r="AW235" s="512">
        <f>SUM(AW60:AW234)</f>
        <v>5522372.8021795088</v>
      </c>
    </row>
    <row r="236" spans="1:49" ht="12.75" x14ac:dyDescent="0.2">
      <c r="A236" s="690" t="s">
        <v>116</v>
      </c>
      <c r="B236" s="690"/>
      <c r="C236" s="691" t="s">
        <v>117</v>
      </c>
      <c r="D236" s="588"/>
      <c r="E236" s="692">
        <f t="shared" ref="E236:AW236" si="47">E235+E55</f>
        <v>62358</v>
      </c>
      <c r="F236" s="692">
        <f t="shared" si="47"/>
        <v>1870740</v>
      </c>
      <c r="G236" s="692">
        <f t="shared" si="47"/>
        <v>962759.30769230775</v>
      </c>
      <c r="H236" s="692">
        <f t="shared" si="47"/>
        <v>783741</v>
      </c>
      <c r="I236" s="692">
        <f t="shared" si="47"/>
        <v>820431</v>
      </c>
      <c r="J236" s="692">
        <f t="shared" si="47"/>
        <v>2566931.3076923075</v>
      </c>
      <c r="K236" s="692">
        <f t="shared" si="47"/>
        <v>0</v>
      </c>
      <c r="L236" s="692">
        <f t="shared" si="47"/>
        <v>2566931.3076923075</v>
      </c>
      <c r="M236" s="692">
        <f t="shared" si="47"/>
        <v>0</v>
      </c>
      <c r="N236" s="692">
        <f t="shared" si="47"/>
        <v>0</v>
      </c>
      <c r="O236" s="692">
        <f t="shared" si="47"/>
        <v>10323285</v>
      </c>
      <c r="P236" s="692">
        <f t="shared" si="47"/>
        <v>0</v>
      </c>
      <c r="Q236" s="692">
        <f t="shared" si="47"/>
        <v>1241678.2190578477</v>
      </c>
      <c r="R236" s="692">
        <f t="shared" si="47"/>
        <v>1035647.5633690124</v>
      </c>
      <c r="S236" s="692">
        <f t="shared" si="47"/>
        <v>1063119.1755730605</v>
      </c>
      <c r="T236" s="692">
        <f t="shared" si="47"/>
        <v>0</v>
      </c>
      <c r="U236" s="692">
        <f t="shared" si="47"/>
        <v>680114.59344878374</v>
      </c>
      <c r="V236" s="692">
        <f t="shared" si="47"/>
        <v>0</v>
      </c>
      <c r="W236" s="692">
        <f t="shared" si="47"/>
        <v>24115.037064668926</v>
      </c>
      <c r="X236" s="692">
        <f t="shared" si="47"/>
        <v>20567.776471686288</v>
      </c>
      <c r="Y236" s="692">
        <f t="shared" si="47"/>
        <v>22695.268899345348</v>
      </c>
      <c r="Z236" s="692">
        <f t="shared" si="47"/>
        <v>0</v>
      </c>
      <c r="AA236" s="692">
        <f t="shared" si="47"/>
        <v>118662.23610080966</v>
      </c>
      <c r="AB236" s="692">
        <f t="shared" si="47"/>
        <v>0</v>
      </c>
      <c r="AC236" s="692">
        <f t="shared" si="47"/>
        <v>252055</v>
      </c>
      <c r="AD236" s="692">
        <f t="shared" si="47"/>
        <v>0</v>
      </c>
      <c r="AE236" s="692">
        <f t="shared" si="47"/>
        <v>0</v>
      </c>
      <c r="AF236" s="692">
        <f t="shared" si="47"/>
        <v>0</v>
      </c>
      <c r="AG236" s="692">
        <f t="shared" si="47"/>
        <v>70050.816250000003</v>
      </c>
      <c r="AH236" s="692">
        <f t="shared" si="47"/>
        <v>0</v>
      </c>
      <c r="AI236" s="692">
        <f t="shared" si="47"/>
        <v>7</v>
      </c>
      <c r="AJ236" s="692">
        <f t="shared" si="47"/>
        <v>0</v>
      </c>
      <c r="AK236" s="692">
        <f t="shared" si="47"/>
        <v>700000</v>
      </c>
      <c r="AL236" s="692">
        <f t="shared" si="47"/>
        <v>0</v>
      </c>
      <c r="AM236" s="692">
        <f t="shared" si="47"/>
        <v>178057.25449823547</v>
      </c>
      <c r="AN236" s="692">
        <f t="shared" si="47"/>
        <v>127808.95241353769</v>
      </c>
      <c r="AO236" s="692">
        <f t="shared" si="47"/>
        <v>173487.92687642964</v>
      </c>
      <c r="AP236" s="692">
        <f t="shared" si="47"/>
        <v>0</v>
      </c>
      <c r="AQ236" s="692">
        <f t="shared" si="47"/>
        <v>97596.501639278096</v>
      </c>
      <c r="AR236" s="692">
        <f t="shared" si="47"/>
        <v>0</v>
      </c>
      <c r="AS236" s="692">
        <f t="shared" si="47"/>
        <v>12241764.147438873</v>
      </c>
      <c r="AT236" s="692">
        <f t="shared" si="47"/>
        <v>0</v>
      </c>
      <c r="AU236" s="692">
        <f t="shared" si="47"/>
        <v>80000</v>
      </c>
      <c r="AV236" s="692">
        <f t="shared" si="47"/>
        <v>59114.5</v>
      </c>
      <c r="AW236" s="692">
        <f t="shared" si="47"/>
        <v>12380878.647438873</v>
      </c>
    </row>
    <row r="237" spans="1:49" ht="12.75" x14ac:dyDescent="0.2">
      <c r="A237" s="587"/>
      <c r="B237" s="588"/>
      <c r="C237" s="694"/>
      <c r="D237" s="588"/>
      <c r="E237" s="695"/>
      <c r="F237" s="695"/>
      <c r="G237" s="696"/>
      <c r="H237" s="696"/>
      <c r="I237" s="696"/>
      <c r="J237" s="692"/>
      <c r="K237" s="695"/>
      <c r="L237" s="695"/>
      <c r="M237" s="695"/>
      <c r="N237" s="695"/>
      <c r="O237" s="692"/>
      <c r="P237" s="695"/>
      <c r="Q237" s="695"/>
      <c r="R237" s="695"/>
      <c r="S237" s="695"/>
      <c r="T237" s="695"/>
      <c r="U237" s="692"/>
      <c r="V237" s="695"/>
      <c r="W237" s="695"/>
      <c r="X237" s="695"/>
      <c r="Y237" s="695"/>
      <c r="Z237" s="695"/>
      <c r="AA237" s="696"/>
      <c r="AB237" s="588"/>
      <c r="AC237" s="697"/>
      <c r="AD237" s="588"/>
      <c r="AE237" s="697"/>
      <c r="AF237" s="588"/>
      <c r="AG237" s="697"/>
      <c r="AH237" s="588"/>
      <c r="AI237" s="695"/>
      <c r="AJ237" s="695"/>
      <c r="AK237" s="692"/>
      <c r="AL237" s="588"/>
      <c r="AM237" s="695"/>
      <c r="AN237" s="695"/>
      <c r="AO237" s="695"/>
      <c r="AP237" s="695"/>
      <c r="AQ237" s="692"/>
      <c r="AR237" s="588"/>
      <c r="AS237" s="692"/>
      <c r="AT237" s="588"/>
      <c r="AU237" s="698"/>
      <c r="AV237" s="698"/>
      <c r="AW237" s="698"/>
    </row>
    <row r="238" spans="1:49" ht="12.75" x14ac:dyDescent="0.2">
      <c r="A238" s="608" t="s">
        <v>828</v>
      </c>
      <c r="B238" s="699"/>
      <c r="C238" s="700"/>
      <c r="D238" s="587"/>
      <c r="E238" s="701"/>
      <c r="F238" s="701"/>
      <c r="G238" s="702"/>
      <c r="H238" s="702"/>
      <c r="I238" s="702"/>
      <c r="J238" s="703"/>
      <c r="K238" s="701"/>
      <c r="L238" s="701"/>
      <c r="M238" s="701"/>
      <c r="N238" s="701"/>
      <c r="O238" s="703"/>
      <c r="P238" s="701"/>
      <c r="Q238" s="587">
        <f>Q235*0.2036</f>
        <v>102805.96067041659</v>
      </c>
      <c r="R238" s="587">
        <f>R235*0.2036</f>
        <v>83925.169494514877</v>
      </c>
      <c r="S238" s="587">
        <f>S235*0.2036</f>
        <v>72532.736731630328</v>
      </c>
      <c r="T238" s="701"/>
      <c r="U238" s="704">
        <f>U236/L236</f>
        <v>0.26495239331519643</v>
      </c>
      <c r="V238" s="701"/>
      <c r="W238" s="701"/>
      <c r="X238" s="701"/>
      <c r="Y238" s="701"/>
      <c r="Z238" s="701"/>
      <c r="AA238" s="702"/>
      <c r="AB238" s="587"/>
      <c r="AC238" s="704"/>
      <c r="AD238" s="587"/>
      <c r="AE238" s="704"/>
      <c r="AF238" s="587"/>
      <c r="AG238" s="704"/>
      <c r="AH238" s="587"/>
      <c r="AI238" s="701"/>
      <c r="AJ238" s="701"/>
      <c r="AK238" s="703"/>
      <c r="AL238" s="587"/>
      <c r="AM238" s="701"/>
      <c r="AN238" s="701"/>
      <c r="AO238" s="701"/>
      <c r="AP238" s="701"/>
      <c r="AQ238" s="703"/>
      <c r="AR238" s="587"/>
      <c r="AS238" s="703"/>
      <c r="AT238" s="587"/>
      <c r="AU238" s="698"/>
      <c r="AV238" s="698"/>
      <c r="AW238" s="698">
        <f>AW236-AG236-AC236-AV236</f>
        <v>11999658.331188872</v>
      </c>
    </row>
    <row r="239" spans="1:49" ht="12.75" x14ac:dyDescent="0.2">
      <c r="A239" s="608" t="s">
        <v>608</v>
      </c>
      <c r="B239" s="699">
        <f>O235</f>
        <v>5103647</v>
      </c>
      <c r="C239" s="700"/>
      <c r="D239" s="587"/>
      <c r="E239" s="699"/>
      <c r="F239" s="701"/>
      <c r="G239" s="702"/>
      <c r="H239" s="702"/>
      <c r="I239" s="702"/>
      <c r="J239" s="703"/>
      <c r="K239" s="701"/>
      <c r="L239" s="701"/>
      <c r="M239" s="701"/>
      <c r="N239" s="701"/>
      <c r="O239" s="703"/>
      <c r="P239" s="701"/>
      <c r="Q239" s="703">
        <f>BF238</f>
        <v>0</v>
      </c>
      <c r="R239" s="703">
        <f t="shared" ref="R239:S239" si="48">BG238</f>
        <v>0</v>
      </c>
      <c r="S239" s="703">
        <f t="shared" si="48"/>
        <v>0</v>
      </c>
      <c r="T239" s="701"/>
      <c r="U239" s="703"/>
      <c r="V239" s="701"/>
      <c r="W239" s="703"/>
      <c r="X239" s="703"/>
      <c r="Y239" s="703"/>
      <c r="Z239" s="701"/>
      <c r="AA239" s="703"/>
      <c r="AB239" s="587"/>
      <c r="AC239" s="703"/>
      <c r="AD239" s="587"/>
      <c r="AE239" s="703"/>
      <c r="AF239" s="587"/>
      <c r="AG239" s="703"/>
      <c r="AH239" s="587"/>
      <c r="AI239" s="701"/>
      <c r="AJ239" s="701"/>
      <c r="AK239" s="703"/>
      <c r="AL239" s="587"/>
      <c r="AM239" s="703">
        <v>40967</v>
      </c>
      <c r="AN239" s="703">
        <v>30445</v>
      </c>
      <c r="AO239" s="703">
        <v>39784.25</v>
      </c>
      <c r="AP239" s="701"/>
      <c r="AQ239" s="703"/>
      <c r="AR239" s="587"/>
      <c r="AS239" s="703"/>
      <c r="AT239" s="587"/>
      <c r="AU239" s="703"/>
      <c r="AV239" s="703"/>
      <c r="AW239" s="703"/>
    </row>
    <row r="240" spans="1:49" ht="12.75" x14ac:dyDescent="0.2">
      <c r="A240" s="608" t="s">
        <v>829</v>
      </c>
      <c r="B240" s="699">
        <f>U235</f>
        <v>259263.86689656175</v>
      </c>
      <c r="C240" s="700"/>
      <c r="D240" s="587"/>
      <c r="E240" s="699"/>
      <c r="F240" s="587"/>
      <c r="G240" s="699"/>
      <c r="H240" s="699"/>
      <c r="I240" s="699"/>
      <c r="J240" s="698"/>
      <c r="K240" s="587"/>
      <c r="L240" s="587"/>
      <c r="M240" s="587"/>
      <c r="N240" s="587"/>
      <c r="O240" s="587"/>
      <c r="P240" s="587"/>
      <c r="Q240" s="587">
        <f>BJ238</f>
        <v>0</v>
      </c>
      <c r="R240" s="587">
        <f t="shared" ref="R240:S240" si="49">BK238</f>
        <v>0</v>
      </c>
      <c r="S240" s="587">
        <f t="shared" si="49"/>
        <v>0</v>
      </c>
      <c r="T240" s="587"/>
      <c r="U240" s="587"/>
      <c r="V240" s="587"/>
      <c r="W240" s="587"/>
      <c r="X240" s="587"/>
      <c r="Y240" s="587"/>
      <c r="Z240" s="587"/>
      <c r="AA240" s="587"/>
      <c r="AB240" s="587"/>
      <c r="AC240" s="587"/>
      <c r="AD240" s="587"/>
      <c r="AE240" s="587"/>
      <c r="AF240" s="587"/>
      <c r="AG240" s="587"/>
      <c r="AH240" s="587"/>
      <c r="AI240" s="587"/>
      <c r="AJ240" s="587"/>
      <c r="AK240" s="587"/>
      <c r="AL240" s="587"/>
      <c r="AM240" s="587">
        <f>AM239/11*12</f>
        <v>44691.272727272728</v>
      </c>
      <c r="AN240" s="587"/>
      <c r="AO240" s="587">
        <f>AO235/11*12</f>
        <v>58690.036348562498</v>
      </c>
      <c r="AP240" s="587"/>
      <c r="AQ240" s="587"/>
      <c r="AR240" s="587"/>
      <c r="AS240" s="587"/>
      <c r="AT240" s="587"/>
      <c r="AU240" s="698"/>
      <c r="AV240" s="698"/>
      <c r="AW240" s="587"/>
    </row>
    <row r="241" spans="1:53" ht="12.75" x14ac:dyDescent="0.2">
      <c r="A241" s="608" t="s">
        <v>830</v>
      </c>
      <c r="B241" s="699">
        <f>AA235</f>
        <v>51751.30181910441</v>
      </c>
      <c r="C241" s="700"/>
      <c r="D241" s="587"/>
      <c r="E241" s="699"/>
      <c r="F241" s="701"/>
      <c r="G241" s="702"/>
      <c r="H241" s="702"/>
      <c r="I241" s="702"/>
      <c r="J241" s="703"/>
      <c r="K241" s="701"/>
      <c r="L241" s="701"/>
      <c r="M241" s="701"/>
      <c r="N241" s="701"/>
      <c r="O241" s="703"/>
      <c r="P241" s="701"/>
      <c r="Q241" s="701"/>
      <c r="R241" s="701"/>
      <c r="S241" s="701"/>
      <c r="T241" s="701"/>
      <c r="U241" s="703"/>
      <c r="V241" s="701"/>
      <c r="W241" s="701"/>
      <c r="X241" s="701"/>
      <c r="Y241" s="701"/>
      <c r="Z241" s="701"/>
      <c r="AA241" s="702"/>
      <c r="AB241" s="587"/>
      <c r="AC241" s="704"/>
      <c r="AD241" s="587"/>
      <c r="AE241" s="704"/>
      <c r="AF241" s="587"/>
      <c r="AG241" s="704"/>
      <c r="AH241" s="587"/>
      <c r="AI241" s="701"/>
      <c r="AJ241" s="701"/>
      <c r="AK241" s="703"/>
      <c r="AL241" s="587"/>
      <c r="AM241" s="701"/>
      <c r="AN241" s="701"/>
      <c r="AO241" s="701"/>
      <c r="AP241" s="701"/>
      <c r="AQ241" s="703"/>
      <c r="AR241" s="587"/>
      <c r="AS241" s="703"/>
      <c r="AT241" s="587"/>
      <c r="AU241" s="698"/>
      <c r="AV241" s="698"/>
      <c r="AW241" s="698"/>
    </row>
    <row r="242" spans="1:53" ht="12.75" x14ac:dyDescent="0.2">
      <c r="A242" s="608" t="s">
        <v>187</v>
      </c>
      <c r="B242" s="706">
        <f>AQ235</f>
        <v>27710.633463842463</v>
      </c>
      <c r="C242" s="700"/>
      <c r="D242" s="608"/>
      <c r="E242" s="706"/>
      <c r="F242" s="707"/>
      <c r="G242" s="708"/>
      <c r="H242" s="708"/>
      <c r="I242" s="708"/>
      <c r="J242" s="709"/>
      <c r="K242" s="709"/>
      <c r="L242" s="709"/>
      <c r="M242" s="709"/>
      <c r="N242" s="709"/>
      <c r="O242" s="709"/>
      <c r="P242" s="709"/>
      <c r="Q242" s="709"/>
      <c r="R242" s="709"/>
      <c r="S242" s="709"/>
      <c r="T242" s="709"/>
      <c r="U242" s="709"/>
      <c r="V242" s="709"/>
      <c r="W242" s="709"/>
      <c r="X242" s="709"/>
      <c r="Y242" s="709"/>
      <c r="Z242" s="709"/>
      <c r="AA242" s="709"/>
      <c r="AB242" s="709"/>
      <c r="AC242" s="709"/>
      <c r="AD242" s="709"/>
      <c r="AE242" s="709"/>
      <c r="AF242" s="709"/>
      <c r="AG242" s="709"/>
      <c r="AH242" s="709"/>
      <c r="AI242" s="709"/>
      <c r="AJ242" s="709"/>
      <c r="AK242" s="709"/>
      <c r="AL242" s="709"/>
      <c r="AM242" s="709"/>
      <c r="AN242" s="709"/>
      <c r="AO242" s="709"/>
      <c r="AP242" s="709"/>
      <c r="AQ242" s="709"/>
      <c r="AR242" s="709"/>
      <c r="AS242" s="709"/>
      <c r="AT242" s="709"/>
      <c r="AU242" s="709"/>
      <c r="AV242" s="709"/>
      <c r="AW242" s="709">
        <v>11795909.712313173</v>
      </c>
    </row>
    <row r="243" spans="1:53" ht="12.75" x14ac:dyDescent="0.2">
      <c r="A243" s="608" t="s">
        <v>189</v>
      </c>
      <c r="B243" s="706">
        <f>AG236</f>
        <v>70050.816250000003</v>
      </c>
      <c r="C243" s="700"/>
      <c r="D243" s="608"/>
      <c r="E243" s="706"/>
      <c r="F243" s="707"/>
      <c r="G243" s="708"/>
      <c r="H243" s="708"/>
      <c r="I243" s="708"/>
      <c r="J243" s="709"/>
      <c r="K243" s="709"/>
      <c r="L243" s="709"/>
      <c r="M243" s="709"/>
      <c r="N243" s="709"/>
      <c r="O243" s="709"/>
      <c r="P243" s="709"/>
      <c r="Q243" s="709"/>
      <c r="R243" s="709"/>
      <c r="S243" s="709"/>
      <c r="T243" s="709"/>
      <c r="U243" s="709"/>
      <c r="V243" s="709"/>
      <c r="W243" s="709"/>
      <c r="X243" s="709"/>
      <c r="Y243" s="709"/>
      <c r="Z243" s="709"/>
      <c r="AA243" s="709"/>
      <c r="AB243" s="709"/>
      <c r="AC243" s="709"/>
      <c r="AD243" s="709"/>
      <c r="AE243" s="709"/>
      <c r="AF243" s="709"/>
      <c r="AG243" s="709"/>
      <c r="AH243" s="709"/>
      <c r="AI243" s="709"/>
      <c r="AJ243" s="709"/>
      <c r="AK243" s="709"/>
      <c r="AL243" s="709"/>
      <c r="AM243" s="709"/>
      <c r="AN243" s="709"/>
      <c r="AO243" s="709"/>
      <c r="AP243" s="709"/>
      <c r="AQ243" s="709"/>
      <c r="AR243" s="709"/>
      <c r="AS243" s="709"/>
      <c r="AT243" s="709"/>
      <c r="AU243" s="709"/>
      <c r="AV243" s="709"/>
      <c r="AW243" s="709">
        <f>AW236-AW242</f>
        <v>584968.93512569927</v>
      </c>
    </row>
    <row r="244" spans="1:53" ht="12.75" x14ac:dyDescent="0.2">
      <c r="A244" s="608" t="s">
        <v>76</v>
      </c>
      <c r="B244" s="706">
        <f>AU236</f>
        <v>80000</v>
      </c>
      <c r="C244" s="700"/>
      <c r="D244" s="608"/>
      <c r="E244" s="706"/>
      <c r="F244" s="707"/>
      <c r="G244" s="708"/>
      <c r="H244" s="708"/>
      <c r="I244" s="708"/>
      <c r="J244" s="709"/>
      <c r="K244" s="709"/>
      <c r="L244" s="709"/>
      <c r="M244" s="709"/>
      <c r="N244" s="709"/>
      <c r="O244" s="709"/>
      <c r="P244" s="709"/>
      <c r="Q244" s="709"/>
      <c r="R244" s="709"/>
      <c r="S244" s="709"/>
      <c r="T244" s="709"/>
      <c r="U244" s="709"/>
      <c r="V244" s="709"/>
      <c r="W244" s="709"/>
      <c r="X244" s="709"/>
      <c r="Y244" s="709"/>
      <c r="Z244" s="709"/>
      <c r="AA244" s="709"/>
      <c r="AB244" s="709"/>
      <c r="AC244" s="709"/>
      <c r="AD244" s="709"/>
      <c r="AE244" s="709"/>
      <c r="AF244" s="709"/>
      <c r="AG244" s="709"/>
      <c r="AH244" s="709"/>
      <c r="AI244" s="709"/>
      <c r="AJ244" s="709"/>
      <c r="AK244" s="709"/>
      <c r="AL244" s="709"/>
      <c r="AM244" s="709"/>
      <c r="AN244" s="709"/>
      <c r="AO244" s="709"/>
      <c r="AP244" s="709"/>
      <c r="AQ244" s="709"/>
      <c r="AR244" s="709"/>
      <c r="AS244" s="709"/>
      <c r="AT244" s="709"/>
      <c r="AU244" s="709"/>
      <c r="AV244" s="709"/>
      <c r="AW244" s="709"/>
    </row>
    <row r="245" spans="1:53" ht="12.75" x14ac:dyDescent="0.2">
      <c r="A245" s="711" t="s">
        <v>147</v>
      </c>
      <c r="B245" s="712">
        <f>SUM(B239:B242)</f>
        <v>5442372.8021795088</v>
      </c>
      <c r="C245" s="713"/>
      <c r="D245" s="587"/>
      <c r="E245" s="712"/>
      <c r="F245" s="701"/>
      <c r="G245" s="702"/>
      <c r="H245" s="702"/>
      <c r="I245" s="702"/>
      <c r="J245" s="703"/>
      <c r="K245" s="701"/>
      <c r="L245" s="701"/>
      <c r="M245" s="701"/>
      <c r="N245" s="701"/>
      <c r="O245" s="703"/>
      <c r="P245" s="701"/>
      <c r="Q245" s="701"/>
      <c r="R245" s="701"/>
      <c r="S245" s="701"/>
      <c r="T245" s="701"/>
      <c r="U245" s="703"/>
      <c r="V245" s="701"/>
      <c r="W245" s="701"/>
      <c r="X245" s="701"/>
      <c r="Y245" s="701"/>
      <c r="Z245" s="701"/>
      <c r="AA245" s="702"/>
      <c r="AB245" s="587"/>
      <c r="AC245" s="704"/>
      <c r="AD245" s="587"/>
      <c r="AE245" s="704"/>
      <c r="AF245" s="587"/>
      <c r="AG245" s="704"/>
      <c r="AH245" s="587"/>
      <c r="AI245" s="701"/>
      <c r="AJ245" s="701"/>
      <c r="AK245" s="703"/>
      <c r="AL245" s="587"/>
      <c r="AM245" s="701"/>
      <c r="AN245" s="701"/>
      <c r="AO245" s="701"/>
      <c r="AP245" s="701"/>
      <c r="AQ245" s="703"/>
      <c r="AR245" s="587"/>
      <c r="AS245" s="703"/>
      <c r="AT245" s="587"/>
      <c r="AU245" s="698"/>
      <c r="AV245" s="698"/>
      <c r="AW245" s="698"/>
    </row>
    <row r="246" spans="1:53" ht="12.75" x14ac:dyDescent="0.2">
      <c r="A246" s="439" t="s">
        <v>647</v>
      </c>
      <c r="B246" s="515">
        <f>AU236</f>
        <v>80000</v>
      </c>
    </row>
    <row r="247" spans="1:53" ht="12.75" x14ac:dyDescent="0.2">
      <c r="B247" s="714">
        <f>B246+B245</f>
        <v>5522372.8021795088</v>
      </c>
      <c r="G247" s="432"/>
    </row>
    <row r="248" spans="1:53" ht="12.75" x14ac:dyDescent="0.2">
      <c r="G248" s="432"/>
      <c r="H248" s="541"/>
      <c r="I248" s="541"/>
      <c r="J248" s="715"/>
      <c r="K248" s="541"/>
    </row>
    <row r="249" spans="1:53" ht="12.75" x14ac:dyDescent="0.2">
      <c r="A249" s="439" t="s">
        <v>195</v>
      </c>
      <c r="B249" s="513">
        <f>SUMIF(M:M,A249,L:L)</f>
        <v>271386</v>
      </c>
      <c r="C249" s="429" t="s">
        <v>608</v>
      </c>
      <c r="G249" s="513">
        <f t="shared" ref="G249:I252" si="50">SUMIF($M:$M,$A249,G:G)</f>
        <v>94536</v>
      </c>
      <c r="H249" s="513">
        <f t="shared" si="50"/>
        <v>88830</v>
      </c>
      <c r="I249" s="513">
        <f t="shared" si="50"/>
        <v>88020</v>
      </c>
      <c r="J249" s="715"/>
      <c r="K249" s="541"/>
      <c r="O249" s="513">
        <f>SUMIF($M:$M,$A249,O:O)</f>
        <v>1519545</v>
      </c>
      <c r="U249" s="513">
        <f>SUMIF($M:$M,$A249,U:U)</f>
        <v>109267.5642708129</v>
      </c>
      <c r="AA249" s="513">
        <f>SUMIF($M:$M,$A249,AA:AA)</f>
        <v>18106.396251209189</v>
      </c>
      <c r="AQ249" s="513">
        <f t="shared" ref="AQ249:AS252" si="51">SUMIF($M:$M,$A249,AQ:AQ)</f>
        <v>17557.940767750311</v>
      </c>
      <c r="AR249" s="513">
        <f t="shared" si="51"/>
        <v>0</v>
      </c>
      <c r="AS249" s="513">
        <f t="shared" si="51"/>
        <v>2686582.7175397724</v>
      </c>
      <c r="AV249" s="513">
        <f>SUMIF($M:$M,$A249,AV:AV)</f>
        <v>59114.5</v>
      </c>
      <c r="AX249" s="513">
        <f>SUMIF($M:$M,$A249,AX:AX)</f>
        <v>0</v>
      </c>
      <c r="AY249" s="437"/>
      <c r="AZ249" s="428"/>
      <c r="BA249" s="438"/>
    </row>
    <row r="250" spans="1:53" ht="12.75" x14ac:dyDescent="0.2">
      <c r="A250" s="439" t="s">
        <v>192</v>
      </c>
      <c r="B250" s="513">
        <f>SUMIF(M:M,A250,L:L)</f>
        <v>987363</v>
      </c>
      <c r="C250" s="429" t="s">
        <v>608</v>
      </c>
      <c r="G250" s="513">
        <f t="shared" si="50"/>
        <v>372078</v>
      </c>
      <c r="H250" s="513">
        <f t="shared" si="50"/>
        <v>308385</v>
      </c>
      <c r="I250" s="513">
        <f t="shared" si="50"/>
        <v>306900</v>
      </c>
      <c r="J250" s="715"/>
      <c r="K250" s="541"/>
      <c r="O250" s="513">
        <f>SUMIF($M:$M,$A250,O:O)</f>
        <v>3700093</v>
      </c>
      <c r="U250" s="513">
        <f>SUMIF($M:$M,$A250,U:U)</f>
        <v>311583.1622814092</v>
      </c>
      <c r="AA250" s="513">
        <f>SUMIF($M:$M,$A250,AA:AA)</f>
        <v>48804.538030496064</v>
      </c>
      <c r="AQ250" s="513">
        <f t="shared" si="51"/>
        <v>52327.927407685318</v>
      </c>
      <c r="AR250" s="513">
        <f t="shared" si="51"/>
        <v>0</v>
      </c>
      <c r="AS250" s="513">
        <f t="shared" si="51"/>
        <v>4112808.62771959</v>
      </c>
      <c r="AV250" s="513">
        <f>SUMIF($M:$M,$A250,AV:AV)</f>
        <v>0</v>
      </c>
      <c r="AX250" s="513">
        <f>SUMIF($M:$M,$A250,AX:AX)</f>
        <v>0</v>
      </c>
      <c r="AY250" s="437"/>
      <c r="AZ250" s="428"/>
      <c r="BA250" s="438"/>
    </row>
    <row r="251" spans="1:53" ht="12.75" x14ac:dyDescent="0.2">
      <c r="A251" s="439" t="s">
        <v>255</v>
      </c>
      <c r="B251" s="513">
        <f>SUMIF(M:M,A251,L:L)</f>
        <v>374714.92307692312</v>
      </c>
      <c r="C251" s="429" t="s">
        <v>608</v>
      </c>
      <c r="G251" s="513">
        <f t="shared" si="50"/>
        <v>143445.92307692306</v>
      </c>
      <c r="H251" s="513">
        <f t="shared" si="50"/>
        <v>106211</v>
      </c>
      <c r="I251" s="513">
        <f t="shared" si="50"/>
        <v>125058</v>
      </c>
      <c r="J251" s="715"/>
      <c r="K251" s="541"/>
      <c r="O251" s="513">
        <f>SUMIF($M:$M,$A251,O:O)</f>
        <v>1461885</v>
      </c>
      <c r="U251" s="513">
        <f>SUMIF($M:$M,$A251,U:U)</f>
        <v>55247.227745531221</v>
      </c>
      <c r="AA251" s="513">
        <f>SUMIF($M:$M,$A251,AA:AA)</f>
        <v>15137.81892731383</v>
      </c>
      <c r="AQ251" s="513">
        <f t="shared" si="51"/>
        <v>7469.6629896488075</v>
      </c>
      <c r="AR251" s="513">
        <f t="shared" si="51"/>
        <v>0</v>
      </c>
      <c r="AS251" s="513">
        <f t="shared" si="51"/>
        <v>1539739.7096624938</v>
      </c>
      <c r="AV251" s="513">
        <f>SUMIF($M:$M,$A251,AV:AV)</f>
        <v>0</v>
      </c>
      <c r="AX251" s="513">
        <f>SUMIF($M:$M,$A251,AX:AX)</f>
        <v>0</v>
      </c>
      <c r="AY251" s="437"/>
      <c r="AZ251" s="428"/>
      <c r="BA251" s="438"/>
    </row>
    <row r="252" spans="1:53" ht="12.75" x14ac:dyDescent="0.2">
      <c r="A252" s="439" t="s">
        <v>240</v>
      </c>
      <c r="B252" s="513">
        <f>SUMIF(M:M,A252,L:L)</f>
        <v>933467.38461538451</v>
      </c>
      <c r="C252" s="429" t="s">
        <v>608</v>
      </c>
      <c r="G252" s="513">
        <f t="shared" si="50"/>
        <v>352699.38461538462</v>
      </c>
      <c r="H252" s="513">
        <f t="shared" si="50"/>
        <v>280315</v>
      </c>
      <c r="I252" s="513">
        <f t="shared" si="50"/>
        <v>300453</v>
      </c>
      <c r="J252" s="715"/>
      <c r="K252" s="541"/>
      <c r="O252" s="513">
        <f>SUMIF($M:$M,$A252,O:O)</f>
        <v>3641762</v>
      </c>
      <c r="U252" s="513">
        <f>SUMIF($M:$M,$A252,U:U)</f>
        <v>204016.63915103057</v>
      </c>
      <c r="AA252" s="513">
        <f>SUMIF($M:$M,$A252,AA:AA)</f>
        <v>36613.482891790591</v>
      </c>
      <c r="AQ252" s="513">
        <f t="shared" si="51"/>
        <v>20240.970474193658</v>
      </c>
      <c r="AR252" s="513">
        <f t="shared" si="51"/>
        <v>0</v>
      </c>
      <c r="AS252" s="513">
        <f t="shared" si="51"/>
        <v>3902633.0925170141</v>
      </c>
      <c r="AV252" s="513">
        <f>SUMIF($M:$M,$A252,AV:AV)</f>
        <v>0</v>
      </c>
      <c r="AX252" s="513">
        <f>SUMIF($M:$M,$A252,AX:AX)</f>
        <v>0</v>
      </c>
      <c r="AY252" s="437"/>
      <c r="AZ252" s="428"/>
      <c r="BA252" s="438"/>
    </row>
    <row r="253" spans="1:53" ht="12.75" x14ac:dyDescent="0.2">
      <c r="B253" s="714">
        <f>SUM(B249:B252)</f>
        <v>2566931.3076923075</v>
      </c>
      <c r="C253" s="429" t="s">
        <v>608</v>
      </c>
      <c r="G253" s="714">
        <f>SUM(G249:G252)</f>
        <v>962759.30769230763</v>
      </c>
      <c r="H253" s="714">
        <f>SUM(H249:H252)</f>
        <v>783741</v>
      </c>
      <c r="I253" s="714">
        <f>SUM(I249:I252)</f>
        <v>820431</v>
      </c>
      <c r="J253" s="715"/>
      <c r="K253" s="541"/>
      <c r="O253" s="714">
        <f>SUM(O249:O252)</f>
        <v>10323285</v>
      </c>
      <c r="U253" s="714">
        <f>SUM(U249:U252)</f>
        <v>680114.59344878397</v>
      </c>
      <c r="AA253" s="714">
        <f>SUM(AA249:AA252)</f>
        <v>118662.23610080968</v>
      </c>
      <c r="AQ253" s="714">
        <f>SUM(AQ249:AQ252)</f>
        <v>97596.501639278096</v>
      </c>
      <c r="AR253" s="714">
        <f>SUM(AR249:AR252)</f>
        <v>0</v>
      </c>
      <c r="AS253" s="714">
        <f>SUM(AS249:AS252)</f>
        <v>12241764.147438871</v>
      </c>
      <c r="AV253" s="714">
        <f>SUM(AV249:AV252)</f>
        <v>59114.5</v>
      </c>
      <c r="AW253" s="436" t="s">
        <v>856</v>
      </c>
      <c r="AX253" s="714">
        <f>SUM(AX249:AX252)</f>
        <v>0</v>
      </c>
      <c r="AY253" s="437"/>
      <c r="AZ253" s="428"/>
      <c r="BA253" s="438"/>
    </row>
    <row r="259" spans="1:49" ht="12.75" x14ac:dyDescent="0.2">
      <c r="C259" s="429">
        <v>1</v>
      </c>
      <c r="D259" s="428">
        <v>2</v>
      </c>
      <c r="E259" s="429">
        <v>3</v>
      </c>
      <c r="F259" s="428">
        <v>4</v>
      </c>
      <c r="G259" s="429">
        <v>5</v>
      </c>
      <c r="H259" s="428">
        <v>6</v>
      </c>
      <c r="I259" s="429">
        <v>7</v>
      </c>
      <c r="J259" s="428">
        <v>8</v>
      </c>
      <c r="K259" s="429">
        <v>9</v>
      </c>
      <c r="L259" s="428">
        <v>10</v>
      </c>
      <c r="M259" s="429">
        <v>11</v>
      </c>
      <c r="N259" s="428">
        <v>12</v>
      </c>
      <c r="O259" s="429">
        <v>13</v>
      </c>
      <c r="P259" s="428">
        <v>14</v>
      </c>
      <c r="Q259" s="429">
        <v>15</v>
      </c>
      <c r="R259" s="428">
        <v>16</v>
      </c>
      <c r="S259" s="429">
        <v>17</v>
      </c>
      <c r="T259" s="428">
        <v>18</v>
      </c>
      <c r="U259" s="429">
        <v>19</v>
      </c>
      <c r="V259" s="428">
        <v>20</v>
      </c>
      <c r="W259" s="429">
        <v>21</v>
      </c>
      <c r="X259" s="428">
        <v>22</v>
      </c>
      <c r="Y259" s="429">
        <v>23</v>
      </c>
      <c r="Z259" s="428">
        <v>24</v>
      </c>
      <c r="AA259" s="429">
        <v>25</v>
      </c>
      <c r="AB259" s="428">
        <v>26</v>
      </c>
      <c r="AC259" s="429">
        <v>27</v>
      </c>
      <c r="AD259" s="428">
        <v>28</v>
      </c>
      <c r="AE259" s="429">
        <v>29</v>
      </c>
      <c r="AF259" s="428">
        <v>30</v>
      </c>
      <c r="AG259" s="429">
        <v>31</v>
      </c>
      <c r="AH259" s="428">
        <v>32</v>
      </c>
      <c r="AI259" s="429">
        <v>33</v>
      </c>
      <c r="AJ259" s="428">
        <v>34</v>
      </c>
      <c r="AK259" s="429">
        <v>35</v>
      </c>
      <c r="AL259" s="428">
        <v>36</v>
      </c>
      <c r="AM259" s="429">
        <v>37</v>
      </c>
      <c r="AN259" s="428">
        <v>38</v>
      </c>
      <c r="AO259" s="429">
        <v>39</v>
      </c>
      <c r="AP259" s="428">
        <v>40</v>
      </c>
      <c r="AQ259" s="429">
        <v>41</v>
      </c>
      <c r="AR259" s="428">
        <v>42</v>
      </c>
      <c r="AS259" s="429">
        <v>43</v>
      </c>
      <c r="AT259" s="428">
        <v>44</v>
      </c>
      <c r="AU259" s="428">
        <v>46</v>
      </c>
      <c r="AV259" s="429">
        <v>47</v>
      </c>
      <c r="AW259" s="428">
        <v>48</v>
      </c>
    </row>
    <row r="260" spans="1:49" ht="12.75" x14ac:dyDescent="0.2">
      <c r="A260" s="439">
        <v>1</v>
      </c>
      <c r="B260" s="428">
        <v>2</v>
      </c>
      <c r="C260" s="429">
        <v>3</v>
      </c>
      <c r="D260" s="439">
        <v>4</v>
      </c>
      <c r="E260" s="428">
        <v>5</v>
      </c>
      <c r="F260" s="429">
        <v>6</v>
      </c>
      <c r="G260" s="439">
        <v>7</v>
      </c>
      <c r="H260" s="428">
        <v>8</v>
      </c>
      <c r="I260" s="429">
        <v>9</v>
      </c>
      <c r="J260" s="439">
        <v>10</v>
      </c>
      <c r="K260" s="428">
        <v>11</v>
      </c>
      <c r="L260" s="429">
        <v>12</v>
      </c>
      <c r="M260" s="439">
        <v>13</v>
      </c>
      <c r="N260" s="428">
        <v>14</v>
      </c>
      <c r="O260" s="429">
        <v>15</v>
      </c>
      <c r="P260" s="439">
        <v>16</v>
      </c>
      <c r="Q260" s="428">
        <v>17</v>
      </c>
      <c r="R260" s="429">
        <v>18</v>
      </c>
      <c r="S260" s="439">
        <v>19</v>
      </c>
      <c r="T260" s="428">
        <v>20</v>
      </c>
      <c r="U260" s="429">
        <v>21</v>
      </c>
      <c r="V260" s="439">
        <v>22</v>
      </c>
      <c r="W260" s="428">
        <v>23</v>
      </c>
      <c r="X260" s="429">
        <v>24</v>
      </c>
      <c r="Y260" s="439">
        <v>25</v>
      </c>
      <c r="Z260" s="428">
        <v>26</v>
      </c>
      <c r="AA260" s="429">
        <v>27</v>
      </c>
      <c r="AB260" s="439">
        <v>28</v>
      </c>
      <c r="AC260" s="428">
        <v>29</v>
      </c>
      <c r="AD260" s="429">
        <v>30</v>
      </c>
      <c r="AE260" s="439">
        <v>31</v>
      </c>
      <c r="AF260" s="428">
        <v>32</v>
      </c>
      <c r="AG260" s="429">
        <v>33</v>
      </c>
      <c r="AH260" s="439">
        <v>34</v>
      </c>
      <c r="AI260" s="428">
        <v>35</v>
      </c>
      <c r="AJ260" s="429">
        <v>36</v>
      </c>
      <c r="AK260" s="439">
        <v>37</v>
      </c>
      <c r="AL260" s="428">
        <v>38</v>
      </c>
      <c r="AM260" s="429">
        <v>39</v>
      </c>
      <c r="AN260" s="439">
        <v>40</v>
      </c>
      <c r="AO260" s="428">
        <v>41</v>
      </c>
      <c r="AP260" s="439">
        <v>42</v>
      </c>
      <c r="AQ260" s="428">
        <v>43</v>
      </c>
      <c r="AR260" s="429">
        <v>44</v>
      </c>
      <c r="AS260" s="439">
        <v>45</v>
      </c>
      <c r="AT260" s="428">
        <v>46</v>
      </c>
      <c r="AU260" s="429">
        <v>47</v>
      </c>
      <c r="AV260" s="439">
        <v>48</v>
      </c>
      <c r="AW260" s="428">
        <v>49</v>
      </c>
    </row>
    <row r="263" spans="1:49" ht="12.75" x14ac:dyDescent="0.2">
      <c r="A263" s="439" t="s">
        <v>116</v>
      </c>
      <c r="C263" s="429" t="s">
        <v>117</v>
      </c>
      <c r="E263" s="430">
        <v>63878</v>
      </c>
      <c r="F263" s="430">
        <v>1916340</v>
      </c>
      <c r="G263" s="430">
        <v>962759.30769230775</v>
      </c>
      <c r="H263" s="430">
        <v>783741</v>
      </c>
      <c r="I263" s="430">
        <v>820431</v>
      </c>
      <c r="J263" s="431">
        <v>2566931.3076923075</v>
      </c>
      <c r="K263" s="430">
        <v>0</v>
      </c>
      <c r="L263" s="430">
        <v>2566931.3076923075</v>
      </c>
      <c r="M263" s="430">
        <v>0</v>
      </c>
      <c r="N263" s="430">
        <v>0</v>
      </c>
      <c r="O263" s="431">
        <v>9926626</v>
      </c>
      <c r="P263" s="430">
        <v>0</v>
      </c>
      <c r="Q263" s="430">
        <v>1241678.2190578477</v>
      </c>
      <c r="R263" s="430">
        <v>1035647.5633690124</v>
      </c>
      <c r="S263" s="430">
        <v>1063119.1755730605</v>
      </c>
      <c r="T263" s="430">
        <v>0</v>
      </c>
      <c r="U263" s="431">
        <v>680114.59344878374</v>
      </c>
      <c r="V263" s="430">
        <v>0</v>
      </c>
      <c r="W263" s="430">
        <v>24115.037064668926</v>
      </c>
      <c r="X263" s="430">
        <v>20567.776471686288</v>
      </c>
      <c r="Y263" s="430">
        <v>22695.268899345348</v>
      </c>
      <c r="Z263" s="430">
        <v>0</v>
      </c>
      <c r="AA263" s="432">
        <v>118662.23610080966</v>
      </c>
      <c r="AB263" s="428">
        <v>0</v>
      </c>
      <c r="AC263" s="433">
        <v>252055</v>
      </c>
      <c r="AD263" s="428">
        <v>0</v>
      </c>
      <c r="AE263" s="433">
        <v>0</v>
      </c>
      <c r="AF263" s="428">
        <v>0</v>
      </c>
      <c r="AG263" s="433">
        <v>70050.816250000003</v>
      </c>
      <c r="AH263" s="428">
        <v>0</v>
      </c>
      <c r="AI263" s="434">
        <v>8</v>
      </c>
      <c r="AJ263" s="434">
        <v>0</v>
      </c>
      <c r="AK263" s="435">
        <v>700000</v>
      </c>
      <c r="AL263" s="428">
        <v>0</v>
      </c>
      <c r="AM263" s="434">
        <v>178057.25449823547</v>
      </c>
      <c r="AN263" s="434">
        <v>127808.95241353769</v>
      </c>
      <c r="AO263" s="434">
        <v>173487.92687642964</v>
      </c>
      <c r="AP263" s="434">
        <v>0</v>
      </c>
      <c r="AQ263" s="435">
        <v>97596.501639278096</v>
      </c>
      <c r="AR263" s="428">
        <v>0</v>
      </c>
      <c r="AS263" s="431">
        <v>11845105.147438873</v>
      </c>
      <c r="AT263" s="428">
        <v>0</v>
      </c>
      <c r="AU263" s="436">
        <v>80000</v>
      </c>
      <c r="AV263" s="436">
        <v>59114.5</v>
      </c>
      <c r="AW263" s="436">
        <v>11984219.647438873</v>
      </c>
    </row>
    <row r="264" spans="1:49" ht="12.75" x14ac:dyDescent="0.2">
      <c r="A264" s="1152"/>
      <c r="B264" s="434"/>
      <c r="C264" s="1153"/>
      <c r="D264" s="434"/>
      <c r="E264" s="435">
        <f>E263-E236</f>
        <v>1520</v>
      </c>
      <c r="F264" s="435">
        <f t="shared" ref="F264:AW264" si="52">F263-F236</f>
        <v>45600</v>
      </c>
      <c r="G264" s="435">
        <f t="shared" si="52"/>
        <v>0</v>
      </c>
      <c r="H264" s="435">
        <f t="shared" si="52"/>
        <v>0</v>
      </c>
      <c r="I264" s="435">
        <f t="shared" si="52"/>
        <v>0</v>
      </c>
      <c r="J264" s="435">
        <f t="shared" si="52"/>
        <v>0</v>
      </c>
      <c r="K264" s="435">
        <f t="shared" si="52"/>
        <v>0</v>
      </c>
      <c r="L264" s="435">
        <f t="shared" si="52"/>
        <v>0</v>
      </c>
      <c r="M264" s="435">
        <f t="shared" si="52"/>
        <v>0</v>
      </c>
      <c r="N264" s="435">
        <f t="shared" si="52"/>
        <v>0</v>
      </c>
      <c r="O264" s="435">
        <f t="shared" si="52"/>
        <v>-396659</v>
      </c>
      <c r="P264" s="435">
        <f t="shared" si="52"/>
        <v>0</v>
      </c>
      <c r="Q264" s="435">
        <f t="shared" si="52"/>
        <v>0</v>
      </c>
      <c r="R264" s="435">
        <f t="shared" si="52"/>
        <v>0</v>
      </c>
      <c r="S264" s="435">
        <f t="shared" si="52"/>
        <v>0</v>
      </c>
      <c r="T264" s="435">
        <f t="shared" si="52"/>
        <v>0</v>
      </c>
      <c r="U264" s="435">
        <f t="shared" si="52"/>
        <v>0</v>
      </c>
      <c r="V264" s="435">
        <f t="shared" si="52"/>
        <v>0</v>
      </c>
      <c r="W264" s="435">
        <f t="shared" si="52"/>
        <v>0</v>
      </c>
      <c r="X264" s="435">
        <f t="shared" si="52"/>
        <v>0</v>
      </c>
      <c r="Y264" s="435">
        <f t="shared" si="52"/>
        <v>0</v>
      </c>
      <c r="Z264" s="435">
        <f t="shared" si="52"/>
        <v>0</v>
      </c>
      <c r="AA264" s="435">
        <f t="shared" si="52"/>
        <v>0</v>
      </c>
      <c r="AB264" s="435">
        <f t="shared" si="52"/>
        <v>0</v>
      </c>
      <c r="AC264" s="435">
        <f t="shared" si="52"/>
        <v>0</v>
      </c>
      <c r="AD264" s="435">
        <f t="shared" si="52"/>
        <v>0</v>
      </c>
      <c r="AE264" s="435">
        <f t="shared" si="52"/>
        <v>0</v>
      </c>
      <c r="AF264" s="435">
        <f t="shared" si="52"/>
        <v>0</v>
      </c>
      <c r="AG264" s="435">
        <f t="shared" si="52"/>
        <v>0</v>
      </c>
      <c r="AH264" s="435">
        <f t="shared" si="52"/>
        <v>0</v>
      </c>
      <c r="AI264" s="435">
        <f t="shared" si="52"/>
        <v>1</v>
      </c>
      <c r="AJ264" s="435">
        <f t="shared" si="52"/>
        <v>0</v>
      </c>
      <c r="AK264" s="435">
        <f t="shared" si="52"/>
        <v>0</v>
      </c>
      <c r="AL264" s="435">
        <f t="shared" si="52"/>
        <v>0</v>
      </c>
      <c r="AM264" s="435">
        <f t="shared" si="52"/>
        <v>0</v>
      </c>
      <c r="AN264" s="435">
        <f t="shared" si="52"/>
        <v>0</v>
      </c>
      <c r="AO264" s="435">
        <f t="shared" si="52"/>
        <v>0</v>
      </c>
      <c r="AP264" s="435">
        <f t="shared" si="52"/>
        <v>0</v>
      </c>
      <c r="AQ264" s="435">
        <f t="shared" si="52"/>
        <v>0</v>
      </c>
      <c r="AR264" s="435">
        <f t="shared" si="52"/>
        <v>0</v>
      </c>
      <c r="AS264" s="435">
        <f t="shared" si="52"/>
        <v>-396659</v>
      </c>
      <c r="AT264" s="435">
        <f t="shared" si="52"/>
        <v>0</v>
      </c>
      <c r="AU264" s="435">
        <f t="shared" si="52"/>
        <v>0</v>
      </c>
      <c r="AV264" s="435">
        <f t="shared" si="52"/>
        <v>0</v>
      </c>
      <c r="AW264" s="435">
        <f t="shared" si="52"/>
        <v>-396659</v>
      </c>
    </row>
    <row r="265" spans="1:49" ht="12.75" x14ac:dyDescent="0.2">
      <c r="N265" s="430" t="s">
        <v>1431</v>
      </c>
      <c r="O265" s="431">
        <v>288887</v>
      </c>
    </row>
    <row r="266" spans="1:49" ht="12.75" x14ac:dyDescent="0.2">
      <c r="N266" s="430" t="s">
        <v>1432</v>
      </c>
      <c r="O266" s="431">
        <v>107772</v>
      </c>
    </row>
    <row r="267" spans="1:49" ht="12.75" x14ac:dyDescent="0.2">
      <c r="B267" s="59" t="s">
        <v>238</v>
      </c>
      <c r="C267" s="59">
        <v>206189</v>
      </c>
      <c r="O267" s="431">
        <f>O266+O265</f>
        <v>396659</v>
      </c>
    </row>
    <row r="268" spans="1:49" ht="12.75" x14ac:dyDescent="0.2">
      <c r="B268" s="59" t="s">
        <v>1301</v>
      </c>
      <c r="C268" s="59">
        <v>2014</v>
      </c>
    </row>
    <row r="269" spans="1:49" ht="12.75" x14ac:dyDescent="0.2">
      <c r="B269" s="59" t="s">
        <v>10</v>
      </c>
      <c r="C269" s="59">
        <v>2012</v>
      </c>
    </row>
    <row r="270" spans="1:49" ht="12.75" x14ac:dyDescent="0.2">
      <c r="B270" s="59" t="s">
        <v>73</v>
      </c>
      <c r="C270" s="59">
        <v>5414</v>
      </c>
    </row>
    <row r="271" spans="1:49" ht="12.75" x14ac:dyDescent="0.2">
      <c r="B271" s="59" t="s">
        <v>846</v>
      </c>
      <c r="C271" s="59">
        <v>4000</v>
      </c>
    </row>
    <row r="272" spans="1:49" ht="12.75" x14ac:dyDescent="0.2">
      <c r="B272" s="59" t="s">
        <v>11</v>
      </c>
      <c r="C272" s="59">
        <v>2443</v>
      </c>
    </row>
    <row r="273" spans="2:3" ht="12.75" x14ac:dyDescent="0.2">
      <c r="B273" s="59" t="s">
        <v>94</v>
      </c>
      <c r="C273" s="59">
        <v>2442</v>
      </c>
    </row>
    <row r="274" spans="2:3" ht="12.75" x14ac:dyDescent="0.2">
      <c r="B274" s="59" t="s">
        <v>241</v>
      </c>
      <c r="C274" s="59" t="s">
        <v>242</v>
      </c>
    </row>
    <row r="275" spans="2:3" ht="12.75" x14ac:dyDescent="0.2">
      <c r="B275" s="59" t="s">
        <v>13</v>
      </c>
      <c r="C275" s="59">
        <v>2629</v>
      </c>
    </row>
    <row r="276" spans="2:3" ht="12.75" x14ac:dyDescent="0.2">
      <c r="B276" s="59" t="s">
        <v>14</v>
      </c>
      <c r="C276" s="59">
        <v>2509</v>
      </c>
    </row>
    <row r="277" spans="2:3" ht="12.75" x14ac:dyDescent="0.2">
      <c r="B277" s="59" t="s">
        <v>2</v>
      </c>
      <c r="C277" s="59">
        <v>1014</v>
      </c>
    </row>
    <row r="278" spans="2:3" ht="12.75" x14ac:dyDescent="0.2">
      <c r="B278" s="59" t="s">
        <v>15</v>
      </c>
      <c r="C278" s="59">
        <v>2005</v>
      </c>
    </row>
    <row r="279" spans="2:3" ht="12.75" x14ac:dyDescent="0.2">
      <c r="B279" s="59" t="s">
        <v>16</v>
      </c>
      <c r="C279" s="59">
        <v>2464</v>
      </c>
    </row>
    <row r="280" spans="2:3" ht="12.75" x14ac:dyDescent="0.2">
      <c r="B280" s="59" t="s">
        <v>706</v>
      </c>
      <c r="C280" s="59" t="s">
        <v>708</v>
      </c>
    </row>
    <row r="281" spans="2:3" ht="12.75" x14ac:dyDescent="0.2">
      <c r="B281" s="59" t="s">
        <v>17</v>
      </c>
      <c r="C281" s="59">
        <v>2004</v>
      </c>
    </row>
    <row r="282" spans="2:3" ht="12.75" x14ac:dyDescent="0.2">
      <c r="B282" s="59" t="s">
        <v>18</v>
      </c>
      <c r="C282" s="59">
        <v>2405</v>
      </c>
    </row>
    <row r="283" spans="2:3" ht="12.75" x14ac:dyDescent="0.2">
      <c r="B283" s="59" t="s">
        <v>243</v>
      </c>
      <c r="C283" s="59" t="s">
        <v>245</v>
      </c>
    </row>
    <row r="284" spans="2:3" ht="12.75" x14ac:dyDescent="0.2">
      <c r="B284" s="59" t="s">
        <v>250</v>
      </c>
      <c r="C284" s="59" t="s">
        <v>709</v>
      </c>
    </row>
    <row r="285" spans="2:3" ht="12.75" x14ac:dyDescent="0.2">
      <c r="B285" s="59" t="s">
        <v>246</v>
      </c>
      <c r="C285" s="59" t="s">
        <v>247</v>
      </c>
    </row>
    <row r="286" spans="2:3" x14ac:dyDescent="0.25">
      <c r="B286" s="59" t="s">
        <v>248</v>
      </c>
      <c r="C286" s="59" t="s">
        <v>249</v>
      </c>
    </row>
    <row r="287" spans="2:3" x14ac:dyDescent="0.25">
      <c r="B287" s="59" t="s">
        <v>19</v>
      </c>
      <c r="C287" s="59">
        <v>2011</v>
      </c>
    </row>
    <row r="288" spans="2:3" x14ac:dyDescent="0.25">
      <c r="B288" s="59" t="s">
        <v>251</v>
      </c>
      <c r="C288" s="59" t="s">
        <v>252</v>
      </c>
    </row>
    <row r="289" spans="2:3" x14ac:dyDescent="0.25">
      <c r="B289" s="59" t="s">
        <v>20</v>
      </c>
      <c r="C289" s="59">
        <v>5201</v>
      </c>
    </row>
    <row r="290" spans="2:3" x14ac:dyDescent="0.25">
      <c r="B290" s="59" t="s">
        <v>253</v>
      </c>
      <c r="C290" s="59">
        <v>206124</v>
      </c>
    </row>
    <row r="291" spans="2:3" x14ac:dyDescent="0.25">
      <c r="B291" s="59" t="s">
        <v>21</v>
      </c>
      <c r="C291" s="59">
        <v>2433</v>
      </c>
    </row>
    <row r="292" spans="2:3" x14ac:dyDescent="0.25">
      <c r="B292" s="59" t="s">
        <v>22</v>
      </c>
      <c r="C292" s="59">
        <v>2432</v>
      </c>
    </row>
    <row r="293" spans="2:3" x14ac:dyDescent="0.25">
      <c r="B293" s="59" t="s">
        <v>256</v>
      </c>
      <c r="C293" s="59" t="s">
        <v>258</v>
      </c>
    </row>
    <row r="294" spans="2:3" x14ac:dyDescent="0.25">
      <c r="B294" s="59" t="s">
        <v>188</v>
      </c>
      <c r="C294" s="59">
        <v>2447</v>
      </c>
    </row>
    <row r="295" spans="2:3" x14ac:dyDescent="0.25">
      <c r="B295" s="59" t="s">
        <v>23</v>
      </c>
      <c r="C295" s="59">
        <v>2512</v>
      </c>
    </row>
    <row r="296" spans="2:3" x14ac:dyDescent="0.25">
      <c r="B296" s="59" t="s">
        <v>259</v>
      </c>
      <c r="C296" s="59">
        <v>206126</v>
      </c>
    </row>
    <row r="297" spans="2:3" x14ac:dyDescent="0.25">
      <c r="B297" s="59" t="s">
        <v>261</v>
      </c>
      <c r="C297" s="59">
        <v>206111</v>
      </c>
    </row>
    <row r="298" spans="2:3" x14ac:dyDescent="0.25">
      <c r="B298" s="59" t="s">
        <v>263</v>
      </c>
      <c r="C298" s="59">
        <v>206091</v>
      </c>
    </row>
    <row r="299" spans="2:3" x14ac:dyDescent="0.25">
      <c r="B299" s="59" t="s">
        <v>24</v>
      </c>
      <c r="C299" s="59">
        <v>2456</v>
      </c>
    </row>
    <row r="300" spans="2:3" x14ac:dyDescent="0.25">
      <c r="B300" s="59" t="s">
        <v>3</v>
      </c>
      <c r="C300" s="59">
        <v>1017</v>
      </c>
    </row>
    <row r="301" spans="2:3" x14ac:dyDescent="0.25">
      <c r="B301" s="59" t="s">
        <v>25</v>
      </c>
      <c r="C301" s="59">
        <v>2449</v>
      </c>
    </row>
    <row r="302" spans="2:3" x14ac:dyDescent="0.25">
      <c r="B302" s="59" t="s">
        <v>26</v>
      </c>
      <c r="C302" s="59">
        <v>2448</v>
      </c>
    </row>
    <row r="303" spans="2:3" x14ac:dyDescent="0.25">
      <c r="B303" s="59" t="s">
        <v>4</v>
      </c>
      <c r="C303" s="59">
        <v>1006</v>
      </c>
    </row>
    <row r="304" spans="2:3" x14ac:dyDescent="0.25">
      <c r="B304" s="59" t="s">
        <v>27</v>
      </c>
      <c r="C304" s="59">
        <v>2467</v>
      </c>
    </row>
    <row r="305" spans="2:3" x14ac:dyDescent="0.25">
      <c r="B305" s="59" t="s">
        <v>1373</v>
      </c>
      <c r="C305" s="59">
        <v>484300</v>
      </c>
    </row>
    <row r="306" spans="2:3" x14ac:dyDescent="0.25">
      <c r="B306" s="59" t="s">
        <v>75</v>
      </c>
      <c r="C306" s="59">
        <v>5402</v>
      </c>
    </row>
    <row r="307" spans="2:3" x14ac:dyDescent="0.25">
      <c r="B307" s="59" t="s">
        <v>28</v>
      </c>
      <c r="C307" s="59">
        <v>2455</v>
      </c>
    </row>
    <row r="308" spans="2:3" x14ac:dyDescent="0.25">
      <c r="B308" s="59" t="s">
        <v>29</v>
      </c>
      <c r="C308" s="59">
        <v>5203</v>
      </c>
    </row>
    <row r="309" spans="2:3" x14ac:dyDescent="0.25">
      <c r="B309" s="59" t="s">
        <v>30</v>
      </c>
      <c r="C309" s="59">
        <v>2451</v>
      </c>
    </row>
    <row r="310" spans="2:3" x14ac:dyDescent="0.25">
      <c r="B310" s="59" t="s">
        <v>265</v>
      </c>
      <c r="C310" s="59" t="s">
        <v>266</v>
      </c>
    </row>
    <row r="311" spans="2:3" x14ac:dyDescent="0.25">
      <c r="B311" s="59" t="s">
        <v>267</v>
      </c>
      <c r="C311" s="59">
        <v>206128</v>
      </c>
    </row>
    <row r="312" spans="2:3" x14ac:dyDescent="0.25">
      <c r="B312" s="59" t="s">
        <v>438</v>
      </c>
      <c r="C312" s="59">
        <v>4002</v>
      </c>
    </row>
    <row r="313" spans="2:3" x14ac:dyDescent="0.25">
      <c r="B313" s="59" t="s">
        <v>441</v>
      </c>
      <c r="C313" s="59">
        <v>2430</v>
      </c>
    </row>
    <row r="314" spans="2:3" x14ac:dyDescent="0.25">
      <c r="B314" s="59" t="s">
        <v>269</v>
      </c>
      <c r="C314" s="59" t="s">
        <v>710</v>
      </c>
    </row>
    <row r="315" spans="2:3" x14ac:dyDescent="0.25">
      <c r="B315" s="59" t="s">
        <v>711</v>
      </c>
      <c r="C315" s="59" t="s">
        <v>712</v>
      </c>
    </row>
    <row r="316" spans="2:3" x14ac:dyDescent="0.25">
      <c r="B316" s="59" t="s">
        <v>68</v>
      </c>
      <c r="C316" s="59">
        <v>4608</v>
      </c>
    </row>
    <row r="317" spans="2:3" x14ac:dyDescent="0.25">
      <c r="B317" s="59" t="s">
        <v>31</v>
      </c>
      <c r="C317" s="59">
        <v>2409</v>
      </c>
    </row>
    <row r="318" spans="2:3" x14ac:dyDescent="0.25">
      <c r="B318" s="59" t="s">
        <v>270</v>
      </c>
      <c r="C318" s="59" t="s">
        <v>271</v>
      </c>
    </row>
    <row r="319" spans="2:3" x14ac:dyDescent="0.25">
      <c r="B319" s="59" t="s">
        <v>1283</v>
      </c>
      <c r="C319" s="59" t="s">
        <v>714</v>
      </c>
    </row>
    <row r="320" spans="2:3" x14ac:dyDescent="0.25">
      <c r="B320" s="59" t="s">
        <v>525</v>
      </c>
      <c r="C320" s="59">
        <v>205921</v>
      </c>
    </row>
    <row r="321" spans="2:3" x14ac:dyDescent="0.25">
      <c r="B321" s="59" t="s">
        <v>1256</v>
      </c>
      <c r="C321" s="59" t="s">
        <v>719</v>
      </c>
    </row>
    <row r="322" spans="2:3" x14ac:dyDescent="0.25">
      <c r="B322" s="59" t="s">
        <v>1375</v>
      </c>
      <c r="C322" s="59">
        <v>398922</v>
      </c>
    </row>
    <row r="323" spans="2:3" x14ac:dyDescent="0.25">
      <c r="B323" s="59" t="s">
        <v>1374</v>
      </c>
      <c r="C323" s="59">
        <v>479804</v>
      </c>
    </row>
    <row r="324" spans="2:3" x14ac:dyDescent="0.25">
      <c r="B324" s="59" t="s">
        <v>524</v>
      </c>
      <c r="C324" s="59">
        <v>205999</v>
      </c>
    </row>
    <row r="325" spans="2:3" x14ac:dyDescent="0.25">
      <c r="B325" s="59" t="s">
        <v>523</v>
      </c>
      <c r="C325" s="59" t="s">
        <v>272</v>
      </c>
    </row>
    <row r="326" spans="2:3" x14ac:dyDescent="0.25">
      <c r="B326" s="59" t="s">
        <v>1257</v>
      </c>
      <c r="C326" s="59">
        <v>206065</v>
      </c>
    </row>
    <row r="327" spans="2:3" x14ac:dyDescent="0.25">
      <c r="B327" s="59" t="s">
        <v>1376</v>
      </c>
      <c r="C327" s="59">
        <v>314105</v>
      </c>
    </row>
    <row r="328" spans="2:3" x14ac:dyDescent="0.25">
      <c r="B328" s="59" t="s">
        <v>1400</v>
      </c>
      <c r="C328" s="59" t="s">
        <v>277</v>
      </c>
    </row>
    <row r="329" spans="2:3" x14ac:dyDescent="0.25">
      <c r="B329" s="59" t="s">
        <v>1377</v>
      </c>
      <c r="C329" s="59">
        <v>206076</v>
      </c>
    </row>
    <row r="330" spans="2:3" x14ac:dyDescent="0.25">
      <c r="B330" s="59" t="s">
        <v>561</v>
      </c>
      <c r="C330" s="59" t="s">
        <v>727</v>
      </c>
    </row>
    <row r="331" spans="2:3" x14ac:dyDescent="0.25">
      <c r="B331" s="59" t="s">
        <v>1399</v>
      </c>
      <c r="C331" s="59" t="s">
        <v>730</v>
      </c>
    </row>
    <row r="332" spans="2:3" x14ac:dyDescent="0.25">
      <c r="B332" s="59" t="s">
        <v>562</v>
      </c>
      <c r="C332" s="59" t="s">
        <v>275</v>
      </c>
    </row>
    <row r="333" spans="2:3" x14ac:dyDescent="0.25">
      <c r="B333" s="59" t="s">
        <v>1258</v>
      </c>
      <c r="C333" s="59" t="s">
        <v>724</v>
      </c>
    </row>
    <row r="334" spans="2:3" x14ac:dyDescent="0.25">
      <c r="B334" s="59" t="s">
        <v>1259</v>
      </c>
      <c r="C334" s="59">
        <v>205919</v>
      </c>
    </row>
    <row r="335" spans="2:3" x14ac:dyDescent="0.25">
      <c r="B335" s="59" t="s">
        <v>526</v>
      </c>
      <c r="C335" s="59" t="s">
        <v>276</v>
      </c>
    </row>
    <row r="336" spans="2:3" x14ac:dyDescent="0.25">
      <c r="B336" s="59" t="s">
        <v>1378</v>
      </c>
      <c r="C336" s="59">
        <v>477405</v>
      </c>
    </row>
    <row r="337" spans="2:3" x14ac:dyDescent="0.25">
      <c r="B337" s="59" t="s">
        <v>1260</v>
      </c>
      <c r="C337" s="59" t="s">
        <v>734</v>
      </c>
    </row>
    <row r="338" spans="2:3" x14ac:dyDescent="0.25">
      <c r="B338" s="59" t="s">
        <v>1379</v>
      </c>
      <c r="C338" s="59">
        <v>401536</v>
      </c>
    </row>
    <row r="339" spans="2:3" x14ac:dyDescent="0.25">
      <c r="B339" s="59" t="s">
        <v>1261</v>
      </c>
      <c r="C339" s="59" t="s">
        <v>736</v>
      </c>
    </row>
    <row r="340" spans="2:3" x14ac:dyDescent="0.25">
      <c r="B340" s="59" t="s">
        <v>1263</v>
      </c>
      <c r="C340" s="59" t="s">
        <v>739</v>
      </c>
    </row>
    <row r="341" spans="2:3" x14ac:dyDescent="0.25">
      <c r="B341" s="59" t="s">
        <v>1262</v>
      </c>
      <c r="C341" s="59">
        <v>205849</v>
      </c>
    </row>
    <row r="342" spans="2:3" x14ac:dyDescent="0.25">
      <c r="B342" s="59" t="s">
        <v>566</v>
      </c>
      <c r="C342" s="59" t="s">
        <v>273</v>
      </c>
    </row>
    <row r="343" spans="2:3" x14ac:dyDescent="0.25">
      <c r="B343" s="59" t="s">
        <v>1264</v>
      </c>
      <c r="C343" s="59" t="s">
        <v>741</v>
      </c>
    </row>
    <row r="344" spans="2:3" x14ac:dyDescent="0.25">
      <c r="B344" s="59" t="s">
        <v>1268</v>
      </c>
      <c r="C344" s="59">
        <v>205922</v>
      </c>
    </row>
    <row r="345" spans="2:3" x14ac:dyDescent="0.25">
      <c r="B345" s="59" t="s">
        <v>1267</v>
      </c>
      <c r="C345" s="59">
        <v>205881</v>
      </c>
    </row>
    <row r="346" spans="2:3" x14ac:dyDescent="0.25">
      <c r="B346" s="59" t="s">
        <v>1265</v>
      </c>
      <c r="C346" s="59" t="s">
        <v>744</v>
      </c>
    </row>
    <row r="347" spans="2:3" x14ac:dyDescent="0.25">
      <c r="B347" s="59" t="s">
        <v>527</v>
      </c>
      <c r="C347" s="59" t="s">
        <v>278</v>
      </c>
    </row>
    <row r="348" spans="2:3" x14ac:dyDescent="0.25">
      <c r="B348" s="59" t="s">
        <v>1266</v>
      </c>
      <c r="C348" s="59" t="s">
        <v>749</v>
      </c>
    </row>
    <row r="349" spans="2:3" x14ac:dyDescent="0.25">
      <c r="B349" s="59" t="s">
        <v>1380</v>
      </c>
      <c r="C349" s="59">
        <v>462623</v>
      </c>
    </row>
    <row r="350" spans="2:3" x14ac:dyDescent="0.25">
      <c r="B350" s="59" t="s">
        <v>750</v>
      </c>
      <c r="C350" s="59" t="s">
        <v>751</v>
      </c>
    </row>
    <row r="351" spans="2:3" x14ac:dyDescent="0.25">
      <c r="B351" s="59" t="s">
        <v>1269</v>
      </c>
      <c r="C351" s="59" t="s">
        <v>754</v>
      </c>
    </row>
    <row r="352" spans="2:3" x14ac:dyDescent="0.25">
      <c r="B352" s="59" t="s">
        <v>528</v>
      </c>
      <c r="C352" s="59">
        <v>2</v>
      </c>
    </row>
    <row r="353" spans="2:3" x14ac:dyDescent="0.25">
      <c r="B353" s="59" t="s">
        <v>1270</v>
      </c>
      <c r="C353" s="59" t="s">
        <v>621</v>
      </c>
    </row>
    <row r="354" spans="2:3" x14ac:dyDescent="0.25">
      <c r="B354" s="59" t="s">
        <v>1271</v>
      </c>
      <c r="C354" s="59" t="s">
        <v>639</v>
      </c>
    </row>
    <row r="355" spans="2:3" x14ac:dyDescent="0.25">
      <c r="B355" s="59" t="s">
        <v>1271</v>
      </c>
      <c r="C355" s="59">
        <v>205878</v>
      </c>
    </row>
    <row r="356" spans="2:3" x14ac:dyDescent="0.25">
      <c r="B356" s="59" t="s">
        <v>529</v>
      </c>
      <c r="C356" s="59">
        <v>205956</v>
      </c>
    </row>
    <row r="357" spans="2:3" x14ac:dyDescent="0.25">
      <c r="B357" s="59" t="s">
        <v>1273</v>
      </c>
      <c r="C357" s="59" t="s">
        <v>759</v>
      </c>
    </row>
    <row r="358" spans="2:3" x14ac:dyDescent="0.25">
      <c r="B358" s="59" t="s">
        <v>1382</v>
      </c>
      <c r="C358" s="59">
        <v>472319</v>
      </c>
    </row>
    <row r="359" spans="2:3" x14ac:dyDescent="0.25">
      <c r="B359" s="59" t="s">
        <v>1272</v>
      </c>
      <c r="C359" s="59">
        <v>260849</v>
      </c>
    </row>
    <row r="360" spans="2:3" x14ac:dyDescent="0.25">
      <c r="B360" s="59" t="s">
        <v>1383</v>
      </c>
      <c r="C360" s="59">
        <v>482805</v>
      </c>
    </row>
    <row r="361" spans="2:3" x14ac:dyDescent="0.25">
      <c r="B361" s="59" t="s">
        <v>1381</v>
      </c>
      <c r="C361" s="59">
        <v>447579</v>
      </c>
    </row>
    <row r="362" spans="2:3" x14ac:dyDescent="0.25">
      <c r="B362" s="59" t="s">
        <v>1274</v>
      </c>
      <c r="C362" s="59" t="s">
        <v>280</v>
      </c>
    </row>
    <row r="363" spans="2:3" x14ac:dyDescent="0.25">
      <c r="B363" s="59" t="s">
        <v>1275</v>
      </c>
      <c r="C363" s="59" t="s">
        <v>762</v>
      </c>
    </row>
    <row r="364" spans="2:3" x14ac:dyDescent="0.25">
      <c r="B364" s="59" t="s">
        <v>1277</v>
      </c>
      <c r="C364" s="59" t="s">
        <v>766</v>
      </c>
    </row>
    <row r="365" spans="2:3" x14ac:dyDescent="0.25">
      <c r="B365" s="59" t="s">
        <v>1276</v>
      </c>
      <c r="C365" s="59" t="s">
        <v>764</v>
      </c>
    </row>
    <row r="366" spans="2:3" x14ac:dyDescent="0.25">
      <c r="B366" s="59" t="s">
        <v>1279</v>
      </c>
      <c r="C366" s="59" t="s">
        <v>771</v>
      </c>
    </row>
    <row r="367" spans="2:3" x14ac:dyDescent="0.25">
      <c r="B367" s="437" t="s">
        <v>1278</v>
      </c>
      <c r="C367" s="529" t="s">
        <v>768</v>
      </c>
    </row>
    <row r="368" spans="2:3" x14ac:dyDescent="0.25">
      <c r="B368" s="437" t="s">
        <v>564</v>
      </c>
      <c r="C368" s="529" t="s">
        <v>281</v>
      </c>
    </row>
    <row r="369" spans="2:3" x14ac:dyDescent="0.25">
      <c r="B369" s="59" t="s">
        <v>1284</v>
      </c>
      <c r="C369" s="59" t="s">
        <v>774</v>
      </c>
    </row>
    <row r="370" spans="2:3" x14ac:dyDescent="0.25">
      <c r="B370" s="59" t="s">
        <v>1384</v>
      </c>
      <c r="C370" s="59">
        <v>484039</v>
      </c>
    </row>
    <row r="371" spans="2:3" x14ac:dyDescent="0.25">
      <c r="B371" s="59" t="s">
        <v>1285</v>
      </c>
      <c r="C371" s="59" t="s">
        <v>776</v>
      </c>
    </row>
    <row r="372" spans="2:3" x14ac:dyDescent="0.25">
      <c r="B372" s="59" t="s">
        <v>1385</v>
      </c>
      <c r="C372" s="59">
        <v>343478</v>
      </c>
    </row>
    <row r="373" spans="2:3" x14ac:dyDescent="0.25">
      <c r="B373" s="59" t="s">
        <v>532</v>
      </c>
      <c r="C373" s="59" t="s">
        <v>283</v>
      </c>
    </row>
    <row r="374" spans="2:3" x14ac:dyDescent="0.25">
      <c r="B374" s="59" t="s">
        <v>1280</v>
      </c>
      <c r="C374" s="59">
        <v>206031</v>
      </c>
    </row>
    <row r="375" spans="2:3" x14ac:dyDescent="0.25">
      <c r="B375" s="59" t="s">
        <v>531</v>
      </c>
      <c r="C375" s="59" t="s">
        <v>284</v>
      </c>
    </row>
    <row r="376" spans="2:3" x14ac:dyDescent="0.25">
      <c r="B376" s="59" t="s">
        <v>530</v>
      </c>
      <c r="C376" s="59" t="s">
        <v>282</v>
      </c>
    </row>
    <row r="377" spans="2:3" x14ac:dyDescent="0.25">
      <c r="B377" s="59" t="s">
        <v>1281</v>
      </c>
      <c r="C377" s="59" t="s">
        <v>781</v>
      </c>
    </row>
    <row r="378" spans="2:3" x14ac:dyDescent="0.25">
      <c r="B378" s="59" t="s">
        <v>1255</v>
      </c>
      <c r="C378" s="59" t="s">
        <v>285</v>
      </c>
    </row>
    <row r="379" spans="2:3" x14ac:dyDescent="0.25">
      <c r="B379" s="59" t="s">
        <v>1289</v>
      </c>
      <c r="C379" s="59">
        <v>260848</v>
      </c>
    </row>
    <row r="380" spans="2:3" x14ac:dyDescent="0.25">
      <c r="B380" s="59" t="s">
        <v>565</v>
      </c>
      <c r="C380" s="59">
        <v>206043</v>
      </c>
    </row>
    <row r="381" spans="2:3" x14ac:dyDescent="0.25">
      <c r="B381" s="59" t="s">
        <v>533</v>
      </c>
      <c r="C381" s="59" t="s">
        <v>286</v>
      </c>
    </row>
    <row r="382" spans="2:3" x14ac:dyDescent="0.25">
      <c r="B382" s="59" t="s">
        <v>533</v>
      </c>
      <c r="C382" s="59">
        <v>505502</v>
      </c>
    </row>
    <row r="383" spans="2:3" x14ac:dyDescent="0.25">
      <c r="B383" s="59" t="s">
        <v>563</v>
      </c>
      <c r="C383" s="59">
        <v>205978</v>
      </c>
    </row>
    <row r="384" spans="2:3" x14ac:dyDescent="0.25">
      <c r="B384" s="59" t="s">
        <v>1296</v>
      </c>
      <c r="C384" s="59">
        <v>435150</v>
      </c>
    </row>
    <row r="385" spans="2:3" x14ac:dyDescent="0.25">
      <c r="B385" s="59" t="s">
        <v>1288</v>
      </c>
      <c r="C385" s="59">
        <v>206067</v>
      </c>
    </row>
    <row r="386" spans="2:3" x14ac:dyDescent="0.25">
      <c r="B386" s="59" t="s">
        <v>534</v>
      </c>
      <c r="C386" s="59" t="s">
        <v>287</v>
      </c>
    </row>
    <row r="387" spans="2:3" x14ac:dyDescent="0.25">
      <c r="B387" s="59" t="s">
        <v>1282</v>
      </c>
      <c r="C387" s="59" t="s">
        <v>279</v>
      </c>
    </row>
    <row r="388" spans="2:3" x14ac:dyDescent="0.25">
      <c r="B388" s="59" t="s">
        <v>535</v>
      </c>
      <c r="C388" s="59" t="s">
        <v>288</v>
      </c>
    </row>
    <row r="389" spans="2:3" x14ac:dyDescent="0.25">
      <c r="B389" s="59" t="s">
        <v>1286</v>
      </c>
      <c r="C389" s="59" t="s">
        <v>793</v>
      </c>
    </row>
    <row r="390" spans="2:3" x14ac:dyDescent="0.25">
      <c r="B390" s="59" t="s">
        <v>1386</v>
      </c>
      <c r="C390" s="59">
        <v>414019</v>
      </c>
    </row>
    <row r="391" spans="2:3" x14ac:dyDescent="0.25">
      <c r="B391" s="59" t="s">
        <v>567</v>
      </c>
      <c r="C391" s="59" t="s">
        <v>274</v>
      </c>
    </row>
    <row r="392" spans="2:3" x14ac:dyDescent="0.25">
      <c r="B392" s="59" t="s">
        <v>1387</v>
      </c>
      <c r="C392" s="59">
        <v>458078</v>
      </c>
    </row>
    <row r="393" spans="2:3" x14ac:dyDescent="0.25">
      <c r="B393" s="59" t="s">
        <v>1287</v>
      </c>
      <c r="C393" s="59" t="s">
        <v>795</v>
      </c>
    </row>
    <row r="394" spans="2:3" x14ac:dyDescent="0.25">
      <c r="B394" s="59" t="s">
        <v>289</v>
      </c>
      <c r="C394" s="59" t="s">
        <v>290</v>
      </c>
    </row>
    <row r="395" spans="2:3" x14ac:dyDescent="0.25">
      <c r="B395" s="59" t="s">
        <v>1306</v>
      </c>
      <c r="C395" s="59">
        <v>4003</v>
      </c>
    </row>
    <row r="396" spans="2:3" x14ac:dyDescent="0.25">
      <c r="B396" s="59" t="s">
        <v>797</v>
      </c>
      <c r="C396" s="59" t="s">
        <v>798</v>
      </c>
    </row>
    <row r="397" spans="2:3" x14ac:dyDescent="0.25">
      <c r="B397" s="59" t="s">
        <v>291</v>
      </c>
      <c r="C397" s="59" t="s">
        <v>293</v>
      </c>
    </row>
    <row r="398" spans="2:3" x14ac:dyDescent="0.25">
      <c r="B398" s="59" t="s">
        <v>111</v>
      </c>
      <c r="C398" s="59">
        <v>4178</v>
      </c>
    </row>
    <row r="399" spans="2:3" x14ac:dyDescent="0.25">
      <c r="B399" s="59" t="s">
        <v>98</v>
      </c>
      <c r="C399" s="59">
        <v>3158</v>
      </c>
    </row>
    <row r="400" spans="2:3" x14ac:dyDescent="0.25">
      <c r="B400" s="59" t="s">
        <v>32</v>
      </c>
      <c r="C400" s="59">
        <v>2619</v>
      </c>
    </row>
    <row r="401" spans="2:3" x14ac:dyDescent="0.25">
      <c r="B401" s="59" t="s">
        <v>1388</v>
      </c>
      <c r="C401" s="59">
        <v>479542</v>
      </c>
    </row>
    <row r="402" spans="2:3" x14ac:dyDescent="0.25">
      <c r="B402" s="59" t="s">
        <v>1389</v>
      </c>
      <c r="C402" s="59" t="s">
        <v>1390</v>
      </c>
    </row>
    <row r="403" spans="2:3" x14ac:dyDescent="0.25">
      <c r="B403" s="59" t="s">
        <v>799</v>
      </c>
      <c r="C403" s="59" t="s">
        <v>800</v>
      </c>
    </row>
    <row r="404" spans="2:3" x14ac:dyDescent="0.25">
      <c r="B404" s="59" t="s">
        <v>1391</v>
      </c>
      <c r="C404" s="59">
        <v>487369</v>
      </c>
    </row>
    <row r="405" spans="2:3" x14ac:dyDescent="0.25">
      <c r="B405" s="59" t="s">
        <v>1392</v>
      </c>
      <c r="C405" s="59">
        <v>477763</v>
      </c>
    </row>
    <row r="406" spans="2:3" x14ac:dyDescent="0.25">
      <c r="B406" s="59" t="s">
        <v>294</v>
      </c>
      <c r="C406" s="59" t="s">
        <v>295</v>
      </c>
    </row>
    <row r="407" spans="2:3" x14ac:dyDescent="0.25">
      <c r="B407" s="59" t="s">
        <v>296</v>
      </c>
      <c r="C407" s="59">
        <v>258417</v>
      </c>
    </row>
    <row r="408" spans="2:3" x14ac:dyDescent="0.25">
      <c r="B408" s="59" t="s">
        <v>298</v>
      </c>
      <c r="C408" s="59" t="s">
        <v>300</v>
      </c>
    </row>
    <row r="409" spans="2:3" x14ac:dyDescent="0.25">
      <c r="B409" s="59" t="s">
        <v>301</v>
      </c>
      <c r="C409" s="59" t="s">
        <v>303</v>
      </c>
    </row>
    <row r="410" spans="2:3" x14ac:dyDescent="0.25">
      <c r="B410" s="59" t="s">
        <v>33</v>
      </c>
      <c r="C410" s="59">
        <v>2518</v>
      </c>
    </row>
    <row r="411" spans="2:3" x14ac:dyDescent="0.25">
      <c r="B411" s="59" t="s">
        <v>801</v>
      </c>
      <c r="C411" s="59" t="s">
        <v>802</v>
      </c>
    </row>
    <row r="412" spans="2:3" x14ac:dyDescent="0.25">
      <c r="B412" s="59" t="s">
        <v>304</v>
      </c>
      <c r="C412" s="59">
        <v>206106</v>
      </c>
    </row>
    <row r="413" spans="2:3" x14ac:dyDescent="0.25">
      <c r="B413" s="59" t="s">
        <v>306</v>
      </c>
      <c r="C413" s="59" t="s">
        <v>307</v>
      </c>
    </row>
    <row r="414" spans="2:3" x14ac:dyDescent="0.25">
      <c r="B414" s="59" t="s">
        <v>803</v>
      </c>
      <c r="C414" s="59" t="s">
        <v>804</v>
      </c>
    </row>
    <row r="415" spans="2:3" x14ac:dyDescent="0.25">
      <c r="B415" s="59" t="s">
        <v>34</v>
      </c>
      <c r="C415" s="59">
        <v>2457</v>
      </c>
    </row>
    <row r="416" spans="2:3" x14ac:dyDescent="0.25">
      <c r="B416" s="59" t="s">
        <v>99</v>
      </c>
      <c r="C416" s="59">
        <v>2010</v>
      </c>
    </row>
    <row r="417" spans="2:3" x14ac:dyDescent="0.25">
      <c r="B417" s="59" t="s">
        <v>35</v>
      </c>
      <c r="C417" s="59">
        <v>2002</v>
      </c>
    </row>
    <row r="418" spans="2:3" x14ac:dyDescent="0.25">
      <c r="B418" s="59" t="s">
        <v>36</v>
      </c>
      <c r="C418" s="59">
        <v>3544</v>
      </c>
    </row>
    <row r="419" spans="2:3" x14ac:dyDescent="0.25">
      <c r="B419" s="59" t="s">
        <v>5</v>
      </c>
      <c r="C419" s="59">
        <v>1008</v>
      </c>
    </row>
    <row r="420" spans="2:3" x14ac:dyDescent="0.25">
      <c r="B420" s="59" t="s">
        <v>308</v>
      </c>
      <c r="C420" s="59" t="s">
        <v>309</v>
      </c>
    </row>
    <row r="421" spans="2:3" x14ac:dyDescent="0.25">
      <c r="B421" s="59" t="s">
        <v>100</v>
      </c>
      <c r="C421" s="59">
        <v>2006</v>
      </c>
    </row>
    <row r="422" spans="2:3" x14ac:dyDescent="0.25">
      <c r="B422" s="59" t="s">
        <v>310</v>
      </c>
      <c r="C422" s="59" t="s">
        <v>311</v>
      </c>
    </row>
    <row r="423" spans="2:3" x14ac:dyDescent="0.25">
      <c r="B423" s="59" t="s">
        <v>312</v>
      </c>
      <c r="C423" s="59">
        <v>206133</v>
      </c>
    </row>
    <row r="424" spans="2:3" x14ac:dyDescent="0.25">
      <c r="B424" s="59" t="s">
        <v>806</v>
      </c>
      <c r="C424" s="59" t="s">
        <v>807</v>
      </c>
    </row>
    <row r="425" spans="2:3" x14ac:dyDescent="0.25">
      <c r="B425" s="59" t="s">
        <v>314</v>
      </c>
      <c r="C425" s="59" t="s">
        <v>316</v>
      </c>
    </row>
    <row r="426" spans="2:3" x14ac:dyDescent="0.25">
      <c r="B426" s="59" t="s">
        <v>317</v>
      </c>
      <c r="C426" s="59">
        <v>206134</v>
      </c>
    </row>
    <row r="427" spans="2:3" x14ac:dyDescent="0.25">
      <c r="B427" s="59" t="s">
        <v>321</v>
      </c>
      <c r="C427" s="59" t="s">
        <v>322</v>
      </c>
    </row>
    <row r="428" spans="2:3" x14ac:dyDescent="0.25">
      <c r="B428" s="59" t="s">
        <v>319</v>
      </c>
      <c r="C428" s="59" t="s">
        <v>320</v>
      </c>
    </row>
    <row r="429" spans="2:3" x14ac:dyDescent="0.25">
      <c r="B429" s="59" t="s">
        <v>323</v>
      </c>
      <c r="C429" s="59" t="s">
        <v>324</v>
      </c>
    </row>
    <row r="430" spans="2:3" x14ac:dyDescent="0.25">
      <c r="B430" s="59" t="s">
        <v>325</v>
      </c>
      <c r="C430" s="59">
        <v>206109</v>
      </c>
    </row>
    <row r="431" spans="2:3" x14ac:dyDescent="0.25">
      <c r="B431" s="59" t="s">
        <v>37</v>
      </c>
      <c r="C431" s="59">
        <v>2434</v>
      </c>
    </row>
    <row r="432" spans="2:3" x14ac:dyDescent="0.25">
      <c r="B432" s="59" t="s">
        <v>42</v>
      </c>
      <c r="C432" s="59">
        <v>2009</v>
      </c>
    </row>
    <row r="433" spans="2:3" x14ac:dyDescent="0.25">
      <c r="B433" s="59" t="s">
        <v>569</v>
      </c>
      <c r="C433" s="59">
        <v>6905</v>
      </c>
    </row>
    <row r="434" spans="2:3" x14ac:dyDescent="0.25">
      <c r="B434" s="59" t="s">
        <v>38</v>
      </c>
      <c r="C434" s="59">
        <v>2522</v>
      </c>
    </row>
    <row r="435" spans="2:3" x14ac:dyDescent="0.25">
      <c r="B435" s="59" t="s">
        <v>327</v>
      </c>
      <c r="C435" s="59">
        <v>206110</v>
      </c>
    </row>
    <row r="436" spans="2:3" x14ac:dyDescent="0.25">
      <c r="B436" s="59" t="s">
        <v>329</v>
      </c>
      <c r="C436" s="59">
        <v>206135</v>
      </c>
    </row>
    <row r="437" spans="2:3" x14ac:dyDescent="0.25">
      <c r="B437" s="59" t="s">
        <v>69</v>
      </c>
      <c r="C437" s="59">
        <v>4181</v>
      </c>
    </row>
    <row r="438" spans="2:3" x14ac:dyDescent="0.25">
      <c r="B438" s="59" t="s">
        <v>331</v>
      </c>
      <c r="C438" s="59">
        <v>509195</v>
      </c>
    </row>
    <row r="439" spans="2:3" x14ac:dyDescent="0.25">
      <c r="B439" s="59" t="s">
        <v>1393</v>
      </c>
      <c r="C439" s="59">
        <v>480857</v>
      </c>
    </row>
    <row r="440" spans="2:3" x14ac:dyDescent="0.25">
      <c r="B440" s="59" t="s">
        <v>333</v>
      </c>
      <c r="C440" s="59" t="s">
        <v>334</v>
      </c>
    </row>
    <row r="441" spans="2:3" x14ac:dyDescent="0.25">
      <c r="B441" s="59" t="s">
        <v>335</v>
      </c>
      <c r="C441" s="59" t="s">
        <v>336</v>
      </c>
    </row>
    <row r="442" spans="2:3" x14ac:dyDescent="0.25">
      <c r="B442" s="59" t="s">
        <v>1394</v>
      </c>
      <c r="C442" s="59">
        <v>492973</v>
      </c>
    </row>
    <row r="443" spans="2:3" x14ac:dyDescent="0.25">
      <c r="B443" s="59" t="s">
        <v>337</v>
      </c>
      <c r="C443" s="59" t="s">
        <v>339</v>
      </c>
    </row>
    <row r="444" spans="2:3" x14ac:dyDescent="0.25">
      <c r="B444" s="59" t="s">
        <v>340</v>
      </c>
      <c r="C444" s="59">
        <v>509199</v>
      </c>
    </row>
    <row r="445" spans="2:3" x14ac:dyDescent="0.25">
      <c r="B445" s="59" t="s">
        <v>342</v>
      </c>
      <c r="C445" s="59">
        <v>509197</v>
      </c>
    </row>
    <row r="446" spans="2:3" x14ac:dyDescent="0.25">
      <c r="B446" s="59" t="s">
        <v>808</v>
      </c>
      <c r="C446" s="59">
        <v>479383</v>
      </c>
    </row>
    <row r="447" spans="2:3" x14ac:dyDescent="0.25">
      <c r="B447" s="59" t="s">
        <v>347</v>
      </c>
      <c r="C447" s="59" t="s">
        <v>348</v>
      </c>
    </row>
    <row r="448" spans="2:3" x14ac:dyDescent="0.25">
      <c r="B448" s="59" t="s">
        <v>70</v>
      </c>
      <c r="C448" s="59">
        <v>4182</v>
      </c>
    </row>
    <row r="449" spans="2:3" x14ac:dyDescent="0.25">
      <c r="B449" s="59" t="s">
        <v>344</v>
      </c>
      <c r="C449" s="59" t="s">
        <v>346</v>
      </c>
    </row>
    <row r="450" spans="2:3" x14ac:dyDescent="0.25">
      <c r="B450" s="59" t="s">
        <v>6</v>
      </c>
      <c r="C450" s="59">
        <v>1005</v>
      </c>
    </row>
    <row r="451" spans="2:3" x14ac:dyDescent="0.25">
      <c r="B451" s="59" t="s">
        <v>809</v>
      </c>
      <c r="C451" s="59" t="s">
        <v>810</v>
      </c>
    </row>
    <row r="452" spans="2:3" x14ac:dyDescent="0.25">
      <c r="B452" s="59" t="s">
        <v>39</v>
      </c>
      <c r="C452" s="59">
        <v>2436</v>
      </c>
    </row>
    <row r="453" spans="2:3" x14ac:dyDescent="0.25">
      <c r="B453" s="59" t="s">
        <v>349</v>
      </c>
      <c r="C453" s="59">
        <v>206117</v>
      </c>
    </row>
    <row r="454" spans="2:3" x14ac:dyDescent="0.25">
      <c r="B454" s="59" t="s">
        <v>40</v>
      </c>
      <c r="C454" s="59">
        <v>2452</v>
      </c>
    </row>
    <row r="455" spans="2:3" x14ac:dyDescent="0.25">
      <c r="B455" s="59" t="s">
        <v>71</v>
      </c>
      <c r="C455" s="59">
        <v>4001</v>
      </c>
    </row>
    <row r="456" spans="2:3" x14ac:dyDescent="0.25">
      <c r="B456" s="59" t="s">
        <v>351</v>
      </c>
      <c r="C456" s="59">
        <v>206141</v>
      </c>
    </row>
    <row r="457" spans="2:3" x14ac:dyDescent="0.25">
      <c r="B457" s="59" t="s">
        <v>41</v>
      </c>
      <c r="C457" s="59">
        <v>2627</v>
      </c>
    </row>
    <row r="458" spans="2:3" x14ac:dyDescent="0.25">
      <c r="B458" s="59" t="s">
        <v>112</v>
      </c>
      <c r="C458" s="59">
        <v>5406</v>
      </c>
    </row>
    <row r="459" spans="2:3" x14ac:dyDescent="0.25">
      <c r="B459" s="59" t="s">
        <v>113</v>
      </c>
      <c r="C459" s="59">
        <v>5407</v>
      </c>
    </row>
    <row r="460" spans="2:3" x14ac:dyDescent="0.25">
      <c r="B460" s="59" t="s">
        <v>353</v>
      </c>
      <c r="C460" s="59" t="s">
        <v>355</v>
      </c>
    </row>
    <row r="461" spans="2:3" x14ac:dyDescent="0.25">
      <c r="B461" s="59" t="s">
        <v>356</v>
      </c>
      <c r="C461" s="59">
        <v>258404</v>
      </c>
    </row>
    <row r="462" spans="2:3" x14ac:dyDescent="0.25">
      <c r="B462" s="59" t="s">
        <v>101</v>
      </c>
      <c r="C462" s="59">
        <v>2473</v>
      </c>
    </row>
    <row r="463" spans="2:3" x14ac:dyDescent="0.25">
      <c r="B463" s="59" t="s">
        <v>44</v>
      </c>
      <c r="C463" s="59">
        <v>2471</v>
      </c>
    </row>
    <row r="464" spans="2:3" x14ac:dyDescent="0.25">
      <c r="B464" s="59" t="s">
        <v>358</v>
      </c>
      <c r="C464" s="59">
        <v>258405</v>
      </c>
    </row>
    <row r="465" spans="2:3" x14ac:dyDescent="0.25">
      <c r="B465" s="59" t="s">
        <v>360</v>
      </c>
      <c r="C465" s="59">
        <v>258406</v>
      </c>
    </row>
    <row r="466" spans="2:3" x14ac:dyDescent="0.25">
      <c r="B466" s="59" t="s">
        <v>1395</v>
      </c>
      <c r="C466" s="59">
        <v>206145</v>
      </c>
    </row>
    <row r="467" spans="2:3" x14ac:dyDescent="0.25">
      <c r="B467" s="59" t="s">
        <v>43</v>
      </c>
      <c r="C467" s="59">
        <v>2420</v>
      </c>
    </row>
    <row r="468" spans="2:3" x14ac:dyDescent="0.25">
      <c r="B468" s="59" t="s">
        <v>362</v>
      </c>
      <c r="C468" s="59">
        <v>206160</v>
      </c>
    </row>
    <row r="469" spans="2:3" x14ac:dyDescent="0.25">
      <c r="B469" s="59" t="s">
        <v>45</v>
      </c>
      <c r="C469" s="59">
        <v>2003</v>
      </c>
    </row>
    <row r="470" spans="2:3" x14ac:dyDescent="0.25">
      <c r="B470" s="59" t="s">
        <v>46</v>
      </c>
      <c r="C470" s="59">
        <v>2423</v>
      </c>
    </row>
    <row r="471" spans="2:3" x14ac:dyDescent="0.25">
      <c r="B471" s="59" t="s">
        <v>47</v>
      </c>
      <c r="C471" s="59">
        <v>2424</v>
      </c>
    </row>
    <row r="472" spans="2:3" x14ac:dyDescent="0.25">
      <c r="B472" s="59" t="s">
        <v>364</v>
      </c>
      <c r="C472" s="59" t="s">
        <v>366</v>
      </c>
    </row>
    <row r="473" spans="2:3" x14ac:dyDescent="0.25">
      <c r="B473" s="59" t="s">
        <v>367</v>
      </c>
      <c r="C473" s="59" t="s">
        <v>368</v>
      </c>
    </row>
    <row r="474" spans="2:3" x14ac:dyDescent="0.25">
      <c r="B474" s="59" t="s">
        <v>369</v>
      </c>
      <c r="C474" s="59" t="s">
        <v>371</v>
      </c>
    </row>
    <row r="475" spans="2:3" x14ac:dyDescent="0.25">
      <c r="B475" s="59" t="s">
        <v>811</v>
      </c>
      <c r="C475" s="59" t="s">
        <v>812</v>
      </c>
    </row>
    <row r="476" spans="2:3" x14ac:dyDescent="0.25">
      <c r="B476" s="59" t="s">
        <v>372</v>
      </c>
      <c r="C476" s="59">
        <v>206146</v>
      </c>
    </row>
    <row r="477" spans="2:3" x14ac:dyDescent="0.25">
      <c r="B477" s="59" t="s">
        <v>48</v>
      </c>
      <c r="C477" s="59">
        <v>2439</v>
      </c>
    </row>
    <row r="478" spans="2:3" x14ac:dyDescent="0.25">
      <c r="B478" s="59" t="s">
        <v>49</v>
      </c>
      <c r="C478" s="59">
        <v>2440</v>
      </c>
    </row>
    <row r="479" spans="2:3" x14ac:dyDescent="0.25">
      <c r="B479" s="59" t="s">
        <v>374</v>
      </c>
      <c r="C479" s="59" t="s">
        <v>375</v>
      </c>
    </row>
    <row r="480" spans="2:3" x14ac:dyDescent="0.25">
      <c r="B480" s="59" t="s">
        <v>813</v>
      </c>
      <c r="C480" s="59" t="s">
        <v>814</v>
      </c>
    </row>
    <row r="481" spans="2:3" x14ac:dyDescent="0.25">
      <c r="B481" s="59" t="s">
        <v>815</v>
      </c>
      <c r="C481" s="59" t="s">
        <v>816</v>
      </c>
    </row>
    <row r="482" spans="2:3" x14ac:dyDescent="0.25">
      <c r="B482" s="67" t="s">
        <v>377</v>
      </c>
      <c r="C482" s="67" t="s">
        <v>378</v>
      </c>
    </row>
    <row r="483" spans="2:3" x14ac:dyDescent="0.25">
      <c r="B483" s="105" t="s">
        <v>377</v>
      </c>
      <c r="C483" s="110" t="s">
        <v>817</v>
      </c>
    </row>
    <row r="484" spans="2:3" x14ac:dyDescent="0.25">
      <c r="B484" s="105" t="s">
        <v>102</v>
      </c>
      <c r="C484" s="110">
        <v>2462</v>
      </c>
    </row>
    <row r="485" spans="2:3" x14ac:dyDescent="0.25">
      <c r="B485" s="105" t="s">
        <v>50</v>
      </c>
      <c r="C485" s="110">
        <v>2463</v>
      </c>
    </row>
    <row r="486" spans="2:3" x14ac:dyDescent="0.25">
      <c r="B486" s="105" t="s">
        <v>51</v>
      </c>
      <c r="C486" s="67">
        <v>2505</v>
      </c>
    </row>
    <row r="487" spans="2:3" x14ac:dyDescent="0.25">
      <c r="B487" s="105" t="s">
        <v>1304</v>
      </c>
      <c r="C487" s="110">
        <v>2000</v>
      </c>
    </row>
    <row r="488" spans="2:3" x14ac:dyDescent="0.25">
      <c r="B488" s="105" t="s">
        <v>53</v>
      </c>
      <c r="C488" s="67">
        <v>2458</v>
      </c>
    </row>
    <row r="489" spans="2:3" x14ac:dyDescent="0.25">
      <c r="B489" s="105" t="s">
        <v>379</v>
      </c>
      <c r="C489" s="67" t="s">
        <v>381</v>
      </c>
    </row>
    <row r="490" spans="2:3" x14ac:dyDescent="0.25">
      <c r="B490" s="105" t="s">
        <v>54</v>
      </c>
      <c r="C490" s="67">
        <v>2001</v>
      </c>
    </row>
    <row r="491" spans="2:3" x14ac:dyDescent="0.25">
      <c r="B491" s="105" t="s">
        <v>382</v>
      </c>
      <c r="C491" s="67" t="s">
        <v>383</v>
      </c>
    </row>
    <row r="492" spans="2:3" x14ac:dyDescent="0.25">
      <c r="B492" s="105" t="s">
        <v>55</v>
      </c>
      <c r="C492" s="67">
        <v>2429</v>
      </c>
    </row>
    <row r="493" spans="2:3" x14ac:dyDescent="0.25">
      <c r="B493" s="105" t="s">
        <v>384</v>
      </c>
      <c r="C493" s="67">
        <v>113044</v>
      </c>
    </row>
    <row r="494" spans="2:3" x14ac:dyDescent="0.25">
      <c r="B494" s="105" t="s">
        <v>386</v>
      </c>
      <c r="C494" s="67" t="s">
        <v>388</v>
      </c>
    </row>
    <row r="495" spans="2:3" x14ac:dyDescent="0.25">
      <c r="B495" s="105" t="s">
        <v>72</v>
      </c>
      <c r="C495" s="67">
        <v>4607</v>
      </c>
    </row>
    <row r="496" spans="2:3" x14ac:dyDescent="0.25">
      <c r="B496" s="105" t="s">
        <v>818</v>
      </c>
      <c r="C496" s="67" t="s">
        <v>819</v>
      </c>
    </row>
    <row r="497" spans="2:3" x14ac:dyDescent="0.25">
      <c r="B497" s="105" t="s">
        <v>820</v>
      </c>
      <c r="C497" s="67" t="s">
        <v>821</v>
      </c>
    </row>
    <row r="498" spans="2:3" x14ac:dyDescent="0.25">
      <c r="B498" s="105" t="s">
        <v>56</v>
      </c>
      <c r="C498" s="67">
        <v>2444</v>
      </c>
    </row>
    <row r="499" spans="2:3" x14ac:dyDescent="0.25">
      <c r="B499" s="105" t="s">
        <v>57</v>
      </c>
      <c r="C499" s="67">
        <v>5209</v>
      </c>
    </row>
    <row r="500" spans="2:3" x14ac:dyDescent="0.25">
      <c r="B500" s="105" t="s">
        <v>389</v>
      </c>
      <c r="C500" s="67" t="s">
        <v>391</v>
      </c>
    </row>
    <row r="501" spans="2:3" x14ac:dyDescent="0.25">
      <c r="B501" s="105" t="s">
        <v>392</v>
      </c>
      <c r="C501" s="67" t="s">
        <v>394</v>
      </c>
    </row>
    <row r="502" spans="2:3" x14ac:dyDescent="0.25">
      <c r="B502" s="105" t="s">
        <v>58</v>
      </c>
      <c r="C502" s="67">
        <v>2469</v>
      </c>
    </row>
    <row r="503" spans="2:3" x14ac:dyDescent="0.25">
      <c r="B503" s="105" t="s">
        <v>395</v>
      </c>
      <c r="C503" s="110" t="s">
        <v>397</v>
      </c>
    </row>
    <row r="504" spans="2:3" x14ac:dyDescent="0.25">
      <c r="B504" s="105" t="s">
        <v>398</v>
      </c>
      <c r="C504" s="67" t="s">
        <v>399</v>
      </c>
    </row>
    <row r="505" spans="2:3" x14ac:dyDescent="0.25">
      <c r="B505" s="59" t="s">
        <v>59</v>
      </c>
      <c r="C505" s="59">
        <v>2466</v>
      </c>
    </row>
    <row r="506" spans="2:3" x14ac:dyDescent="0.25">
      <c r="B506" s="59" t="s">
        <v>60</v>
      </c>
      <c r="C506" s="59">
        <v>3543</v>
      </c>
    </row>
    <row r="507" spans="2:3" x14ac:dyDescent="0.25">
      <c r="B507" s="59" t="s">
        <v>400</v>
      </c>
      <c r="C507" s="59">
        <v>206152</v>
      </c>
    </row>
    <row r="508" spans="2:3" x14ac:dyDescent="0.25">
      <c r="B508" s="59" t="s">
        <v>402</v>
      </c>
      <c r="C508" s="59">
        <v>206153</v>
      </c>
    </row>
    <row r="509" spans="2:3" x14ac:dyDescent="0.25">
      <c r="B509" s="59" t="s">
        <v>62</v>
      </c>
      <c r="C509" s="59">
        <v>3531</v>
      </c>
    </row>
    <row r="510" spans="2:3" x14ac:dyDescent="0.25">
      <c r="B510" s="59" t="s">
        <v>63</v>
      </c>
      <c r="C510" s="59">
        <v>3526</v>
      </c>
    </row>
    <row r="511" spans="2:3" x14ac:dyDescent="0.25">
      <c r="B511" s="59" t="s">
        <v>104</v>
      </c>
      <c r="C511" s="59">
        <v>3535</v>
      </c>
    </row>
    <row r="512" spans="2:3" x14ac:dyDescent="0.25">
      <c r="B512" s="59" t="s">
        <v>64</v>
      </c>
      <c r="C512" s="59">
        <v>2008</v>
      </c>
    </row>
    <row r="513" spans="2:3" x14ac:dyDescent="0.25">
      <c r="B513" s="59" t="s">
        <v>105</v>
      </c>
      <c r="C513" s="59">
        <v>3542</v>
      </c>
    </row>
    <row r="514" spans="2:3" x14ac:dyDescent="0.25">
      <c r="B514" s="59" t="s">
        <v>404</v>
      </c>
      <c r="C514" s="59">
        <v>206154</v>
      </c>
    </row>
    <row r="515" spans="2:3" x14ac:dyDescent="0.25">
      <c r="B515" s="59" t="s">
        <v>106</v>
      </c>
      <c r="C515" s="59">
        <v>3528</v>
      </c>
    </row>
    <row r="516" spans="2:3" x14ac:dyDescent="0.25">
      <c r="B516" s="59" t="s">
        <v>406</v>
      </c>
      <c r="C516" s="59" t="s">
        <v>407</v>
      </c>
    </row>
    <row r="517" spans="2:3" x14ac:dyDescent="0.25">
      <c r="B517" s="59" t="s">
        <v>107</v>
      </c>
      <c r="C517" s="59">
        <v>3534</v>
      </c>
    </row>
    <row r="518" spans="2:3" x14ac:dyDescent="0.25">
      <c r="B518" s="59" t="s">
        <v>108</v>
      </c>
      <c r="C518" s="59">
        <v>3532</v>
      </c>
    </row>
    <row r="519" spans="2:3" x14ac:dyDescent="0.25">
      <c r="B519" s="59" t="s">
        <v>7</v>
      </c>
      <c r="C519" s="59">
        <v>1010</v>
      </c>
    </row>
    <row r="520" spans="2:3" x14ac:dyDescent="0.25">
      <c r="B520" s="59" t="s">
        <v>1396</v>
      </c>
      <c r="C520" s="59">
        <v>484523</v>
      </c>
    </row>
    <row r="521" spans="2:3" x14ac:dyDescent="0.25">
      <c r="B521" s="59" t="s">
        <v>408</v>
      </c>
      <c r="C521" s="59" t="s">
        <v>410</v>
      </c>
    </row>
    <row r="522" spans="2:3" x14ac:dyDescent="0.25">
      <c r="B522" s="59" t="s">
        <v>114</v>
      </c>
      <c r="C522" s="59">
        <v>4177</v>
      </c>
    </row>
    <row r="523" spans="2:3" x14ac:dyDescent="0.25">
      <c r="B523" s="59" t="s">
        <v>822</v>
      </c>
      <c r="C523" s="59" t="s">
        <v>824</v>
      </c>
    </row>
    <row r="524" spans="2:3" x14ac:dyDescent="0.25">
      <c r="B524" s="59" t="s">
        <v>411</v>
      </c>
      <c r="C524" s="59" t="s">
        <v>413</v>
      </c>
    </row>
    <row r="525" spans="2:3" x14ac:dyDescent="0.25">
      <c r="B525" s="59" t="s">
        <v>414</v>
      </c>
      <c r="C525" s="59">
        <v>206103</v>
      </c>
    </row>
    <row r="526" spans="2:3" x14ac:dyDescent="0.25">
      <c r="B526" s="59" t="s">
        <v>415</v>
      </c>
      <c r="C526" s="59" t="s">
        <v>417</v>
      </c>
    </row>
    <row r="527" spans="2:3" x14ac:dyDescent="0.25">
      <c r="B527" s="59" t="s">
        <v>418</v>
      </c>
      <c r="C527" s="59" t="s">
        <v>420</v>
      </c>
    </row>
    <row r="528" spans="2:3" x14ac:dyDescent="0.25">
      <c r="B528" s="59" t="s">
        <v>421</v>
      </c>
      <c r="C528" s="59">
        <v>258420</v>
      </c>
    </row>
    <row r="529" spans="2:3" x14ac:dyDescent="0.25">
      <c r="B529" s="59" t="s">
        <v>423</v>
      </c>
      <c r="C529" s="59">
        <v>258424</v>
      </c>
    </row>
    <row r="530" spans="2:3" x14ac:dyDescent="0.25">
      <c r="B530" s="59" t="s">
        <v>1397</v>
      </c>
      <c r="C530" s="59">
        <v>482634</v>
      </c>
    </row>
    <row r="531" spans="2:3" x14ac:dyDescent="0.25">
      <c r="B531" s="59" t="s">
        <v>425</v>
      </c>
      <c r="C531" s="59" t="s">
        <v>426</v>
      </c>
    </row>
    <row r="532" spans="2:3" x14ac:dyDescent="0.25">
      <c r="B532" s="59" t="s">
        <v>65</v>
      </c>
      <c r="C532" s="59">
        <v>3546</v>
      </c>
    </row>
    <row r="533" spans="2:3" x14ac:dyDescent="0.25">
      <c r="B533" s="59" t="s">
        <v>8</v>
      </c>
      <c r="C533" s="59">
        <v>1009</v>
      </c>
    </row>
    <row r="534" spans="2:3" x14ac:dyDescent="0.25">
      <c r="B534" s="59" t="s">
        <v>1398</v>
      </c>
      <c r="C534" s="59">
        <v>476554</v>
      </c>
    </row>
    <row r="535" spans="2:3" x14ac:dyDescent="0.25">
      <c r="B535" s="59" t="s">
        <v>66</v>
      </c>
      <c r="C535" s="59">
        <v>3530</v>
      </c>
    </row>
    <row r="536" spans="2:3" x14ac:dyDescent="0.25">
      <c r="B536" s="59" t="s">
        <v>74</v>
      </c>
      <c r="C536" s="59">
        <v>5412</v>
      </c>
    </row>
    <row r="537" spans="2:3" x14ac:dyDescent="0.25">
      <c r="B537" s="59" t="s">
        <v>432</v>
      </c>
      <c r="C537" s="59" t="s">
        <v>433</v>
      </c>
    </row>
    <row r="538" spans="2:3" x14ac:dyDescent="0.25">
      <c r="B538" s="59" t="s">
        <v>427</v>
      </c>
      <c r="C538" s="59" t="s">
        <v>429</v>
      </c>
    </row>
    <row r="539" spans="2:3" x14ac:dyDescent="0.25">
      <c r="B539" s="59" t="s">
        <v>9</v>
      </c>
      <c r="C539" s="59">
        <v>1015</v>
      </c>
    </row>
    <row r="540" spans="2:3" x14ac:dyDescent="0.25">
      <c r="B540" s="59" t="s">
        <v>430</v>
      </c>
      <c r="C540" s="59" t="s">
        <v>431</v>
      </c>
    </row>
    <row r="541" spans="2:3" x14ac:dyDescent="0.25">
      <c r="B541" s="59" t="s">
        <v>434</v>
      </c>
      <c r="C541" s="59">
        <v>509204</v>
      </c>
    </row>
    <row r="542" spans="2:3" x14ac:dyDescent="0.25">
      <c r="B542" s="59" t="s">
        <v>434</v>
      </c>
      <c r="C542" s="59" t="s">
        <v>825</v>
      </c>
    </row>
    <row r="543" spans="2:3" x14ac:dyDescent="0.25">
      <c r="B543" s="59" t="s">
        <v>67</v>
      </c>
      <c r="C543" s="59">
        <v>2459</v>
      </c>
    </row>
    <row r="544" spans="2:3" x14ac:dyDescent="0.25">
      <c r="B544" s="59" t="s">
        <v>96</v>
      </c>
      <c r="C544" s="59">
        <v>2007</v>
      </c>
    </row>
    <row r="545" spans="2:3" x14ac:dyDescent="0.25">
      <c r="B545" s="11"/>
      <c r="C545" s="2"/>
    </row>
    <row r="546" spans="2:3" x14ac:dyDescent="0.25">
      <c r="B546" s="11"/>
      <c r="C546" s="2"/>
    </row>
  </sheetData>
  <sheetProtection password="EF5C" sheet="1" objects="1" scenarios="1" selectLockedCells="1" selectUnlockedCells="1"/>
  <autoFilter ref="A1:AW57"/>
  <pageMargins left="0.23622047244094491" right="0.23622047244094491" top="0.35433070866141736" bottom="0.35433070866141736" header="0.31496062992125984" footer="0.31496062992125984"/>
  <pageSetup paperSize="9" scale="55" orientation="landscape" r:id="rId1"/>
  <headerFooter alignWithMargins="0">
    <oddHeader>&amp;A&amp;L&amp;"arial,Bold"&amp;11&amp;K008040Classification: OFFICIAL</oddHeader>
    <oddFooter>&amp;Z&amp;F&amp;L&amp;"arial,Bold"&amp;11&amp;K008040Classification: OFFICIAL</oddFooter>
    <evenHeader>&amp;C&amp;A&amp;L&amp;"arial,Bold"&amp;11&amp;K008040Classification: OFFICIAL</evenHeader>
    <evenFooter>&amp;C&amp;Z&amp;F&amp;L&amp;"arial,Bold"&amp;11&amp;K008040Classification: OFFICIAL</evenFooter>
    <firstHeader>&amp;C&amp;A&amp;L&amp;"arial,Bold"&amp;11&amp;K008040Classification: OFFICIAL</firstHeader>
    <firstFooter>&amp;C&amp;Z&amp;F&amp;L&amp;"arial,Bold"&amp;11&amp;K008040Classification: OFFICIAL</first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pageSetUpPr fitToPage="1"/>
  </sheetPr>
  <dimension ref="A1:CK46"/>
  <sheetViews>
    <sheetView zoomScale="70" zoomScaleNormal="70" workbookViewId="0">
      <pane xSplit="6" ySplit="5" topLeftCell="BO6" activePane="bottomRight" state="frozen"/>
      <selection activeCell="BM9" sqref="BM9"/>
      <selection pane="topRight" activeCell="BM9" sqref="BM9"/>
      <selection pane="bottomLeft" activeCell="BM9" sqref="BM9"/>
      <selection pane="bottomRight" activeCell="BU27" sqref="BU27"/>
    </sheetView>
  </sheetViews>
  <sheetFormatPr defaultRowHeight="14.4" x14ac:dyDescent="0.3"/>
  <cols>
    <col min="1" max="1" width="9.109375" style="401" customWidth="1"/>
    <col min="2" max="2" width="14" style="401" customWidth="1"/>
    <col min="3" max="5" width="15.33203125" style="401" customWidth="1"/>
    <col min="6" max="6" width="2.5546875" style="401" customWidth="1"/>
    <col min="7" max="7" width="9.44140625" style="401" customWidth="1"/>
    <col min="8" max="8" width="15.109375" style="401" customWidth="1"/>
    <col min="9" max="9" width="11" style="401" customWidth="1"/>
    <col min="10" max="26" width="9.109375" style="401" customWidth="1"/>
    <col min="27" max="27" width="3.88671875" style="401" customWidth="1"/>
    <col min="28" max="28" width="9.109375" style="401" customWidth="1"/>
    <col min="29" max="29" width="13.33203125" style="401" customWidth="1"/>
    <col min="30" max="33" width="9.109375" style="401" customWidth="1"/>
    <col min="34" max="34" width="11.88671875" style="401" customWidth="1"/>
    <col min="35" max="35" width="10.109375" style="401" customWidth="1"/>
    <col min="36" max="46" width="9.109375" style="401" customWidth="1"/>
    <col min="47" max="47" width="3.109375" style="401" customWidth="1"/>
    <col min="48" max="66" width="9.109375" style="401" customWidth="1"/>
    <col min="67" max="67" width="2.44140625" style="401" customWidth="1"/>
    <col min="68" max="72" width="13.44140625" style="399" customWidth="1"/>
    <col min="73" max="73" width="18.33203125" style="399" customWidth="1"/>
    <col min="74" max="74" width="15" style="399" customWidth="1"/>
    <col min="75" max="75" width="14.109375" style="399" customWidth="1"/>
    <col min="76" max="76" width="3.44140625" style="401" customWidth="1"/>
    <col min="77" max="77" width="9.109375" style="401" customWidth="1"/>
    <col min="78" max="80" width="12" style="401" customWidth="1"/>
    <col min="81" max="83" width="9.109375" style="401" customWidth="1"/>
    <col min="84" max="84" width="11.44140625" style="401" customWidth="1"/>
    <col min="85" max="86" width="9.109375" style="401" customWidth="1"/>
    <col min="87" max="87" width="11.109375" style="401" customWidth="1"/>
    <col min="88" max="104" width="9.109375" style="401" customWidth="1"/>
    <col min="105" max="240" width="9.109375" style="401"/>
    <col min="241" max="241" width="14" style="401" customWidth="1"/>
    <col min="242" max="244" width="15.33203125" style="401" customWidth="1"/>
    <col min="245" max="245" width="2.5546875" style="401" customWidth="1"/>
    <col min="246" max="246" width="15.33203125" style="401" bestFit="1" customWidth="1"/>
    <col min="247" max="263" width="9.109375" style="401" customWidth="1"/>
    <col min="264" max="264" width="9.44140625" style="401" customWidth="1"/>
    <col min="265" max="265" width="15.109375" style="401" customWidth="1"/>
    <col min="266" max="266" width="11" style="401" customWidth="1"/>
    <col min="267" max="270" width="9.109375" style="401"/>
    <col min="271" max="272" width="0" style="401" hidden="1" customWidth="1"/>
    <col min="273" max="276" width="9.109375" style="401"/>
    <col min="277" max="278" width="0" style="401" hidden="1" customWidth="1"/>
    <col min="279" max="283" width="9.109375" style="401"/>
    <col min="284" max="284" width="3.88671875" style="401" customWidth="1"/>
    <col min="285" max="285" width="9.109375" style="401" customWidth="1"/>
    <col min="286" max="286" width="13.33203125" style="401" customWidth="1"/>
    <col min="287" max="287" width="9.109375" style="401" customWidth="1"/>
    <col min="288" max="290" width="9.109375" style="401"/>
    <col min="291" max="291" width="11.88671875" style="401" customWidth="1"/>
    <col min="292" max="292" width="10.109375" style="401" customWidth="1"/>
    <col min="293" max="296" width="9.109375" style="401"/>
    <col min="297" max="298" width="0" style="401" hidden="1" customWidth="1"/>
    <col min="299" max="303" width="9.109375" style="401"/>
    <col min="304" max="304" width="3.109375" style="401" customWidth="1"/>
    <col min="305" max="323" width="9.109375" style="401"/>
    <col min="324" max="324" width="2.44140625" style="401" customWidth="1"/>
    <col min="325" max="325" width="13.44140625" style="401" bestFit="1" customWidth="1"/>
    <col min="326" max="328" width="13.44140625" style="401" customWidth="1"/>
    <col min="329" max="329" width="18.33203125" style="401" bestFit="1" customWidth="1"/>
    <col min="330" max="330" width="15" style="401" bestFit="1" customWidth="1"/>
    <col min="331" max="331" width="14.109375" style="401" customWidth="1"/>
    <col min="332" max="332" width="3.44140625" style="401" customWidth="1"/>
    <col min="333" max="496" width="9.109375" style="401"/>
    <col min="497" max="497" width="14" style="401" customWidth="1"/>
    <col min="498" max="500" width="15.33203125" style="401" customWidth="1"/>
    <col min="501" max="501" width="2.5546875" style="401" customWidth="1"/>
    <col min="502" max="502" width="15.33203125" style="401" bestFit="1" customWidth="1"/>
    <col min="503" max="519" width="9.109375" style="401" customWidth="1"/>
    <col min="520" max="520" width="9.44140625" style="401" customWidth="1"/>
    <col min="521" max="521" width="15.109375" style="401" customWidth="1"/>
    <col min="522" max="522" width="11" style="401" customWidth="1"/>
    <col min="523" max="526" width="9.109375" style="401"/>
    <col min="527" max="528" width="0" style="401" hidden="1" customWidth="1"/>
    <col min="529" max="532" width="9.109375" style="401"/>
    <col min="533" max="534" width="0" style="401" hidden="1" customWidth="1"/>
    <col min="535" max="539" width="9.109375" style="401"/>
    <col min="540" max="540" width="3.88671875" style="401" customWidth="1"/>
    <col min="541" max="541" width="9.109375" style="401" customWidth="1"/>
    <col min="542" max="542" width="13.33203125" style="401" customWidth="1"/>
    <col min="543" max="543" width="9.109375" style="401" customWidth="1"/>
    <col min="544" max="546" width="9.109375" style="401"/>
    <col min="547" max="547" width="11.88671875" style="401" customWidth="1"/>
    <col min="548" max="548" width="10.109375" style="401" customWidth="1"/>
    <col min="549" max="552" width="9.109375" style="401"/>
    <col min="553" max="554" width="0" style="401" hidden="1" customWidth="1"/>
    <col min="555" max="559" width="9.109375" style="401"/>
    <col min="560" max="560" width="3.109375" style="401" customWidth="1"/>
    <col min="561" max="579" width="9.109375" style="401"/>
    <col min="580" max="580" width="2.44140625" style="401" customWidth="1"/>
    <col min="581" max="581" width="13.44140625" style="401" bestFit="1" customWidth="1"/>
    <col min="582" max="584" width="13.44140625" style="401" customWidth="1"/>
    <col min="585" max="585" width="18.33203125" style="401" bestFit="1" customWidth="1"/>
    <col min="586" max="586" width="15" style="401" bestFit="1" customWidth="1"/>
    <col min="587" max="587" width="14.109375" style="401" customWidth="1"/>
    <col min="588" max="588" width="3.44140625" style="401" customWidth="1"/>
    <col min="589" max="752" width="9.109375" style="401"/>
    <col min="753" max="753" width="14" style="401" customWidth="1"/>
    <col min="754" max="756" width="15.33203125" style="401" customWidth="1"/>
    <col min="757" max="757" width="2.5546875" style="401" customWidth="1"/>
    <col min="758" max="758" width="15.33203125" style="401" bestFit="1" customWidth="1"/>
    <col min="759" max="775" width="9.109375" style="401" customWidth="1"/>
    <col min="776" max="776" width="9.44140625" style="401" customWidth="1"/>
    <col min="777" max="777" width="15.109375" style="401" customWidth="1"/>
    <col min="778" max="778" width="11" style="401" customWidth="1"/>
    <col min="779" max="782" width="9.109375" style="401"/>
    <col min="783" max="784" width="0" style="401" hidden="1" customWidth="1"/>
    <col min="785" max="788" width="9.109375" style="401"/>
    <col min="789" max="790" width="0" style="401" hidden="1" customWidth="1"/>
    <col min="791" max="795" width="9.109375" style="401"/>
    <col min="796" max="796" width="3.88671875" style="401" customWidth="1"/>
    <col min="797" max="797" width="9.109375" style="401" customWidth="1"/>
    <col min="798" max="798" width="13.33203125" style="401" customWidth="1"/>
    <col min="799" max="799" width="9.109375" style="401" customWidth="1"/>
    <col min="800" max="802" width="9.109375" style="401"/>
    <col min="803" max="803" width="11.88671875" style="401" customWidth="1"/>
    <col min="804" max="804" width="10.109375" style="401" customWidth="1"/>
    <col min="805" max="808" width="9.109375" style="401"/>
    <col min="809" max="810" width="0" style="401" hidden="1" customWidth="1"/>
    <col min="811" max="815" width="9.109375" style="401"/>
    <col min="816" max="816" width="3.109375" style="401" customWidth="1"/>
    <col min="817" max="835" width="9.109375" style="401"/>
    <col min="836" max="836" width="2.44140625" style="401" customWidth="1"/>
    <col min="837" max="837" width="13.44140625" style="401" bestFit="1" customWidth="1"/>
    <col min="838" max="840" width="13.44140625" style="401" customWidth="1"/>
    <col min="841" max="841" width="18.33203125" style="401" bestFit="1" customWidth="1"/>
    <col min="842" max="842" width="15" style="401" bestFit="1" customWidth="1"/>
    <col min="843" max="843" width="14.109375" style="401" customWidth="1"/>
    <col min="844" max="844" width="3.44140625" style="401" customWidth="1"/>
    <col min="845" max="1008" width="9.109375" style="401"/>
    <col min="1009" max="1009" width="14" style="401" customWidth="1"/>
    <col min="1010" max="1012" width="15.33203125" style="401" customWidth="1"/>
    <col min="1013" max="1013" width="2.5546875" style="401" customWidth="1"/>
    <col min="1014" max="1014" width="15.33203125" style="401" bestFit="1" customWidth="1"/>
    <col min="1015" max="1031" width="9.109375" style="401" customWidth="1"/>
    <col min="1032" max="1032" width="9.44140625" style="401" customWidth="1"/>
    <col min="1033" max="1033" width="15.109375" style="401" customWidth="1"/>
    <col min="1034" max="1034" width="11" style="401" customWidth="1"/>
    <col min="1035" max="1038" width="9.109375" style="401"/>
    <col min="1039" max="1040" width="0" style="401" hidden="1" customWidth="1"/>
    <col min="1041" max="1044" width="9.109375" style="401"/>
    <col min="1045" max="1046" width="0" style="401" hidden="1" customWidth="1"/>
    <col min="1047" max="1051" width="9.109375" style="401"/>
    <col min="1052" max="1052" width="3.88671875" style="401" customWidth="1"/>
    <col min="1053" max="1053" width="9.109375" style="401" customWidth="1"/>
    <col min="1054" max="1054" width="13.33203125" style="401" customWidth="1"/>
    <col min="1055" max="1055" width="9.109375" style="401" customWidth="1"/>
    <col min="1056" max="1058" width="9.109375" style="401"/>
    <col min="1059" max="1059" width="11.88671875" style="401" customWidth="1"/>
    <col min="1060" max="1060" width="10.109375" style="401" customWidth="1"/>
    <col min="1061" max="1064" width="9.109375" style="401"/>
    <col min="1065" max="1066" width="0" style="401" hidden="1" customWidth="1"/>
    <col min="1067" max="1071" width="9.109375" style="401"/>
    <col min="1072" max="1072" width="3.109375" style="401" customWidth="1"/>
    <col min="1073" max="1091" width="9.109375" style="401"/>
    <col min="1092" max="1092" width="2.44140625" style="401" customWidth="1"/>
    <col min="1093" max="1093" width="13.44140625" style="401" bestFit="1" customWidth="1"/>
    <col min="1094" max="1096" width="13.44140625" style="401" customWidth="1"/>
    <col min="1097" max="1097" width="18.33203125" style="401" bestFit="1" customWidth="1"/>
    <col min="1098" max="1098" width="15" style="401" bestFit="1" customWidth="1"/>
    <col min="1099" max="1099" width="14.109375" style="401" customWidth="1"/>
    <col min="1100" max="1100" width="3.44140625" style="401" customWidth="1"/>
    <col min="1101" max="1264" width="9.109375" style="401"/>
    <col min="1265" max="1265" width="14" style="401" customWidth="1"/>
    <col min="1266" max="1268" width="15.33203125" style="401" customWidth="1"/>
    <col min="1269" max="1269" width="2.5546875" style="401" customWidth="1"/>
    <col min="1270" max="1270" width="15.33203125" style="401" bestFit="1" customWidth="1"/>
    <col min="1271" max="1287" width="9.109375" style="401" customWidth="1"/>
    <col min="1288" max="1288" width="9.44140625" style="401" customWidth="1"/>
    <col min="1289" max="1289" width="15.109375" style="401" customWidth="1"/>
    <col min="1290" max="1290" width="11" style="401" customWidth="1"/>
    <col min="1291" max="1294" width="9.109375" style="401"/>
    <col min="1295" max="1296" width="0" style="401" hidden="1" customWidth="1"/>
    <col min="1297" max="1300" width="9.109375" style="401"/>
    <col min="1301" max="1302" width="0" style="401" hidden="1" customWidth="1"/>
    <col min="1303" max="1307" width="9.109375" style="401"/>
    <col min="1308" max="1308" width="3.88671875" style="401" customWidth="1"/>
    <col min="1309" max="1309" width="9.109375" style="401" customWidth="1"/>
    <col min="1310" max="1310" width="13.33203125" style="401" customWidth="1"/>
    <col min="1311" max="1311" width="9.109375" style="401" customWidth="1"/>
    <col min="1312" max="1314" width="9.109375" style="401"/>
    <col min="1315" max="1315" width="11.88671875" style="401" customWidth="1"/>
    <col min="1316" max="1316" width="10.109375" style="401" customWidth="1"/>
    <col min="1317" max="1320" width="9.109375" style="401"/>
    <col min="1321" max="1322" width="0" style="401" hidden="1" customWidth="1"/>
    <col min="1323" max="1327" width="9.109375" style="401"/>
    <col min="1328" max="1328" width="3.109375" style="401" customWidth="1"/>
    <col min="1329" max="1347" width="9.109375" style="401"/>
    <col min="1348" max="1348" width="2.44140625" style="401" customWidth="1"/>
    <col min="1349" max="1349" width="13.44140625" style="401" bestFit="1" customWidth="1"/>
    <col min="1350" max="1352" width="13.44140625" style="401" customWidth="1"/>
    <col min="1353" max="1353" width="18.33203125" style="401" bestFit="1" customWidth="1"/>
    <col min="1354" max="1354" width="15" style="401" bestFit="1" customWidth="1"/>
    <col min="1355" max="1355" width="14.109375" style="401" customWidth="1"/>
    <col min="1356" max="1356" width="3.44140625" style="401" customWidth="1"/>
    <col min="1357" max="1520" width="9.109375" style="401"/>
    <col min="1521" max="1521" width="14" style="401" customWidth="1"/>
    <col min="1522" max="1524" width="15.33203125" style="401" customWidth="1"/>
    <col min="1525" max="1525" width="2.5546875" style="401" customWidth="1"/>
    <col min="1526" max="1526" width="15.33203125" style="401" bestFit="1" customWidth="1"/>
    <col min="1527" max="1543" width="9.109375" style="401" customWidth="1"/>
    <col min="1544" max="1544" width="9.44140625" style="401" customWidth="1"/>
    <col min="1545" max="1545" width="15.109375" style="401" customWidth="1"/>
    <col min="1546" max="1546" width="11" style="401" customWidth="1"/>
    <col min="1547" max="1550" width="9.109375" style="401"/>
    <col min="1551" max="1552" width="0" style="401" hidden="1" customWidth="1"/>
    <col min="1553" max="1556" width="9.109375" style="401"/>
    <col min="1557" max="1558" width="0" style="401" hidden="1" customWidth="1"/>
    <col min="1559" max="1563" width="9.109375" style="401"/>
    <col min="1564" max="1564" width="3.88671875" style="401" customWidth="1"/>
    <col min="1565" max="1565" width="9.109375" style="401" customWidth="1"/>
    <col min="1566" max="1566" width="13.33203125" style="401" customWidth="1"/>
    <col min="1567" max="1567" width="9.109375" style="401" customWidth="1"/>
    <col min="1568" max="1570" width="9.109375" style="401"/>
    <col min="1571" max="1571" width="11.88671875" style="401" customWidth="1"/>
    <col min="1572" max="1572" width="10.109375" style="401" customWidth="1"/>
    <col min="1573" max="1576" width="9.109375" style="401"/>
    <col min="1577" max="1578" width="0" style="401" hidden="1" customWidth="1"/>
    <col min="1579" max="1583" width="9.109375" style="401"/>
    <col min="1584" max="1584" width="3.109375" style="401" customWidth="1"/>
    <col min="1585" max="1603" width="9.109375" style="401"/>
    <col min="1604" max="1604" width="2.44140625" style="401" customWidth="1"/>
    <col min="1605" max="1605" width="13.44140625" style="401" bestFit="1" customWidth="1"/>
    <col min="1606" max="1608" width="13.44140625" style="401" customWidth="1"/>
    <col min="1609" max="1609" width="18.33203125" style="401" bestFit="1" customWidth="1"/>
    <col min="1610" max="1610" width="15" style="401" bestFit="1" customWidth="1"/>
    <col min="1611" max="1611" width="14.109375" style="401" customWidth="1"/>
    <col min="1612" max="1612" width="3.44140625" style="401" customWidth="1"/>
    <col min="1613" max="1776" width="9.109375" style="401"/>
    <col min="1777" max="1777" width="14" style="401" customWidth="1"/>
    <col min="1778" max="1780" width="15.33203125" style="401" customWidth="1"/>
    <col min="1781" max="1781" width="2.5546875" style="401" customWidth="1"/>
    <col min="1782" max="1782" width="15.33203125" style="401" bestFit="1" customWidth="1"/>
    <col min="1783" max="1799" width="9.109375" style="401" customWidth="1"/>
    <col min="1800" max="1800" width="9.44140625" style="401" customWidth="1"/>
    <col min="1801" max="1801" width="15.109375" style="401" customWidth="1"/>
    <col min="1802" max="1802" width="11" style="401" customWidth="1"/>
    <col min="1803" max="1806" width="9.109375" style="401"/>
    <col min="1807" max="1808" width="0" style="401" hidden="1" customWidth="1"/>
    <col min="1809" max="1812" width="9.109375" style="401"/>
    <col min="1813" max="1814" width="0" style="401" hidden="1" customWidth="1"/>
    <col min="1815" max="1819" width="9.109375" style="401"/>
    <col min="1820" max="1820" width="3.88671875" style="401" customWidth="1"/>
    <col min="1821" max="1821" width="9.109375" style="401" customWidth="1"/>
    <col min="1822" max="1822" width="13.33203125" style="401" customWidth="1"/>
    <col min="1823" max="1823" width="9.109375" style="401" customWidth="1"/>
    <col min="1824" max="1826" width="9.109375" style="401"/>
    <col min="1827" max="1827" width="11.88671875" style="401" customWidth="1"/>
    <col min="1828" max="1828" width="10.109375" style="401" customWidth="1"/>
    <col min="1829" max="1832" width="9.109375" style="401"/>
    <col min="1833" max="1834" width="0" style="401" hidden="1" customWidth="1"/>
    <col min="1835" max="1839" width="9.109375" style="401"/>
    <col min="1840" max="1840" width="3.109375" style="401" customWidth="1"/>
    <col min="1841" max="1859" width="9.109375" style="401"/>
    <col min="1860" max="1860" width="2.44140625" style="401" customWidth="1"/>
    <col min="1861" max="1861" width="13.44140625" style="401" bestFit="1" customWidth="1"/>
    <col min="1862" max="1864" width="13.44140625" style="401" customWidth="1"/>
    <col min="1865" max="1865" width="18.33203125" style="401" bestFit="1" customWidth="1"/>
    <col min="1866" max="1866" width="15" style="401" bestFit="1" customWidth="1"/>
    <col min="1867" max="1867" width="14.109375" style="401" customWidth="1"/>
    <col min="1868" max="1868" width="3.44140625" style="401" customWidth="1"/>
    <col min="1869" max="2032" width="9.109375" style="401"/>
    <col min="2033" max="2033" width="14" style="401" customWidth="1"/>
    <col min="2034" max="2036" width="15.33203125" style="401" customWidth="1"/>
    <col min="2037" max="2037" width="2.5546875" style="401" customWidth="1"/>
    <col min="2038" max="2038" width="15.33203125" style="401" bestFit="1" customWidth="1"/>
    <col min="2039" max="2055" width="9.109375" style="401" customWidth="1"/>
    <col min="2056" max="2056" width="9.44140625" style="401" customWidth="1"/>
    <col min="2057" max="2057" width="15.109375" style="401" customWidth="1"/>
    <col min="2058" max="2058" width="11" style="401" customWidth="1"/>
    <col min="2059" max="2062" width="9.109375" style="401"/>
    <col min="2063" max="2064" width="0" style="401" hidden="1" customWidth="1"/>
    <col min="2065" max="2068" width="9.109375" style="401"/>
    <col min="2069" max="2070" width="0" style="401" hidden="1" customWidth="1"/>
    <col min="2071" max="2075" width="9.109375" style="401"/>
    <col min="2076" max="2076" width="3.88671875" style="401" customWidth="1"/>
    <col min="2077" max="2077" width="9.109375" style="401" customWidth="1"/>
    <col min="2078" max="2078" width="13.33203125" style="401" customWidth="1"/>
    <col min="2079" max="2079" width="9.109375" style="401" customWidth="1"/>
    <col min="2080" max="2082" width="9.109375" style="401"/>
    <col min="2083" max="2083" width="11.88671875" style="401" customWidth="1"/>
    <col min="2084" max="2084" width="10.109375" style="401" customWidth="1"/>
    <col min="2085" max="2088" width="9.109375" style="401"/>
    <col min="2089" max="2090" width="0" style="401" hidden="1" customWidth="1"/>
    <col min="2091" max="2095" width="9.109375" style="401"/>
    <col min="2096" max="2096" width="3.109375" style="401" customWidth="1"/>
    <col min="2097" max="2115" width="9.109375" style="401"/>
    <col min="2116" max="2116" width="2.44140625" style="401" customWidth="1"/>
    <col min="2117" max="2117" width="13.44140625" style="401" bestFit="1" customWidth="1"/>
    <col min="2118" max="2120" width="13.44140625" style="401" customWidth="1"/>
    <col min="2121" max="2121" width="18.33203125" style="401" bestFit="1" customWidth="1"/>
    <col min="2122" max="2122" width="15" style="401" bestFit="1" customWidth="1"/>
    <col min="2123" max="2123" width="14.109375" style="401" customWidth="1"/>
    <col min="2124" max="2124" width="3.44140625" style="401" customWidth="1"/>
    <col min="2125" max="2288" width="9.109375" style="401"/>
    <col min="2289" max="2289" width="14" style="401" customWidth="1"/>
    <col min="2290" max="2292" width="15.33203125" style="401" customWidth="1"/>
    <col min="2293" max="2293" width="2.5546875" style="401" customWidth="1"/>
    <col min="2294" max="2294" width="15.33203125" style="401" bestFit="1" customWidth="1"/>
    <col min="2295" max="2311" width="9.109375" style="401" customWidth="1"/>
    <col min="2312" max="2312" width="9.44140625" style="401" customWidth="1"/>
    <col min="2313" max="2313" width="15.109375" style="401" customWidth="1"/>
    <col min="2314" max="2314" width="11" style="401" customWidth="1"/>
    <col min="2315" max="2318" width="9.109375" style="401"/>
    <col min="2319" max="2320" width="0" style="401" hidden="1" customWidth="1"/>
    <col min="2321" max="2324" width="9.109375" style="401"/>
    <col min="2325" max="2326" width="0" style="401" hidden="1" customWidth="1"/>
    <col min="2327" max="2331" width="9.109375" style="401"/>
    <col min="2332" max="2332" width="3.88671875" style="401" customWidth="1"/>
    <col min="2333" max="2333" width="9.109375" style="401" customWidth="1"/>
    <col min="2334" max="2334" width="13.33203125" style="401" customWidth="1"/>
    <col min="2335" max="2335" width="9.109375" style="401" customWidth="1"/>
    <col min="2336" max="2338" width="9.109375" style="401"/>
    <col min="2339" max="2339" width="11.88671875" style="401" customWidth="1"/>
    <col min="2340" max="2340" width="10.109375" style="401" customWidth="1"/>
    <col min="2341" max="2344" width="9.109375" style="401"/>
    <col min="2345" max="2346" width="0" style="401" hidden="1" customWidth="1"/>
    <col min="2347" max="2351" width="9.109375" style="401"/>
    <col min="2352" max="2352" width="3.109375" style="401" customWidth="1"/>
    <col min="2353" max="2371" width="9.109375" style="401"/>
    <col min="2372" max="2372" width="2.44140625" style="401" customWidth="1"/>
    <col min="2373" max="2373" width="13.44140625" style="401" bestFit="1" customWidth="1"/>
    <col min="2374" max="2376" width="13.44140625" style="401" customWidth="1"/>
    <col min="2377" max="2377" width="18.33203125" style="401" bestFit="1" customWidth="1"/>
    <col min="2378" max="2378" width="15" style="401" bestFit="1" customWidth="1"/>
    <col min="2379" max="2379" width="14.109375" style="401" customWidth="1"/>
    <col min="2380" max="2380" width="3.44140625" style="401" customWidth="1"/>
    <col min="2381" max="2544" width="9.109375" style="401"/>
    <col min="2545" max="2545" width="14" style="401" customWidth="1"/>
    <col min="2546" max="2548" width="15.33203125" style="401" customWidth="1"/>
    <col min="2549" max="2549" width="2.5546875" style="401" customWidth="1"/>
    <col min="2550" max="2550" width="15.33203125" style="401" bestFit="1" customWidth="1"/>
    <col min="2551" max="2567" width="9.109375" style="401" customWidth="1"/>
    <col min="2568" max="2568" width="9.44140625" style="401" customWidth="1"/>
    <col min="2569" max="2569" width="15.109375" style="401" customWidth="1"/>
    <col min="2570" max="2570" width="11" style="401" customWidth="1"/>
    <col min="2571" max="2574" width="9.109375" style="401"/>
    <col min="2575" max="2576" width="0" style="401" hidden="1" customWidth="1"/>
    <col min="2577" max="2580" width="9.109375" style="401"/>
    <col min="2581" max="2582" width="0" style="401" hidden="1" customWidth="1"/>
    <col min="2583" max="2587" width="9.109375" style="401"/>
    <col min="2588" max="2588" width="3.88671875" style="401" customWidth="1"/>
    <col min="2589" max="2589" width="9.109375" style="401" customWidth="1"/>
    <col min="2590" max="2590" width="13.33203125" style="401" customWidth="1"/>
    <col min="2591" max="2591" width="9.109375" style="401" customWidth="1"/>
    <col min="2592" max="2594" width="9.109375" style="401"/>
    <col min="2595" max="2595" width="11.88671875" style="401" customWidth="1"/>
    <col min="2596" max="2596" width="10.109375" style="401" customWidth="1"/>
    <col min="2597" max="2600" width="9.109375" style="401"/>
    <col min="2601" max="2602" width="0" style="401" hidden="1" customWidth="1"/>
    <col min="2603" max="2607" width="9.109375" style="401"/>
    <col min="2608" max="2608" width="3.109375" style="401" customWidth="1"/>
    <col min="2609" max="2627" width="9.109375" style="401"/>
    <col min="2628" max="2628" width="2.44140625" style="401" customWidth="1"/>
    <col min="2629" max="2629" width="13.44140625" style="401" bestFit="1" customWidth="1"/>
    <col min="2630" max="2632" width="13.44140625" style="401" customWidth="1"/>
    <col min="2633" max="2633" width="18.33203125" style="401" bestFit="1" customWidth="1"/>
    <col min="2634" max="2634" width="15" style="401" bestFit="1" customWidth="1"/>
    <col min="2635" max="2635" width="14.109375" style="401" customWidth="1"/>
    <col min="2636" max="2636" width="3.44140625" style="401" customWidth="1"/>
    <col min="2637" max="2800" width="9.109375" style="401"/>
    <col min="2801" max="2801" width="14" style="401" customWidth="1"/>
    <col min="2802" max="2804" width="15.33203125" style="401" customWidth="1"/>
    <col min="2805" max="2805" width="2.5546875" style="401" customWidth="1"/>
    <col min="2806" max="2806" width="15.33203125" style="401" bestFit="1" customWidth="1"/>
    <col min="2807" max="2823" width="9.109375" style="401" customWidth="1"/>
    <col min="2824" max="2824" width="9.44140625" style="401" customWidth="1"/>
    <col min="2825" max="2825" width="15.109375" style="401" customWidth="1"/>
    <col min="2826" max="2826" width="11" style="401" customWidth="1"/>
    <col min="2827" max="2830" width="9.109375" style="401"/>
    <col min="2831" max="2832" width="0" style="401" hidden="1" customWidth="1"/>
    <col min="2833" max="2836" width="9.109375" style="401"/>
    <col min="2837" max="2838" width="0" style="401" hidden="1" customWidth="1"/>
    <col min="2839" max="2843" width="9.109375" style="401"/>
    <col min="2844" max="2844" width="3.88671875" style="401" customWidth="1"/>
    <col min="2845" max="2845" width="9.109375" style="401" customWidth="1"/>
    <col min="2846" max="2846" width="13.33203125" style="401" customWidth="1"/>
    <col min="2847" max="2847" width="9.109375" style="401" customWidth="1"/>
    <col min="2848" max="2850" width="9.109375" style="401"/>
    <col min="2851" max="2851" width="11.88671875" style="401" customWidth="1"/>
    <col min="2852" max="2852" width="10.109375" style="401" customWidth="1"/>
    <col min="2853" max="2856" width="9.109375" style="401"/>
    <col min="2857" max="2858" width="0" style="401" hidden="1" customWidth="1"/>
    <col min="2859" max="2863" width="9.109375" style="401"/>
    <col min="2864" max="2864" width="3.109375" style="401" customWidth="1"/>
    <col min="2865" max="2883" width="9.109375" style="401"/>
    <col min="2884" max="2884" width="2.44140625" style="401" customWidth="1"/>
    <col min="2885" max="2885" width="13.44140625" style="401" bestFit="1" customWidth="1"/>
    <col min="2886" max="2888" width="13.44140625" style="401" customWidth="1"/>
    <col min="2889" max="2889" width="18.33203125" style="401" bestFit="1" customWidth="1"/>
    <col min="2890" max="2890" width="15" style="401" bestFit="1" customWidth="1"/>
    <col min="2891" max="2891" width="14.109375" style="401" customWidth="1"/>
    <col min="2892" max="2892" width="3.44140625" style="401" customWidth="1"/>
    <col min="2893" max="3056" width="9.109375" style="401"/>
    <col min="3057" max="3057" width="14" style="401" customWidth="1"/>
    <col min="3058" max="3060" width="15.33203125" style="401" customWidth="1"/>
    <col min="3061" max="3061" width="2.5546875" style="401" customWidth="1"/>
    <col min="3062" max="3062" width="15.33203125" style="401" bestFit="1" customWidth="1"/>
    <col min="3063" max="3079" width="9.109375" style="401" customWidth="1"/>
    <col min="3080" max="3080" width="9.44140625" style="401" customWidth="1"/>
    <col min="3081" max="3081" width="15.109375" style="401" customWidth="1"/>
    <col min="3082" max="3082" width="11" style="401" customWidth="1"/>
    <col min="3083" max="3086" width="9.109375" style="401"/>
    <col min="3087" max="3088" width="0" style="401" hidden="1" customWidth="1"/>
    <col min="3089" max="3092" width="9.109375" style="401"/>
    <col min="3093" max="3094" width="0" style="401" hidden="1" customWidth="1"/>
    <col min="3095" max="3099" width="9.109375" style="401"/>
    <col min="3100" max="3100" width="3.88671875" style="401" customWidth="1"/>
    <col min="3101" max="3101" width="9.109375" style="401" customWidth="1"/>
    <col min="3102" max="3102" width="13.33203125" style="401" customWidth="1"/>
    <col min="3103" max="3103" width="9.109375" style="401" customWidth="1"/>
    <col min="3104" max="3106" width="9.109375" style="401"/>
    <col min="3107" max="3107" width="11.88671875" style="401" customWidth="1"/>
    <col min="3108" max="3108" width="10.109375" style="401" customWidth="1"/>
    <col min="3109" max="3112" width="9.109375" style="401"/>
    <col min="3113" max="3114" width="0" style="401" hidden="1" customWidth="1"/>
    <col min="3115" max="3119" width="9.109375" style="401"/>
    <col min="3120" max="3120" width="3.109375" style="401" customWidth="1"/>
    <col min="3121" max="3139" width="9.109375" style="401"/>
    <col min="3140" max="3140" width="2.44140625" style="401" customWidth="1"/>
    <col min="3141" max="3141" width="13.44140625" style="401" bestFit="1" customWidth="1"/>
    <col min="3142" max="3144" width="13.44140625" style="401" customWidth="1"/>
    <col min="3145" max="3145" width="18.33203125" style="401" bestFit="1" customWidth="1"/>
    <col min="3146" max="3146" width="15" style="401" bestFit="1" customWidth="1"/>
    <col min="3147" max="3147" width="14.109375" style="401" customWidth="1"/>
    <col min="3148" max="3148" width="3.44140625" style="401" customWidth="1"/>
    <col min="3149" max="3312" width="9.109375" style="401"/>
    <col min="3313" max="3313" width="14" style="401" customWidth="1"/>
    <col min="3314" max="3316" width="15.33203125" style="401" customWidth="1"/>
    <col min="3317" max="3317" width="2.5546875" style="401" customWidth="1"/>
    <col min="3318" max="3318" width="15.33203125" style="401" bestFit="1" customWidth="1"/>
    <col min="3319" max="3335" width="9.109375" style="401" customWidth="1"/>
    <col min="3336" max="3336" width="9.44140625" style="401" customWidth="1"/>
    <col min="3337" max="3337" width="15.109375" style="401" customWidth="1"/>
    <col min="3338" max="3338" width="11" style="401" customWidth="1"/>
    <col min="3339" max="3342" width="9.109375" style="401"/>
    <col min="3343" max="3344" width="0" style="401" hidden="1" customWidth="1"/>
    <col min="3345" max="3348" width="9.109375" style="401"/>
    <col min="3349" max="3350" width="0" style="401" hidden="1" customWidth="1"/>
    <col min="3351" max="3355" width="9.109375" style="401"/>
    <col min="3356" max="3356" width="3.88671875" style="401" customWidth="1"/>
    <col min="3357" max="3357" width="9.109375" style="401" customWidth="1"/>
    <col min="3358" max="3358" width="13.33203125" style="401" customWidth="1"/>
    <col min="3359" max="3359" width="9.109375" style="401" customWidth="1"/>
    <col min="3360" max="3362" width="9.109375" style="401"/>
    <col min="3363" max="3363" width="11.88671875" style="401" customWidth="1"/>
    <col min="3364" max="3364" width="10.109375" style="401" customWidth="1"/>
    <col min="3365" max="3368" width="9.109375" style="401"/>
    <col min="3369" max="3370" width="0" style="401" hidden="1" customWidth="1"/>
    <col min="3371" max="3375" width="9.109375" style="401"/>
    <col min="3376" max="3376" width="3.109375" style="401" customWidth="1"/>
    <col min="3377" max="3395" width="9.109375" style="401"/>
    <col min="3396" max="3396" width="2.44140625" style="401" customWidth="1"/>
    <col min="3397" max="3397" width="13.44140625" style="401" bestFit="1" customWidth="1"/>
    <col min="3398" max="3400" width="13.44140625" style="401" customWidth="1"/>
    <col min="3401" max="3401" width="18.33203125" style="401" bestFit="1" customWidth="1"/>
    <col min="3402" max="3402" width="15" style="401" bestFit="1" customWidth="1"/>
    <col min="3403" max="3403" width="14.109375" style="401" customWidth="1"/>
    <col min="3404" max="3404" width="3.44140625" style="401" customWidth="1"/>
    <col min="3405" max="3568" width="9.109375" style="401"/>
    <col min="3569" max="3569" width="14" style="401" customWidth="1"/>
    <col min="3570" max="3572" width="15.33203125" style="401" customWidth="1"/>
    <col min="3573" max="3573" width="2.5546875" style="401" customWidth="1"/>
    <col min="3574" max="3574" width="15.33203125" style="401" bestFit="1" customWidth="1"/>
    <col min="3575" max="3591" width="9.109375" style="401" customWidth="1"/>
    <col min="3592" max="3592" width="9.44140625" style="401" customWidth="1"/>
    <col min="3593" max="3593" width="15.109375" style="401" customWidth="1"/>
    <col min="3594" max="3594" width="11" style="401" customWidth="1"/>
    <col min="3595" max="3598" width="9.109375" style="401"/>
    <col min="3599" max="3600" width="0" style="401" hidden="1" customWidth="1"/>
    <col min="3601" max="3604" width="9.109375" style="401"/>
    <col min="3605" max="3606" width="0" style="401" hidden="1" customWidth="1"/>
    <col min="3607" max="3611" width="9.109375" style="401"/>
    <col min="3612" max="3612" width="3.88671875" style="401" customWidth="1"/>
    <col min="3613" max="3613" width="9.109375" style="401" customWidth="1"/>
    <col min="3614" max="3614" width="13.33203125" style="401" customWidth="1"/>
    <col min="3615" max="3615" width="9.109375" style="401" customWidth="1"/>
    <col min="3616" max="3618" width="9.109375" style="401"/>
    <col min="3619" max="3619" width="11.88671875" style="401" customWidth="1"/>
    <col min="3620" max="3620" width="10.109375" style="401" customWidth="1"/>
    <col min="3621" max="3624" width="9.109375" style="401"/>
    <col min="3625" max="3626" width="0" style="401" hidden="1" customWidth="1"/>
    <col min="3627" max="3631" width="9.109375" style="401"/>
    <col min="3632" max="3632" width="3.109375" style="401" customWidth="1"/>
    <col min="3633" max="3651" width="9.109375" style="401"/>
    <col min="3652" max="3652" width="2.44140625" style="401" customWidth="1"/>
    <col min="3653" max="3653" width="13.44140625" style="401" bestFit="1" customWidth="1"/>
    <col min="3654" max="3656" width="13.44140625" style="401" customWidth="1"/>
    <col min="3657" max="3657" width="18.33203125" style="401" bestFit="1" customWidth="1"/>
    <col min="3658" max="3658" width="15" style="401" bestFit="1" customWidth="1"/>
    <col min="3659" max="3659" width="14.109375" style="401" customWidth="1"/>
    <col min="3660" max="3660" width="3.44140625" style="401" customWidth="1"/>
    <col min="3661" max="3824" width="9.109375" style="401"/>
    <col min="3825" max="3825" width="14" style="401" customWidth="1"/>
    <col min="3826" max="3828" width="15.33203125" style="401" customWidth="1"/>
    <col min="3829" max="3829" width="2.5546875" style="401" customWidth="1"/>
    <col min="3830" max="3830" width="15.33203125" style="401" bestFit="1" customWidth="1"/>
    <col min="3831" max="3847" width="9.109375" style="401" customWidth="1"/>
    <col min="3848" max="3848" width="9.44140625" style="401" customWidth="1"/>
    <col min="3849" max="3849" width="15.109375" style="401" customWidth="1"/>
    <col min="3850" max="3850" width="11" style="401" customWidth="1"/>
    <col min="3851" max="3854" width="9.109375" style="401"/>
    <col min="3855" max="3856" width="0" style="401" hidden="1" customWidth="1"/>
    <col min="3857" max="3860" width="9.109375" style="401"/>
    <col min="3861" max="3862" width="0" style="401" hidden="1" customWidth="1"/>
    <col min="3863" max="3867" width="9.109375" style="401"/>
    <col min="3868" max="3868" width="3.88671875" style="401" customWidth="1"/>
    <col min="3869" max="3869" width="9.109375" style="401" customWidth="1"/>
    <col min="3870" max="3870" width="13.33203125" style="401" customWidth="1"/>
    <col min="3871" max="3871" width="9.109375" style="401" customWidth="1"/>
    <col min="3872" max="3874" width="9.109375" style="401"/>
    <col min="3875" max="3875" width="11.88671875" style="401" customWidth="1"/>
    <col min="3876" max="3876" width="10.109375" style="401" customWidth="1"/>
    <col min="3877" max="3880" width="9.109375" style="401"/>
    <col min="3881" max="3882" width="0" style="401" hidden="1" customWidth="1"/>
    <col min="3883" max="3887" width="9.109375" style="401"/>
    <col min="3888" max="3888" width="3.109375" style="401" customWidth="1"/>
    <col min="3889" max="3907" width="9.109375" style="401"/>
    <col min="3908" max="3908" width="2.44140625" style="401" customWidth="1"/>
    <col min="3909" max="3909" width="13.44140625" style="401" bestFit="1" customWidth="1"/>
    <col min="3910" max="3912" width="13.44140625" style="401" customWidth="1"/>
    <col min="3913" max="3913" width="18.33203125" style="401" bestFit="1" customWidth="1"/>
    <col min="3914" max="3914" width="15" style="401" bestFit="1" customWidth="1"/>
    <col min="3915" max="3915" width="14.109375" style="401" customWidth="1"/>
    <col min="3916" max="3916" width="3.44140625" style="401" customWidth="1"/>
    <col min="3917" max="4080" width="9.109375" style="401"/>
    <col min="4081" max="4081" width="14" style="401" customWidth="1"/>
    <col min="4082" max="4084" width="15.33203125" style="401" customWidth="1"/>
    <col min="4085" max="4085" width="2.5546875" style="401" customWidth="1"/>
    <col min="4086" max="4086" width="15.33203125" style="401" bestFit="1" customWidth="1"/>
    <col min="4087" max="4103" width="9.109375" style="401" customWidth="1"/>
    <col min="4104" max="4104" width="9.44140625" style="401" customWidth="1"/>
    <col min="4105" max="4105" width="15.109375" style="401" customWidth="1"/>
    <col min="4106" max="4106" width="11" style="401" customWidth="1"/>
    <col min="4107" max="4110" width="9.109375" style="401"/>
    <col min="4111" max="4112" width="0" style="401" hidden="1" customWidth="1"/>
    <col min="4113" max="4116" width="9.109375" style="401"/>
    <col min="4117" max="4118" width="0" style="401" hidden="1" customWidth="1"/>
    <col min="4119" max="4123" width="9.109375" style="401"/>
    <col min="4124" max="4124" width="3.88671875" style="401" customWidth="1"/>
    <col min="4125" max="4125" width="9.109375" style="401" customWidth="1"/>
    <col min="4126" max="4126" width="13.33203125" style="401" customWidth="1"/>
    <col min="4127" max="4127" width="9.109375" style="401" customWidth="1"/>
    <col min="4128" max="4130" width="9.109375" style="401"/>
    <col min="4131" max="4131" width="11.88671875" style="401" customWidth="1"/>
    <col min="4132" max="4132" width="10.109375" style="401" customWidth="1"/>
    <col min="4133" max="4136" width="9.109375" style="401"/>
    <col min="4137" max="4138" width="0" style="401" hidden="1" customWidth="1"/>
    <col min="4139" max="4143" width="9.109375" style="401"/>
    <col min="4144" max="4144" width="3.109375" style="401" customWidth="1"/>
    <col min="4145" max="4163" width="9.109375" style="401"/>
    <col min="4164" max="4164" width="2.44140625" style="401" customWidth="1"/>
    <col min="4165" max="4165" width="13.44140625" style="401" bestFit="1" customWidth="1"/>
    <col min="4166" max="4168" width="13.44140625" style="401" customWidth="1"/>
    <col min="4169" max="4169" width="18.33203125" style="401" bestFit="1" customWidth="1"/>
    <col min="4170" max="4170" width="15" style="401" bestFit="1" customWidth="1"/>
    <col min="4171" max="4171" width="14.109375" style="401" customWidth="1"/>
    <col min="4172" max="4172" width="3.44140625" style="401" customWidth="1"/>
    <col min="4173" max="4336" width="9.109375" style="401"/>
    <col min="4337" max="4337" width="14" style="401" customWidth="1"/>
    <col min="4338" max="4340" width="15.33203125" style="401" customWidth="1"/>
    <col min="4341" max="4341" width="2.5546875" style="401" customWidth="1"/>
    <col min="4342" max="4342" width="15.33203125" style="401" bestFit="1" customWidth="1"/>
    <col min="4343" max="4359" width="9.109375" style="401" customWidth="1"/>
    <col min="4360" max="4360" width="9.44140625" style="401" customWidth="1"/>
    <col min="4361" max="4361" width="15.109375" style="401" customWidth="1"/>
    <col min="4362" max="4362" width="11" style="401" customWidth="1"/>
    <col min="4363" max="4366" width="9.109375" style="401"/>
    <col min="4367" max="4368" width="0" style="401" hidden="1" customWidth="1"/>
    <col min="4369" max="4372" width="9.109375" style="401"/>
    <col min="4373" max="4374" width="0" style="401" hidden="1" customWidth="1"/>
    <col min="4375" max="4379" width="9.109375" style="401"/>
    <col min="4380" max="4380" width="3.88671875" style="401" customWidth="1"/>
    <col min="4381" max="4381" width="9.109375" style="401" customWidth="1"/>
    <col min="4382" max="4382" width="13.33203125" style="401" customWidth="1"/>
    <col min="4383" max="4383" width="9.109375" style="401" customWidth="1"/>
    <col min="4384" max="4386" width="9.109375" style="401"/>
    <col min="4387" max="4387" width="11.88671875" style="401" customWidth="1"/>
    <col min="4388" max="4388" width="10.109375" style="401" customWidth="1"/>
    <col min="4389" max="4392" width="9.109375" style="401"/>
    <col min="4393" max="4394" width="0" style="401" hidden="1" customWidth="1"/>
    <col min="4395" max="4399" width="9.109375" style="401"/>
    <col min="4400" max="4400" width="3.109375" style="401" customWidth="1"/>
    <col min="4401" max="4419" width="9.109375" style="401"/>
    <col min="4420" max="4420" width="2.44140625" style="401" customWidth="1"/>
    <col min="4421" max="4421" width="13.44140625" style="401" bestFit="1" customWidth="1"/>
    <col min="4422" max="4424" width="13.44140625" style="401" customWidth="1"/>
    <col min="4425" max="4425" width="18.33203125" style="401" bestFit="1" customWidth="1"/>
    <col min="4426" max="4426" width="15" style="401" bestFit="1" customWidth="1"/>
    <col min="4427" max="4427" width="14.109375" style="401" customWidth="1"/>
    <col min="4428" max="4428" width="3.44140625" style="401" customWidth="1"/>
    <col min="4429" max="4592" width="9.109375" style="401"/>
    <col min="4593" max="4593" width="14" style="401" customWidth="1"/>
    <col min="4594" max="4596" width="15.33203125" style="401" customWidth="1"/>
    <col min="4597" max="4597" width="2.5546875" style="401" customWidth="1"/>
    <col min="4598" max="4598" width="15.33203125" style="401" bestFit="1" customWidth="1"/>
    <col min="4599" max="4615" width="9.109375" style="401" customWidth="1"/>
    <col min="4616" max="4616" width="9.44140625" style="401" customWidth="1"/>
    <col min="4617" max="4617" width="15.109375" style="401" customWidth="1"/>
    <col min="4618" max="4618" width="11" style="401" customWidth="1"/>
    <col min="4619" max="4622" width="9.109375" style="401"/>
    <col min="4623" max="4624" width="0" style="401" hidden="1" customWidth="1"/>
    <col min="4625" max="4628" width="9.109375" style="401"/>
    <col min="4629" max="4630" width="0" style="401" hidden="1" customWidth="1"/>
    <col min="4631" max="4635" width="9.109375" style="401"/>
    <col min="4636" max="4636" width="3.88671875" style="401" customWidth="1"/>
    <col min="4637" max="4637" width="9.109375" style="401" customWidth="1"/>
    <col min="4638" max="4638" width="13.33203125" style="401" customWidth="1"/>
    <col min="4639" max="4639" width="9.109375" style="401" customWidth="1"/>
    <col min="4640" max="4642" width="9.109375" style="401"/>
    <col min="4643" max="4643" width="11.88671875" style="401" customWidth="1"/>
    <col min="4644" max="4644" width="10.109375" style="401" customWidth="1"/>
    <col min="4645" max="4648" width="9.109375" style="401"/>
    <col min="4649" max="4650" width="0" style="401" hidden="1" customWidth="1"/>
    <col min="4651" max="4655" width="9.109375" style="401"/>
    <col min="4656" max="4656" width="3.109375" style="401" customWidth="1"/>
    <col min="4657" max="4675" width="9.109375" style="401"/>
    <col min="4676" max="4676" width="2.44140625" style="401" customWidth="1"/>
    <col min="4677" max="4677" width="13.44140625" style="401" bestFit="1" customWidth="1"/>
    <col min="4678" max="4680" width="13.44140625" style="401" customWidth="1"/>
    <col min="4681" max="4681" width="18.33203125" style="401" bestFit="1" customWidth="1"/>
    <col min="4682" max="4682" width="15" style="401" bestFit="1" customWidth="1"/>
    <col min="4683" max="4683" width="14.109375" style="401" customWidth="1"/>
    <col min="4684" max="4684" width="3.44140625" style="401" customWidth="1"/>
    <col min="4685" max="4848" width="9.109375" style="401"/>
    <col min="4849" max="4849" width="14" style="401" customWidth="1"/>
    <col min="4850" max="4852" width="15.33203125" style="401" customWidth="1"/>
    <col min="4853" max="4853" width="2.5546875" style="401" customWidth="1"/>
    <col min="4854" max="4854" width="15.33203125" style="401" bestFit="1" customWidth="1"/>
    <col min="4855" max="4871" width="9.109375" style="401" customWidth="1"/>
    <col min="4872" max="4872" width="9.44140625" style="401" customWidth="1"/>
    <col min="4873" max="4873" width="15.109375" style="401" customWidth="1"/>
    <col min="4874" max="4874" width="11" style="401" customWidth="1"/>
    <col min="4875" max="4878" width="9.109375" style="401"/>
    <col min="4879" max="4880" width="0" style="401" hidden="1" customWidth="1"/>
    <col min="4881" max="4884" width="9.109375" style="401"/>
    <col min="4885" max="4886" width="0" style="401" hidden="1" customWidth="1"/>
    <col min="4887" max="4891" width="9.109375" style="401"/>
    <col min="4892" max="4892" width="3.88671875" style="401" customWidth="1"/>
    <col min="4893" max="4893" width="9.109375" style="401" customWidth="1"/>
    <col min="4894" max="4894" width="13.33203125" style="401" customWidth="1"/>
    <col min="4895" max="4895" width="9.109375" style="401" customWidth="1"/>
    <col min="4896" max="4898" width="9.109375" style="401"/>
    <col min="4899" max="4899" width="11.88671875" style="401" customWidth="1"/>
    <col min="4900" max="4900" width="10.109375" style="401" customWidth="1"/>
    <col min="4901" max="4904" width="9.109375" style="401"/>
    <col min="4905" max="4906" width="0" style="401" hidden="1" customWidth="1"/>
    <col min="4907" max="4911" width="9.109375" style="401"/>
    <col min="4912" max="4912" width="3.109375" style="401" customWidth="1"/>
    <col min="4913" max="4931" width="9.109375" style="401"/>
    <col min="4932" max="4932" width="2.44140625" style="401" customWidth="1"/>
    <col min="4933" max="4933" width="13.44140625" style="401" bestFit="1" customWidth="1"/>
    <col min="4934" max="4936" width="13.44140625" style="401" customWidth="1"/>
    <col min="4937" max="4937" width="18.33203125" style="401" bestFit="1" customWidth="1"/>
    <col min="4938" max="4938" width="15" style="401" bestFit="1" customWidth="1"/>
    <col min="4939" max="4939" width="14.109375" style="401" customWidth="1"/>
    <col min="4940" max="4940" width="3.44140625" style="401" customWidth="1"/>
    <col min="4941" max="5104" width="9.109375" style="401"/>
    <col min="5105" max="5105" width="14" style="401" customWidth="1"/>
    <col min="5106" max="5108" width="15.33203125" style="401" customWidth="1"/>
    <col min="5109" max="5109" width="2.5546875" style="401" customWidth="1"/>
    <col min="5110" max="5110" width="15.33203125" style="401" bestFit="1" customWidth="1"/>
    <col min="5111" max="5127" width="9.109375" style="401" customWidth="1"/>
    <col min="5128" max="5128" width="9.44140625" style="401" customWidth="1"/>
    <col min="5129" max="5129" width="15.109375" style="401" customWidth="1"/>
    <col min="5130" max="5130" width="11" style="401" customWidth="1"/>
    <col min="5131" max="5134" width="9.109375" style="401"/>
    <col min="5135" max="5136" width="0" style="401" hidden="1" customWidth="1"/>
    <col min="5137" max="5140" width="9.109375" style="401"/>
    <col min="5141" max="5142" width="0" style="401" hidden="1" customWidth="1"/>
    <col min="5143" max="5147" width="9.109375" style="401"/>
    <col min="5148" max="5148" width="3.88671875" style="401" customWidth="1"/>
    <col min="5149" max="5149" width="9.109375" style="401" customWidth="1"/>
    <col min="5150" max="5150" width="13.33203125" style="401" customWidth="1"/>
    <col min="5151" max="5151" width="9.109375" style="401" customWidth="1"/>
    <col min="5152" max="5154" width="9.109375" style="401"/>
    <col min="5155" max="5155" width="11.88671875" style="401" customWidth="1"/>
    <col min="5156" max="5156" width="10.109375" style="401" customWidth="1"/>
    <col min="5157" max="5160" width="9.109375" style="401"/>
    <col min="5161" max="5162" width="0" style="401" hidden="1" customWidth="1"/>
    <col min="5163" max="5167" width="9.109375" style="401"/>
    <col min="5168" max="5168" width="3.109375" style="401" customWidth="1"/>
    <col min="5169" max="5187" width="9.109375" style="401"/>
    <col min="5188" max="5188" width="2.44140625" style="401" customWidth="1"/>
    <col min="5189" max="5189" width="13.44140625" style="401" bestFit="1" customWidth="1"/>
    <col min="5190" max="5192" width="13.44140625" style="401" customWidth="1"/>
    <col min="5193" max="5193" width="18.33203125" style="401" bestFit="1" customWidth="1"/>
    <col min="5194" max="5194" width="15" style="401" bestFit="1" customWidth="1"/>
    <col min="5195" max="5195" width="14.109375" style="401" customWidth="1"/>
    <col min="5196" max="5196" width="3.44140625" style="401" customWidth="1"/>
    <col min="5197" max="5360" width="9.109375" style="401"/>
    <col min="5361" max="5361" width="14" style="401" customWidth="1"/>
    <col min="5362" max="5364" width="15.33203125" style="401" customWidth="1"/>
    <col min="5365" max="5365" width="2.5546875" style="401" customWidth="1"/>
    <col min="5366" max="5366" width="15.33203125" style="401" bestFit="1" customWidth="1"/>
    <col min="5367" max="5383" width="9.109375" style="401" customWidth="1"/>
    <col min="5384" max="5384" width="9.44140625" style="401" customWidth="1"/>
    <col min="5385" max="5385" width="15.109375" style="401" customWidth="1"/>
    <col min="5386" max="5386" width="11" style="401" customWidth="1"/>
    <col min="5387" max="5390" width="9.109375" style="401"/>
    <col min="5391" max="5392" width="0" style="401" hidden="1" customWidth="1"/>
    <col min="5393" max="5396" width="9.109375" style="401"/>
    <col min="5397" max="5398" width="0" style="401" hidden="1" customWidth="1"/>
    <col min="5399" max="5403" width="9.109375" style="401"/>
    <col min="5404" max="5404" width="3.88671875" style="401" customWidth="1"/>
    <col min="5405" max="5405" width="9.109375" style="401" customWidth="1"/>
    <col min="5406" max="5406" width="13.33203125" style="401" customWidth="1"/>
    <col min="5407" max="5407" width="9.109375" style="401" customWidth="1"/>
    <col min="5408" max="5410" width="9.109375" style="401"/>
    <col min="5411" max="5411" width="11.88671875" style="401" customWidth="1"/>
    <col min="5412" max="5412" width="10.109375" style="401" customWidth="1"/>
    <col min="5413" max="5416" width="9.109375" style="401"/>
    <col min="5417" max="5418" width="0" style="401" hidden="1" customWidth="1"/>
    <col min="5419" max="5423" width="9.109375" style="401"/>
    <col min="5424" max="5424" width="3.109375" style="401" customWidth="1"/>
    <col min="5425" max="5443" width="9.109375" style="401"/>
    <col min="5444" max="5444" width="2.44140625" style="401" customWidth="1"/>
    <col min="5445" max="5445" width="13.44140625" style="401" bestFit="1" customWidth="1"/>
    <col min="5446" max="5448" width="13.44140625" style="401" customWidth="1"/>
    <col min="5449" max="5449" width="18.33203125" style="401" bestFit="1" customWidth="1"/>
    <col min="5450" max="5450" width="15" style="401" bestFit="1" customWidth="1"/>
    <col min="5451" max="5451" width="14.109375" style="401" customWidth="1"/>
    <col min="5452" max="5452" width="3.44140625" style="401" customWidth="1"/>
    <col min="5453" max="5616" width="9.109375" style="401"/>
    <col min="5617" max="5617" width="14" style="401" customWidth="1"/>
    <col min="5618" max="5620" width="15.33203125" style="401" customWidth="1"/>
    <col min="5621" max="5621" width="2.5546875" style="401" customWidth="1"/>
    <col min="5622" max="5622" width="15.33203125" style="401" bestFit="1" customWidth="1"/>
    <col min="5623" max="5639" width="9.109375" style="401" customWidth="1"/>
    <col min="5640" max="5640" width="9.44140625" style="401" customWidth="1"/>
    <col min="5641" max="5641" width="15.109375" style="401" customWidth="1"/>
    <col min="5642" max="5642" width="11" style="401" customWidth="1"/>
    <col min="5643" max="5646" width="9.109375" style="401"/>
    <col min="5647" max="5648" width="0" style="401" hidden="1" customWidth="1"/>
    <col min="5649" max="5652" width="9.109375" style="401"/>
    <col min="5653" max="5654" width="0" style="401" hidden="1" customWidth="1"/>
    <col min="5655" max="5659" width="9.109375" style="401"/>
    <col min="5660" max="5660" width="3.88671875" style="401" customWidth="1"/>
    <col min="5661" max="5661" width="9.109375" style="401" customWidth="1"/>
    <col min="5662" max="5662" width="13.33203125" style="401" customWidth="1"/>
    <col min="5663" max="5663" width="9.109375" style="401" customWidth="1"/>
    <col min="5664" max="5666" width="9.109375" style="401"/>
    <col min="5667" max="5667" width="11.88671875" style="401" customWidth="1"/>
    <col min="5668" max="5668" width="10.109375" style="401" customWidth="1"/>
    <col min="5669" max="5672" width="9.109375" style="401"/>
    <col min="5673" max="5674" width="0" style="401" hidden="1" customWidth="1"/>
    <col min="5675" max="5679" width="9.109375" style="401"/>
    <col min="5680" max="5680" width="3.109375" style="401" customWidth="1"/>
    <col min="5681" max="5699" width="9.109375" style="401"/>
    <col min="5700" max="5700" width="2.44140625" style="401" customWidth="1"/>
    <col min="5701" max="5701" width="13.44140625" style="401" bestFit="1" customWidth="1"/>
    <col min="5702" max="5704" width="13.44140625" style="401" customWidth="1"/>
    <col min="5705" max="5705" width="18.33203125" style="401" bestFit="1" customWidth="1"/>
    <col min="5706" max="5706" width="15" style="401" bestFit="1" customWidth="1"/>
    <col min="5707" max="5707" width="14.109375" style="401" customWidth="1"/>
    <col min="5708" max="5708" width="3.44140625" style="401" customWidth="1"/>
    <col min="5709" max="5872" width="9.109375" style="401"/>
    <col min="5873" max="5873" width="14" style="401" customWidth="1"/>
    <col min="5874" max="5876" width="15.33203125" style="401" customWidth="1"/>
    <col min="5877" max="5877" width="2.5546875" style="401" customWidth="1"/>
    <col min="5878" max="5878" width="15.33203125" style="401" bestFit="1" customWidth="1"/>
    <col min="5879" max="5895" width="9.109375" style="401" customWidth="1"/>
    <col min="5896" max="5896" width="9.44140625" style="401" customWidth="1"/>
    <col min="5897" max="5897" width="15.109375" style="401" customWidth="1"/>
    <col min="5898" max="5898" width="11" style="401" customWidth="1"/>
    <col min="5899" max="5902" width="9.109375" style="401"/>
    <col min="5903" max="5904" width="0" style="401" hidden="1" customWidth="1"/>
    <col min="5905" max="5908" width="9.109375" style="401"/>
    <col min="5909" max="5910" width="0" style="401" hidden="1" customWidth="1"/>
    <col min="5911" max="5915" width="9.109375" style="401"/>
    <col min="5916" max="5916" width="3.88671875" style="401" customWidth="1"/>
    <col min="5917" max="5917" width="9.109375" style="401" customWidth="1"/>
    <col min="5918" max="5918" width="13.33203125" style="401" customWidth="1"/>
    <col min="5919" max="5919" width="9.109375" style="401" customWidth="1"/>
    <col min="5920" max="5922" width="9.109375" style="401"/>
    <col min="5923" max="5923" width="11.88671875" style="401" customWidth="1"/>
    <col min="5924" max="5924" width="10.109375" style="401" customWidth="1"/>
    <col min="5925" max="5928" width="9.109375" style="401"/>
    <col min="5929" max="5930" width="0" style="401" hidden="1" customWidth="1"/>
    <col min="5931" max="5935" width="9.109375" style="401"/>
    <col min="5936" max="5936" width="3.109375" style="401" customWidth="1"/>
    <col min="5937" max="5955" width="9.109375" style="401"/>
    <col min="5956" max="5956" width="2.44140625" style="401" customWidth="1"/>
    <col min="5957" max="5957" width="13.44140625" style="401" bestFit="1" customWidth="1"/>
    <col min="5958" max="5960" width="13.44140625" style="401" customWidth="1"/>
    <col min="5961" max="5961" width="18.33203125" style="401" bestFit="1" customWidth="1"/>
    <col min="5962" max="5962" width="15" style="401" bestFit="1" customWidth="1"/>
    <col min="5963" max="5963" width="14.109375" style="401" customWidth="1"/>
    <col min="5964" max="5964" width="3.44140625" style="401" customWidth="1"/>
    <col min="5965" max="6128" width="9.109375" style="401"/>
    <col min="6129" max="6129" width="14" style="401" customWidth="1"/>
    <col min="6130" max="6132" width="15.33203125" style="401" customWidth="1"/>
    <col min="6133" max="6133" width="2.5546875" style="401" customWidth="1"/>
    <col min="6134" max="6134" width="15.33203125" style="401" bestFit="1" customWidth="1"/>
    <col min="6135" max="6151" width="9.109375" style="401" customWidth="1"/>
    <col min="6152" max="6152" width="9.44140625" style="401" customWidth="1"/>
    <col min="6153" max="6153" width="15.109375" style="401" customWidth="1"/>
    <col min="6154" max="6154" width="11" style="401" customWidth="1"/>
    <col min="6155" max="6158" width="9.109375" style="401"/>
    <col min="6159" max="6160" width="0" style="401" hidden="1" customWidth="1"/>
    <col min="6161" max="6164" width="9.109375" style="401"/>
    <col min="6165" max="6166" width="0" style="401" hidden="1" customWidth="1"/>
    <col min="6167" max="6171" width="9.109375" style="401"/>
    <col min="6172" max="6172" width="3.88671875" style="401" customWidth="1"/>
    <col min="6173" max="6173" width="9.109375" style="401" customWidth="1"/>
    <col min="6174" max="6174" width="13.33203125" style="401" customWidth="1"/>
    <col min="6175" max="6175" width="9.109375" style="401" customWidth="1"/>
    <col min="6176" max="6178" width="9.109375" style="401"/>
    <col min="6179" max="6179" width="11.88671875" style="401" customWidth="1"/>
    <col min="6180" max="6180" width="10.109375" style="401" customWidth="1"/>
    <col min="6181" max="6184" width="9.109375" style="401"/>
    <col min="6185" max="6186" width="0" style="401" hidden="1" customWidth="1"/>
    <col min="6187" max="6191" width="9.109375" style="401"/>
    <col min="6192" max="6192" width="3.109375" style="401" customWidth="1"/>
    <col min="6193" max="6211" width="9.109375" style="401"/>
    <col min="6212" max="6212" width="2.44140625" style="401" customWidth="1"/>
    <col min="6213" max="6213" width="13.44140625" style="401" bestFit="1" customWidth="1"/>
    <col min="6214" max="6216" width="13.44140625" style="401" customWidth="1"/>
    <col min="6217" max="6217" width="18.33203125" style="401" bestFit="1" customWidth="1"/>
    <col min="6218" max="6218" width="15" style="401" bestFit="1" customWidth="1"/>
    <col min="6219" max="6219" width="14.109375" style="401" customWidth="1"/>
    <col min="6220" max="6220" width="3.44140625" style="401" customWidth="1"/>
    <col min="6221" max="6384" width="9.109375" style="401"/>
    <col min="6385" max="6385" width="14" style="401" customWidth="1"/>
    <col min="6386" max="6388" width="15.33203125" style="401" customWidth="1"/>
    <col min="6389" max="6389" width="2.5546875" style="401" customWidth="1"/>
    <col min="6390" max="6390" width="15.33203125" style="401" bestFit="1" customWidth="1"/>
    <col min="6391" max="6407" width="9.109375" style="401" customWidth="1"/>
    <col min="6408" max="6408" width="9.44140625" style="401" customWidth="1"/>
    <col min="6409" max="6409" width="15.109375" style="401" customWidth="1"/>
    <col min="6410" max="6410" width="11" style="401" customWidth="1"/>
    <col min="6411" max="6414" width="9.109375" style="401"/>
    <col min="6415" max="6416" width="0" style="401" hidden="1" customWidth="1"/>
    <col min="6417" max="6420" width="9.109375" style="401"/>
    <col min="6421" max="6422" width="0" style="401" hidden="1" customWidth="1"/>
    <col min="6423" max="6427" width="9.109375" style="401"/>
    <col min="6428" max="6428" width="3.88671875" style="401" customWidth="1"/>
    <col min="6429" max="6429" width="9.109375" style="401" customWidth="1"/>
    <col min="6430" max="6430" width="13.33203125" style="401" customWidth="1"/>
    <col min="6431" max="6431" width="9.109375" style="401" customWidth="1"/>
    <col min="6432" max="6434" width="9.109375" style="401"/>
    <col min="6435" max="6435" width="11.88671875" style="401" customWidth="1"/>
    <col min="6436" max="6436" width="10.109375" style="401" customWidth="1"/>
    <col min="6437" max="6440" width="9.109375" style="401"/>
    <col min="6441" max="6442" width="0" style="401" hidden="1" customWidth="1"/>
    <col min="6443" max="6447" width="9.109375" style="401"/>
    <col min="6448" max="6448" width="3.109375" style="401" customWidth="1"/>
    <col min="6449" max="6467" width="9.109375" style="401"/>
    <col min="6468" max="6468" width="2.44140625" style="401" customWidth="1"/>
    <col min="6469" max="6469" width="13.44140625" style="401" bestFit="1" customWidth="1"/>
    <col min="6470" max="6472" width="13.44140625" style="401" customWidth="1"/>
    <col min="6473" max="6473" width="18.33203125" style="401" bestFit="1" customWidth="1"/>
    <col min="6474" max="6474" width="15" style="401" bestFit="1" customWidth="1"/>
    <col min="6475" max="6475" width="14.109375" style="401" customWidth="1"/>
    <col min="6476" max="6476" width="3.44140625" style="401" customWidth="1"/>
    <col min="6477" max="6640" width="9.109375" style="401"/>
    <col min="6641" max="6641" width="14" style="401" customWidth="1"/>
    <col min="6642" max="6644" width="15.33203125" style="401" customWidth="1"/>
    <col min="6645" max="6645" width="2.5546875" style="401" customWidth="1"/>
    <col min="6646" max="6646" width="15.33203125" style="401" bestFit="1" customWidth="1"/>
    <col min="6647" max="6663" width="9.109375" style="401" customWidth="1"/>
    <col min="6664" max="6664" width="9.44140625" style="401" customWidth="1"/>
    <col min="6665" max="6665" width="15.109375" style="401" customWidth="1"/>
    <col min="6666" max="6666" width="11" style="401" customWidth="1"/>
    <col min="6667" max="6670" width="9.109375" style="401"/>
    <col min="6671" max="6672" width="0" style="401" hidden="1" customWidth="1"/>
    <col min="6673" max="6676" width="9.109375" style="401"/>
    <col min="6677" max="6678" width="0" style="401" hidden="1" customWidth="1"/>
    <col min="6679" max="6683" width="9.109375" style="401"/>
    <col min="6684" max="6684" width="3.88671875" style="401" customWidth="1"/>
    <col min="6685" max="6685" width="9.109375" style="401" customWidth="1"/>
    <col min="6686" max="6686" width="13.33203125" style="401" customWidth="1"/>
    <col min="6687" max="6687" width="9.109375" style="401" customWidth="1"/>
    <col min="6688" max="6690" width="9.109375" style="401"/>
    <col min="6691" max="6691" width="11.88671875" style="401" customWidth="1"/>
    <col min="6692" max="6692" width="10.109375" style="401" customWidth="1"/>
    <col min="6693" max="6696" width="9.109375" style="401"/>
    <col min="6697" max="6698" width="0" style="401" hidden="1" customWidth="1"/>
    <col min="6699" max="6703" width="9.109375" style="401"/>
    <col min="6704" max="6704" width="3.109375" style="401" customWidth="1"/>
    <col min="6705" max="6723" width="9.109375" style="401"/>
    <col min="6724" max="6724" width="2.44140625" style="401" customWidth="1"/>
    <col min="6725" max="6725" width="13.44140625" style="401" bestFit="1" customWidth="1"/>
    <col min="6726" max="6728" width="13.44140625" style="401" customWidth="1"/>
    <col min="6729" max="6729" width="18.33203125" style="401" bestFit="1" customWidth="1"/>
    <col min="6730" max="6730" width="15" style="401" bestFit="1" customWidth="1"/>
    <col min="6731" max="6731" width="14.109375" style="401" customWidth="1"/>
    <col min="6732" max="6732" width="3.44140625" style="401" customWidth="1"/>
    <col min="6733" max="6896" width="9.109375" style="401"/>
    <col min="6897" max="6897" width="14" style="401" customWidth="1"/>
    <col min="6898" max="6900" width="15.33203125" style="401" customWidth="1"/>
    <col min="6901" max="6901" width="2.5546875" style="401" customWidth="1"/>
    <col min="6902" max="6902" width="15.33203125" style="401" bestFit="1" customWidth="1"/>
    <col min="6903" max="6919" width="9.109375" style="401" customWidth="1"/>
    <col min="6920" max="6920" width="9.44140625" style="401" customWidth="1"/>
    <col min="6921" max="6921" width="15.109375" style="401" customWidth="1"/>
    <col min="6922" max="6922" width="11" style="401" customWidth="1"/>
    <col min="6923" max="6926" width="9.109375" style="401"/>
    <col min="6927" max="6928" width="0" style="401" hidden="1" customWidth="1"/>
    <col min="6929" max="6932" width="9.109375" style="401"/>
    <col min="6933" max="6934" width="0" style="401" hidden="1" customWidth="1"/>
    <col min="6935" max="6939" width="9.109375" style="401"/>
    <col min="6940" max="6940" width="3.88671875" style="401" customWidth="1"/>
    <col min="6941" max="6941" width="9.109375" style="401" customWidth="1"/>
    <col min="6942" max="6942" width="13.33203125" style="401" customWidth="1"/>
    <col min="6943" max="6943" width="9.109375" style="401" customWidth="1"/>
    <col min="6944" max="6946" width="9.109375" style="401"/>
    <col min="6947" max="6947" width="11.88671875" style="401" customWidth="1"/>
    <col min="6948" max="6948" width="10.109375" style="401" customWidth="1"/>
    <col min="6949" max="6952" width="9.109375" style="401"/>
    <col min="6953" max="6954" width="0" style="401" hidden="1" customWidth="1"/>
    <col min="6955" max="6959" width="9.109375" style="401"/>
    <col min="6960" max="6960" width="3.109375" style="401" customWidth="1"/>
    <col min="6961" max="6979" width="9.109375" style="401"/>
    <col min="6980" max="6980" width="2.44140625" style="401" customWidth="1"/>
    <col min="6981" max="6981" width="13.44140625" style="401" bestFit="1" customWidth="1"/>
    <col min="6982" max="6984" width="13.44140625" style="401" customWidth="1"/>
    <col min="6985" max="6985" width="18.33203125" style="401" bestFit="1" customWidth="1"/>
    <col min="6986" max="6986" width="15" style="401" bestFit="1" customWidth="1"/>
    <col min="6987" max="6987" width="14.109375" style="401" customWidth="1"/>
    <col min="6988" max="6988" width="3.44140625" style="401" customWidth="1"/>
    <col min="6989" max="7152" width="9.109375" style="401"/>
    <col min="7153" max="7153" width="14" style="401" customWidth="1"/>
    <col min="7154" max="7156" width="15.33203125" style="401" customWidth="1"/>
    <col min="7157" max="7157" width="2.5546875" style="401" customWidth="1"/>
    <col min="7158" max="7158" width="15.33203125" style="401" bestFit="1" customWidth="1"/>
    <col min="7159" max="7175" width="9.109375" style="401" customWidth="1"/>
    <col min="7176" max="7176" width="9.44140625" style="401" customWidth="1"/>
    <col min="7177" max="7177" width="15.109375" style="401" customWidth="1"/>
    <col min="7178" max="7178" width="11" style="401" customWidth="1"/>
    <col min="7179" max="7182" width="9.109375" style="401"/>
    <col min="7183" max="7184" width="0" style="401" hidden="1" customWidth="1"/>
    <col min="7185" max="7188" width="9.109375" style="401"/>
    <col min="7189" max="7190" width="0" style="401" hidden="1" customWidth="1"/>
    <col min="7191" max="7195" width="9.109375" style="401"/>
    <col min="7196" max="7196" width="3.88671875" style="401" customWidth="1"/>
    <col min="7197" max="7197" width="9.109375" style="401" customWidth="1"/>
    <col min="7198" max="7198" width="13.33203125" style="401" customWidth="1"/>
    <col min="7199" max="7199" width="9.109375" style="401" customWidth="1"/>
    <col min="7200" max="7202" width="9.109375" style="401"/>
    <col min="7203" max="7203" width="11.88671875" style="401" customWidth="1"/>
    <col min="7204" max="7204" width="10.109375" style="401" customWidth="1"/>
    <col min="7205" max="7208" width="9.109375" style="401"/>
    <col min="7209" max="7210" width="0" style="401" hidden="1" customWidth="1"/>
    <col min="7211" max="7215" width="9.109375" style="401"/>
    <col min="7216" max="7216" width="3.109375" style="401" customWidth="1"/>
    <col min="7217" max="7235" width="9.109375" style="401"/>
    <col min="7236" max="7236" width="2.44140625" style="401" customWidth="1"/>
    <col min="7237" max="7237" width="13.44140625" style="401" bestFit="1" customWidth="1"/>
    <col min="7238" max="7240" width="13.44140625" style="401" customWidth="1"/>
    <col min="7241" max="7241" width="18.33203125" style="401" bestFit="1" customWidth="1"/>
    <col min="7242" max="7242" width="15" style="401" bestFit="1" customWidth="1"/>
    <col min="7243" max="7243" width="14.109375" style="401" customWidth="1"/>
    <col min="7244" max="7244" width="3.44140625" style="401" customWidth="1"/>
    <col min="7245" max="7408" width="9.109375" style="401"/>
    <col min="7409" max="7409" width="14" style="401" customWidth="1"/>
    <col min="7410" max="7412" width="15.33203125" style="401" customWidth="1"/>
    <col min="7413" max="7413" width="2.5546875" style="401" customWidth="1"/>
    <col min="7414" max="7414" width="15.33203125" style="401" bestFit="1" customWidth="1"/>
    <col min="7415" max="7431" width="9.109375" style="401" customWidth="1"/>
    <col min="7432" max="7432" width="9.44140625" style="401" customWidth="1"/>
    <col min="7433" max="7433" width="15.109375" style="401" customWidth="1"/>
    <col min="7434" max="7434" width="11" style="401" customWidth="1"/>
    <col min="7435" max="7438" width="9.109375" style="401"/>
    <col min="7439" max="7440" width="0" style="401" hidden="1" customWidth="1"/>
    <col min="7441" max="7444" width="9.109375" style="401"/>
    <col min="7445" max="7446" width="0" style="401" hidden="1" customWidth="1"/>
    <col min="7447" max="7451" width="9.109375" style="401"/>
    <col min="7452" max="7452" width="3.88671875" style="401" customWidth="1"/>
    <col min="7453" max="7453" width="9.109375" style="401" customWidth="1"/>
    <col min="7454" max="7454" width="13.33203125" style="401" customWidth="1"/>
    <col min="7455" max="7455" width="9.109375" style="401" customWidth="1"/>
    <col min="7456" max="7458" width="9.109375" style="401"/>
    <col min="7459" max="7459" width="11.88671875" style="401" customWidth="1"/>
    <col min="7460" max="7460" width="10.109375" style="401" customWidth="1"/>
    <col min="7461" max="7464" width="9.109375" style="401"/>
    <col min="7465" max="7466" width="0" style="401" hidden="1" customWidth="1"/>
    <col min="7467" max="7471" width="9.109375" style="401"/>
    <col min="7472" max="7472" width="3.109375" style="401" customWidth="1"/>
    <col min="7473" max="7491" width="9.109375" style="401"/>
    <col min="7492" max="7492" width="2.44140625" style="401" customWidth="1"/>
    <col min="7493" max="7493" width="13.44140625" style="401" bestFit="1" customWidth="1"/>
    <col min="7494" max="7496" width="13.44140625" style="401" customWidth="1"/>
    <col min="7497" max="7497" width="18.33203125" style="401" bestFit="1" customWidth="1"/>
    <col min="7498" max="7498" width="15" style="401" bestFit="1" customWidth="1"/>
    <col min="7499" max="7499" width="14.109375" style="401" customWidth="1"/>
    <col min="7500" max="7500" width="3.44140625" style="401" customWidth="1"/>
    <col min="7501" max="7664" width="9.109375" style="401"/>
    <col min="7665" max="7665" width="14" style="401" customWidth="1"/>
    <col min="7666" max="7668" width="15.33203125" style="401" customWidth="1"/>
    <col min="7669" max="7669" width="2.5546875" style="401" customWidth="1"/>
    <col min="7670" max="7670" width="15.33203125" style="401" bestFit="1" customWidth="1"/>
    <col min="7671" max="7687" width="9.109375" style="401" customWidth="1"/>
    <col min="7688" max="7688" width="9.44140625" style="401" customWidth="1"/>
    <col min="7689" max="7689" width="15.109375" style="401" customWidth="1"/>
    <col min="7690" max="7690" width="11" style="401" customWidth="1"/>
    <col min="7691" max="7694" width="9.109375" style="401"/>
    <col min="7695" max="7696" width="0" style="401" hidden="1" customWidth="1"/>
    <col min="7697" max="7700" width="9.109375" style="401"/>
    <col min="7701" max="7702" width="0" style="401" hidden="1" customWidth="1"/>
    <col min="7703" max="7707" width="9.109375" style="401"/>
    <col min="7708" max="7708" width="3.88671875" style="401" customWidth="1"/>
    <col min="7709" max="7709" width="9.109375" style="401" customWidth="1"/>
    <col min="7710" max="7710" width="13.33203125" style="401" customWidth="1"/>
    <col min="7711" max="7711" width="9.109375" style="401" customWidth="1"/>
    <col min="7712" max="7714" width="9.109375" style="401"/>
    <col min="7715" max="7715" width="11.88671875" style="401" customWidth="1"/>
    <col min="7716" max="7716" width="10.109375" style="401" customWidth="1"/>
    <col min="7717" max="7720" width="9.109375" style="401"/>
    <col min="7721" max="7722" width="0" style="401" hidden="1" customWidth="1"/>
    <col min="7723" max="7727" width="9.109375" style="401"/>
    <col min="7728" max="7728" width="3.109375" style="401" customWidth="1"/>
    <col min="7729" max="7747" width="9.109375" style="401"/>
    <col min="7748" max="7748" width="2.44140625" style="401" customWidth="1"/>
    <col min="7749" max="7749" width="13.44140625" style="401" bestFit="1" customWidth="1"/>
    <col min="7750" max="7752" width="13.44140625" style="401" customWidth="1"/>
    <col min="7753" max="7753" width="18.33203125" style="401" bestFit="1" customWidth="1"/>
    <col min="7754" max="7754" width="15" style="401" bestFit="1" customWidth="1"/>
    <col min="7755" max="7755" width="14.109375" style="401" customWidth="1"/>
    <col min="7756" max="7756" width="3.44140625" style="401" customWidth="1"/>
    <col min="7757" max="7920" width="9.109375" style="401"/>
    <col min="7921" max="7921" width="14" style="401" customWidth="1"/>
    <col min="7922" max="7924" width="15.33203125" style="401" customWidth="1"/>
    <col min="7925" max="7925" width="2.5546875" style="401" customWidth="1"/>
    <col min="7926" max="7926" width="15.33203125" style="401" bestFit="1" customWidth="1"/>
    <col min="7927" max="7943" width="9.109375" style="401" customWidth="1"/>
    <col min="7944" max="7944" width="9.44140625" style="401" customWidth="1"/>
    <col min="7945" max="7945" width="15.109375" style="401" customWidth="1"/>
    <col min="7946" max="7946" width="11" style="401" customWidth="1"/>
    <col min="7947" max="7950" width="9.109375" style="401"/>
    <col min="7951" max="7952" width="0" style="401" hidden="1" customWidth="1"/>
    <col min="7953" max="7956" width="9.109375" style="401"/>
    <col min="7957" max="7958" width="0" style="401" hidden="1" customWidth="1"/>
    <col min="7959" max="7963" width="9.109375" style="401"/>
    <col min="7964" max="7964" width="3.88671875" style="401" customWidth="1"/>
    <col min="7965" max="7965" width="9.109375" style="401" customWidth="1"/>
    <col min="7966" max="7966" width="13.33203125" style="401" customWidth="1"/>
    <col min="7967" max="7967" width="9.109375" style="401" customWidth="1"/>
    <col min="7968" max="7970" width="9.109375" style="401"/>
    <col min="7971" max="7971" width="11.88671875" style="401" customWidth="1"/>
    <col min="7972" max="7972" width="10.109375" style="401" customWidth="1"/>
    <col min="7973" max="7976" width="9.109375" style="401"/>
    <col min="7977" max="7978" width="0" style="401" hidden="1" customWidth="1"/>
    <col min="7979" max="7983" width="9.109375" style="401"/>
    <col min="7984" max="7984" width="3.109375" style="401" customWidth="1"/>
    <col min="7985" max="8003" width="9.109375" style="401"/>
    <col min="8004" max="8004" width="2.44140625" style="401" customWidth="1"/>
    <col min="8005" max="8005" width="13.44140625" style="401" bestFit="1" customWidth="1"/>
    <col min="8006" max="8008" width="13.44140625" style="401" customWidth="1"/>
    <col min="8009" max="8009" width="18.33203125" style="401" bestFit="1" customWidth="1"/>
    <col min="8010" max="8010" width="15" style="401" bestFit="1" customWidth="1"/>
    <col min="8011" max="8011" width="14.109375" style="401" customWidth="1"/>
    <col min="8012" max="8012" width="3.44140625" style="401" customWidth="1"/>
    <col min="8013" max="8176" width="9.109375" style="401"/>
    <col min="8177" max="8177" width="14" style="401" customWidth="1"/>
    <col min="8178" max="8180" width="15.33203125" style="401" customWidth="1"/>
    <col min="8181" max="8181" width="2.5546875" style="401" customWidth="1"/>
    <col min="8182" max="8182" width="15.33203125" style="401" bestFit="1" customWidth="1"/>
    <col min="8183" max="8199" width="9.109375" style="401" customWidth="1"/>
    <col min="8200" max="8200" width="9.44140625" style="401" customWidth="1"/>
    <col min="8201" max="8201" width="15.109375" style="401" customWidth="1"/>
    <col min="8202" max="8202" width="11" style="401" customWidth="1"/>
    <col min="8203" max="8206" width="9.109375" style="401"/>
    <col min="8207" max="8208" width="0" style="401" hidden="1" customWidth="1"/>
    <col min="8209" max="8212" width="9.109375" style="401"/>
    <col min="8213" max="8214" width="0" style="401" hidden="1" customWidth="1"/>
    <col min="8215" max="8219" width="9.109375" style="401"/>
    <col min="8220" max="8220" width="3.88671875" style="401" customWidth="1"/>
    <col min="8221" max="8221" width="9.109375" style="401" customWidth="1"/>
    <col min="8222" max="8222" width="13.33203125" style="401" customWidth="1"/>
    <col min="8223" max="8223" width="9.109375" style="401" customWidth="1"/>
    <col min="8224" max="8226" width="9.109375" style="401"/>
    <col min="8227" max="8227" width="11.88671875" style="401" customWidth="1"/>
    <col min="8228" max="8228" width="10.109375" style="401" customWidth="1"/>
    <col min="8229" max="8232" width="9.109375" style="401"/>
    <col min="8233" max="8234" width="0" style="401" hidden="1" customWidth="1"/>
    <col min="8235" max="8239" width="9.109375" style="401"/>
    <col min="8240" max="8240" width="3.109375" style="401" customWidth="1"/>
    <col min="8241" max="8259" width="9.109375" style="401"/>
    <col min="8260" max="8260" width="2.44140625" style="401" customWidth="1"/>
    <col min="8261" max="8261" width="13.44140625" style="401" bestFit="1" customWidth="1"/>
    <col min="8262" max="8264" width="13.44140625" style="401" customWidth="1"/>
    <col min="8265" max="8265" width="18.33203125" style="401" bestFit="1" customWidth="1"/>
    <col min="8266" max="8266" width="15" style="401" bestFit="1" customWidth="1"/>
    <col min="8267" max="8267" width="14.109375" style="401" customWidth="1"/>
    <col min="8268" max="8268" width="3.44140625" style="401" customWidth="1"/>
    <col min="8269" max="8432" width="9.109375" style="401"/>
    <col min="8433" max="8433" width="14" style="401" customWidth="1"/>
    <col min="8434" max="8436" width="15.33203125" style="401" customWidth="1"/>
    <col min="8437" max="8437" width="2.5546875" style="401" customWidth="1"/>
    <col min="8438" max="8438" width="15.33203125" style="401" bestFit="1" customWidth="1"/>
    <col min="8439" max="8455" width="9.109375" style="401" customWidth="1"/>
    <col min="8456" max="8456" width="9.44140625" style="401" customWidth="1"/>
    <col min="8457" max="8457" width="15.109375" style="401" customWidth="1"/>
    <col min="8458" max="8458" width="11" style="401" customWidth="1"/>
    <col min="8459" max="8462" width="9.109375" style="401"/>
    <col min="8463" max="8464" width="0" style="401" hidden="1" customWidth="1"/>
    <col min="8465" max="8468" width="9.109375" style="401"/>
    <col min="8469" max="8470" width="0" style="401" hidden="1" customWidth="1"/>
    <col min="8471" max="8475" width="9.109375" style="401"/>
    <col min="8476" max="8476" width="3.88671875" style="401" customWidth="1"/>
    <col min="8477" max="8477" width="9.109375" style="401" customWidth="1"/>
    <col min="8478" max="8478" width="13.33203125" style="401" customWidth="1"/>
    <col min="8479" max="8479" width="9.109375" style="401" customWidth="1"/>
    <col min="8480" max="8482" width="9.109375" style="401"/>
    <col min="8483" max="8483" width="11.88671875" style="401" customWidth="1"/>
    <col min="8484" max="8484" width="10.109375" style="401" customWidth="1"/>
    <col min="8485" max="8488" width="9.109375" style="401"/>
    <col min="8489" max="8490" width="0" style="401" hidden="1" customWidth="1"/>
    <col min="8491" max="8495" width="9.109375" style="401"/>
    <col min="8496" max="8496" width="3.109375" style="401" customWidth="1"/>
    <col min="8497" max="8515" width="9.109375" style="401"/>
    <col min="8516" max="8516" width="2.44140625" style="401" customWidth="1"/>
    <col min="8517" max="8517" width="13.44140625" style="401" bestFit="1" customWidth="1"/>
    <col min="8518" max="8520" width="13.44140625" style="401" customWidth="1"/>
    <col min="8521" max="8521" width="18.33203125" style="401" bestFit="1" customWidth="1"/>
    <col min="8522" max="8522" width="15" style="401" bestFit="1" customWidth="1"/>
    <col min="8523" max="8523" width="14.109375" style="401" customWidth="1"/>
    <col min="8524" max="8524" width="3.44140625" style="401" customWidth="1"/>
    <col min="8525" max="8688" width="9.109375" style="401"/>
    <col min="8689" max="8689" width="14" style="401" customWidth="1"/>
    <col min="8690" max="8692" width="15.33203125" style="401" customWidth="1"/>
    <col min="8693" max="8693" width="2.5546875" style="401" customWidth="1"/>
    <col min="8694" max="8694" width="15.33203125" style="401" bestFit="1" customWidth="1"/>
    <col min="8695" max="8711" width="9.109375" style="401" customWidth="1"/>
    <col min="8712" max="8712" width="9.44140625" style="401" customWidth="1"/>
    <col min="8713" max="8713" width="15.109375" style="401" customWidth="1"/>
    <col min="8714" max="8714" width="11" style="401" customWidth="1"/>
    <col min="8715" max="8718" width="9.109375" style="401"/>
    <col min="8719" max="8720" width="0" style="401" hidden="1" customWidth="1"/>
    <col min="8721" max="8724" width="9.109375" style="401"/>
    <col min="8725" max="8726" width="0" style="401" hidden="1" customWidth="1"/>
    <col min="8727" max="8731" width="9.109375" style="401"/>
    <col min="8732" max="8732" width="3.88671875" style="401" customWidth="1"/>
    <col min="8733" max="8733" width="9.109375" style="401" customWidth="1"/>
    <col min="8734" max="8734" width="13.33203125" style="401" customWidth="1"/>
    <col min="8735" max="8735" width="9.109375" style="401" customWidth="1"/>
    <col min="8736" max="8738" width="9.109375" style="401"/>
    <col min="8739" max="8739" width="11.88671875" style="401" customWidth="1"/>
    <col min="8740" max="8740" width="10.109375" style="401" customWidth="1"/>
    <col min="8741" max="8744" width="9.109375" style="401"/>
    <col min="8745" max="8746" width="0" style="401" hidden="1" customWidth="1"/>
    <col min="8747" max="8751" width="9.109375" style="401"/>
    <col min="8752" max="8752" width="3.109375" style="401" customWidth="1"/>
    <col min="8753" max="8771" width="9.109375" style="401"/>
    <col min="8772" max="8772" width="2.44140625" style="401" customWidth="1"/>
    <col min="8773" max="8773" width="13.44140625" style="401" bestFit="1" customWidth="1"/>
    <col min="8774" max="8776" width="13.44140625" style="401" customWidth="1"/>
    <col min="8777" max="8777" width="18.33203125" style="401" bestFit="1" customWidth="1"/>
    <col min="8778" max="8778" width="15" style="401" bestFit="1" customWidth="1"/>
    <col min="8779" max="8779" width="14.109375" style="401" customWidth="1"/>
    <col min="8780" max="8780" width="3.44140625" style="401" customWidth="1"/>
    <col min="8781" max="8944" width="9.109375" style="401"/>
    <col min="8945" max="8945" width="14" style="401" customWidth="1"/>
    <col min="8946" max="8948" width="15.33203125" style="401" customWidth="1"/>
    <col min="8949" max="8949" width="2.5546875" style="401" customWidth="1"/>
    <col min="8950" max="8950" width="15.33203125" style="401" bestFit="1" customWidth="1"/>
    <col min="8951" max="8967" width="9.109375" style="401" customWidth="1"/>
    <col min="8968" max="8968" width="9.44140625" style="401" customWidth="1"/>
    <col min="8969" max="8969" width="15.109375" style="401" customWidth="1"/>
    <col min="8970" max="8970" width="11" style="401" customWidth="1"/>
    <col min="8971" max="8974" width="9.109375" style="401"/>
    <col min="8975" max="8976" width="0" style="401" hidden="1" customWidth="1"/>
    <col min="8977" max="8980" width="9.109375" style="401"/>
    <col min="8981" max="8982" width="0" style="401" hidden="1" customWidth="1"/>
    <col min="8983" max="8987" width="9.109375" style="401"/>
    <col min="8988" max="8988" width="3.88671875" style="401" customWidth="1"/>
    <col min="8989" max="8989" width="9.109375" style="401" customWidth="1"/>
    <col min="8990" max="8990" width="13.33203125" style="401" customWidth="1"/>
    <col min="8991" max="8991" width="9.109375" style="401" customWidth="1"/>
    <col min="8992" max="8994" width="9.109375" style="401"/>
    <col min="8995" max="8995" width="11.88671875" style="401" customWidth="1"/>
    <col min="8996" max="8996" width="10.109375" style="401" customWidth="1"/>
    <col min="8997" max="9000" width="9.109375" style="401"/>
    <col min="9001" max="9002" width="0" style="401" hidden="1" customWidth="1"/>
    <col min="9003" max="9007" width="9.109375" style="401"/>
    <col min="9008" max="9008" width="3.109375" style="401" customWidth="1"/>
    <col min="9009" max="9027" width="9.109375" style="401"/>
    <col min="9028" max="9028" width="2.44140625" style="401" customWidth="1"/>
    <col min="9029" max="9029" width="13.44140625" style="401" bestFit="1" customWidth="1"/>
    <col min="9030" max="9032" width="13.44140625" style="401" customWidth="1"/>
    <col min="9033" max="9033" width="18.33203125" style="401" bestFit="1" customWidth="1"/>
    <col min="9034" max="9034" width="15" style="401" bestFit="1" customWidth="1"/>
    <col min="9035" max="9035" width="14.109375" style="401" customWidth="1"/>
    <col min="9036" max="9036" width="3.44140625" style="401" customWidth="1"/>
    <col min="9037" max="9200" width="9.109375" style="401"/>
    <col min="9201" max="9201" width="14" style="401" customWidth="1"/>
    <col min="9202" max="9204" width="15.33203125" style="401" customWidth="1"/>
    <col min="9205" max="9205" width="2.5546875" style="401" customWidth="1"/>
    <col min="9206" max="9206" width="15.33203125" style="401" bestFit="1" customWidth="1"/>
    <col min="9207" max="9223" width="9.109375" style="401" customWidth="1"/>
    <col min="9224" max="9224" width="9.44140625" style="401" customWidth="1"/>
    <col min="9225" max="9225" width="15.109375" style="401" customWidth="1"/>
    <col min="9226" max="9226" width="11" style="401" customWidth="1"/>
    <col min="9227" max="9230" width="9.109375" style="401"/>
    <col min="9231" max="9232" width="0" style="401" hidden="1" customWidth="1"/>
    <col min="9233" max="9236" width="9.109375" style="401"/>
    <col min="9237" max="9238" width="0" style="401" hidden="1" customWidth="1"/>
    <col min="9239" max="9243" width="9.109375" style="401"/>
    <col min="9244" max="9244" width="3.88671875" style="401" customWidth="1"/>
    <col min="9245" max="9245" width="9.109375" style="401" customWidth="1"/>
    <col min="9246" max="9246" width="13.33203125" style="401" customWidth="1"/>
    <col min="9247" max="9247" width="9.109375" style="401" customWidth="1"/>
    <col min="9248" max="9250" width="9.109375" style="401"/>
    <col min="9251" max="9251" width="11.88671875" style="401" customWidth="1"/>
    <col min="9252" max="9252" width="10.109375" style="401" customWidth="1"/>
    <col min="9253" max="9256" width="9.109375" style="401"/>
    <col min="9257" max="9258" width="0" style="401" hidden="1" customWidth="1"/>
    <col min="9259" max="9263" width="9.109375" style="401"/>
    <col min="9264" max="9264" width="3.109375" style="401" customWidth="1"/>
    <col min="9265" max="9283" width="9.109375" style="401"/>
    <col min="9284" max="9284" width="2.44140625" style="401" customWidth="1"/>
    <col min="9285" max="9285" width="13.44140625" style="401" bestFit="1" customWidth="1"/>
    <col min="9286" max="9288" width="13.44140625" style="401" customWidth="1"/>
    <col min="9289" max="9289" width="18.33203125" style="401" bestFit="1" customWidth="1"/>
    <col min="9290" max="9290" width="15" style="401" bestFit="1" customWidth="1"/>
    <col min="9291" max="9291" width="14.109375" style="401" customWidth="1"/>
    <col min="9292" max="9292" width="3.44140625" style="401" customWidth="1"/>
    <col min="9293" max="9456" width="9.109375" style="401"/>
    <col min="9457" max="9457" width="14" style="401" customWidth="1"/>
    <col min="9458" max="9460" width="15.33203125" style="401" customWidth="1"/>
    <col min="9461" max="9461" width="2.5546875" style="401" customWidth="1"/>
    <col min="9462" max="9462" width="15.33203125" style="401" bestFit="1" customWidth="1"/>
    <col min="9463" max="9479" width="9.109375" style="401" customWidth="1"/>
    <col min="9480" max="9480" width="9.44140625" style="401" customWidth="1"/>
    <col min="9481" max="9481" width="15.109375" style="401" customWidth="1"/>
    <col min="9482" max="9482" width="11" style="401" customWidth="1"/>
    <col min="9483" max="9486" width="9.109375" style="401"/>
    <col min="9487" max="9488" width="0" style="401" hidden="1" customWidth="1"/>
    <col min="9489" max="9492" width="9.109375" style="401"/>
    <col min="9493" max="9494" width="0" style="401" hidden="1" customWidth="1"/>
    <col min="9495" max="9499" width="9.109375" style="401"/>
    <col min="9500" max="9500" width="3.88671875" style="401" customWidth="1"/>
    <col min="9501" max="9501" width="9.109375" style="401" customWidth="1"/>
    <col min="9502" max="9502" width="13.33203125" style="401" customWidth="1"/>
    <col min="9503" max="9503" width="9.109375" style="401" customWidth="1"/>
    <col min="9504" max="9506" width="9.109375" style="401"/>
    <col min="9507" max="9507" width="11.88671875" style="401" customWidth="1"/>
    <col min="9508" max="9508" width="10.109375" style="401" customWidth="1"/>
    <col min="9509" max="9512" width="9.109375" style="401"/>
    <col min="9513" max="9514" width="0" style="401" hidden="1" customWidth="1"/>
    <col min="9515" max="9519" width="9.109375" style="401"/>
    <col min="9520" max="9520" width="3.109375" style="401" customWidth="1"/>
    <col min="9521" max="9539" width="9.109375" style="401"/>
    <col min="9540" max="9540" width="2.44140625" style="401" customWidth="1"/>
    <col min="9541" max="9541" width="13.44140625" style="401" bestFit="1" customWidth="1"/>
    <col min="9542" max="9544" width="13.44140625" style="401" customWidth="1"/>
    <col min="9545" max="9545" width="18.33203125" style="401" bestFit="1" customWidth="1"/>
    <col min="9546" max="9546" width="15" style="401" bestFit="1" customWidth="1"/>
    <col min="9547" max="9547" width="14.109375" style="401" customWidth="1"/>
    <col min="9548" max="9548" width="3.44140625" style="401" customWidth="1"/>
    <col min="9549" max="9712" width="9.109375" style="401"/>
    <col min="9713" max="9713" width="14" style="401" customWidth="1"/>
    <col min="9714" max="9716" width="15.33203125" style="401" customWidth="1"/>
    <col min="9717" max="9717" width="2.5546875" style="401" customWidth="1"/>
    <col min="9718" max="9718" width="15.33203125" style="401" bestFit="1" customWidth="1"/>
    <col min="9719" max="9735" width="9.109375" style="401" customWidth="1"/>
    <col min="9736" max="9736" width="9.44140625" style="401" customWidth="1"/>
    <col min="9737" max="9737" width="15.109375" style="401" customWidth="1"/>
    <col min="9738" max="9738" width="11" style="401" customWidth="1"/>
    <col min="9739" max="9742" width="9.109375" style="401"/>
    <col min="9743" max="9744" width="0" style="401" hidden="1" customWidth="1"/>
    <col min="9745" max="9748" width="9.109375" style="401"/>
    <col min="9749" max="9750" width="0" style="401" hidden="1" customWidth="1"/>
    <col min="9751" max="9755" width="9.109375" style="401"/>
    <col min="9756" max="9756" width="3.88671875" style="401" customWidth="1"/>
    <col min="9757" max="9757" width="9.109375" style="401" customWidth="1"/>
    <col min="9758" max="9758" width="13.33203125" style="401" customWidth="1"/>
    <col min="9759" max="9759" width="9.109375" style="401" customWidth="1"/>
    <col min="9760" max="9762" width="9.109375" style="401"/>
    <col min="9763" max="9763" width="11.88671875" style="401" customWidth="1"/>
    <col min="9764" max="9764" width="10.109375" style="401" customWidth="1"/>
    <col min="9765" max="9768" width="9.109375" style="401"/>
    <col min="9769" max="9770" width="0" style="401" hidden="1" customWidth="1"/>
    <col min="9771" max="9775" width="9.109375" style="401"/>
    <col min="9776" max="9776" width="3.109375" style="401" customWidth="1"/>
    <col min="9777" max="9795" width="9.109375" style="401"/>
    <col min="9796" max="9796" width="2.44140625" style="401" customWidth="1"/>
    <col min="9797" max="9797" width="13.44140625" style="401" bestFit="1" customWidth="1"/>
    <col min="9798" max="9800" width="13.44140625" style="401" customWidth="1"/>
    <col min="9801" max="9801" width="18.33203125" style="401" bestFit="1" customWidth="1"/>
    <col min="9802" max="9802" width="15" style="401" bestFit="1" customWidth="1"/>
    <col min="9803" max="9803" width="14.109375" style="401" customWidth="1"/>
    <col min="9804" max="9804" width="3.44140625" style="401" customWidth="1"/>
    <col min="9805" max="9968" width="9.109375" style="401"/>
    <col min="9969" max="9969" width="14" style="401" customWidth="1"/>
    <col min="9970" max="9972" width="15.33203125" style="401" customWidth="1"/>
    <col min="9973" max="9973" width="2.5546875" style="401" customWidth="1"/>
    <col min="9974" max="9974" width="15.33203125" style="401" bestFit="1" customWidth="1"/>
    <col min="9975" max="9991" width="9.109375" style="401" customWidth="1"/>
    <col min="9992" max="9992" width="9.44140625" style="401" customWidth="1"/>
    <col min="9993" max="9993" width="15.109375" style="401" customWidth="1"/>
    <col min="9994" max="9994" width="11" style="401" customWidth="1"/>
    <col min="9995" max="9998" width="9.109375" style="401"/>
    <col min="9999" max="10000" width="0" style="401" hidden="1" customWidth="1"/>
    <col min="10001" max="10004" width="9.109375" style="401"/>
    <col min="10005" max="10006" width="0" style="401" hidden="1" customWidth="1"/>
    <col min="10007" max="10011" width="9.109375" style="401"/>
    <col min="10012" max="10012" width="3.88671875" style="401" customWidth="1"/>
    <col min="10013" max="10013" width="9.109375" style="401" customWidth="1"/>
    <col min="10014" max="10014" width="13.33203125" style="401" customWidth="1"/>
    <col min="10015" max="10015" width="9.109375" style="401" customWidth="1"/>
    <col min="10016" max="10018" width="9.109375" style="401"/>
    <col min="10019" max="10019" width="11.88671875" style="401" customWidth="1"/>
    <col min="10020" max="10020" width="10.109375" style="401" customWidth="1"/>
    <col min="10021" max="10024" width="9.109375" style="401"/>
    <col min="10025" max="10026" width="0" style="401" hidden="1" customWidth="1"/>
    <col min="10027" max="10031" width="9.109375" style="401"/>
    <col min="10032" max="10032" width="3.109375" style="401" customWidth="1"/>
    <col min="10033" max="10051" width="9.109375" style="401"/>
    <col min="10052" max="10052" width="2.44140625" style="401" customWidth="1"/>
    <col min="10053" max="10053" width="13.44140625" style="401" bestFit="1" customWidth="1"/>
    <col min="10054" max="10056" width="13.44140625" style="401" customWidth="1"/>
    <col min="10057" max="10057" width="18.33203125" style="401" bestFit="1" customWidth="1"/>
    <col min="10058" max="10058" width="15" style="401" bestFit="1" customWidth="1"/>
    <col min="10059" max="10059" width="14.109375" style="401" customWidth="1"/>
    <col min="10060" max="10060" width="3.44140625" style="401" customWidth="1"/>
    <col min="10061" max="10224" width="9.109375" style="401"/>
    <col min="10225" max="10225" width="14" style="401" customWidth="1"/>
    <col min="10226" max="10228" width="15.33203125" style="401" customWidth="1"/>
    <col min="10229" max="10229" width="2.5546875" style="401" customWidth="1"/>
    <col min="10230" max="10230" width="15.33203125" style="401" bestFit="1" customWidth="1"/>
    <col min="10231" max="10247" width="9.109375" style="401" customWidth="1"/>
    <col min="10248" max="10248" width="9.44140625" style="401" customWidth="1"/>
    <col min="10249" max="10249" width="15.109375" style="401" customWidth="1"/>
    <col min="10250" max="10250" width="11" style="401" customWidth="1"/>
    <col min="10251" max="10254" width="9.109375" style="401"/>
    <col min="10255" max="10256" width="0" style="401" hidden="1" customWidth="1"/>
    <col min="10257" max="10260" width="9.109375" style="401"/>
    <col min="10261" max="10262" width="0" style="401" hidden="1" customWidth="1"/>
    <col min="10263" max="10267" width="9.109375" style="401"/>
    <col min="10268" max="10268" width="3.88671875" style="401" customWidth="1"/>
    <col min="10269" max="10269" width="9.109375" style="401" customWidth="1"/>
    <col min="10270" max="10270" width="13.33203125" style="401" customWidth="1"/>
    <col min="10271" max="10271" width="9.109375" style="401" customWidth="1"/>
    <col min="10272" max="10274" width="9.109375" style="401"/>
    <col min="10275" max="10275" width="11.88671875" style="401" customWidth="1"/>
    <col min="10276" max="10276" width="10.109375" style="401" customWidth="1"/>
    <col min="10277" max="10280" width="9.109375" style="401"/>
    <col min="10281" max="10282" width="0" style="401" hidden="1" customWidth="1"/>
    <col min="10283" max="10287" width="9.109375" style="401"/>
    <col min="10288" max="10288" width="3.109375" style="401" customWidth="1"/>
    <col min="10289" max="10307" width="9.109375" style="401"/>
    <col min="10308" max="10308" width="2.44140625" style="401" customWidth="1"/>
    <col min="10309" max="10309" width="13.44140625" style="401" bestFit="1" customWidth="1"/>
    <col min="10310" max="10312" width="13.44140625" style="401" customWidth="1"/>
    <col min="10313" max="10313" width="18.33203125" style="401" bestFit="1" customWidth="1"/>
    <col min="10314" max="10314" width="15" style="401" bestFit="1" customWidth="1"/>
    <col min="10315" max="10315" width="14.109375" style="401" customWidth="1"/>
    <col min="10316" max="10316" width="3.44140625" style="401" customWidth="1"/>
    <col min="10317" max="10480" width="9.109375" style="401"/>
    <col min="10481" max="10481" width="14" style="401" customWidth="1"/>
    <col min="10482" max="10484" width="15.33203125" style="401" customWidth="1"/>
    <col min="10485" max="10485" width="2.5546875" style="401" customWidth="1"/>
    <col min="10486" max="10486" width="15.33203125" style="401" bestFit="1" customWidth="1"/>
    <col min="10487" max="10503" width="9.109375" style="401" customWidth="1"/>
    <col min="10504" max="10504" width="9.44140625" style="401" customWidth="1"/>
    <col min="10505" max="10505" width="15.109375" style="401" customWidth="1"/>
    <col min="10506" max="10506" width="11" style="401" customWidth="1"/>
    <col min="10507" max="10510" width="9.109375" style="401"/>
    <col min="10511" max="10512" width="0" style="401" hidden="1" customWidth="1"/>
    <col min="10513" max="10516" width="9.109375" style="401"/>
    <col min="10517" max="10518" width="0" style="401" hidden="1" customWidth="1"/>
    <col min="10519" max="10523" width="9.109375" style="401"/>
    <col min="10524" max="10524" width="3.88671875" style="401" customWidth="1"/>
    <col min="10525" max="10525" width="9.109375" style="401" customWidth="1"/>
    <col min="10526" max="10526" width="13.33203125" style="401" customWidth="1"/>
    <col min="10527" max="10527" width="9.109375" style="401" customWidth="1"/>
    <col min="10528" max="10530" width="9.109375" style="401"/>
    <col min="10531" max="10531" width="11.88671875" style="401" customWidth="1"/>
    <col min="10532" max="10532" width="10.109375" style="401" customWidth="1"/>
    <col min="10533" max="10536" width="9.109375" style="401"/>
    <col min="10537" max="10538" width="0" style="401" hidden="1" customWidth="1"/>
    <col min="10539" max="10543" width="9.109375" style="401"/>
    <col min="10544" max="10544" width="3.109375" style="401" customWidth="1"/>
    <col min="10545" max="10563" width="9.109375" style="401"/>
    <col min="10564" max="10564" width="2.44140625" style="401" customWidth="1"/>
    <col min="10565" max="10565" width="13.44140625" style="401" bestFit="1" customWidth="1"/>
    <col min="10566" max="10568" width="13.44140625" style="401" customWidth="1"/>
    <col min="10569" max="10569" width="18.33203125" style="401" bestFit="1" customWidth="1"/>
    <col min="10570" max="10570" width="15" style="401" bestFit="1" customWidth="1"/>
    <col min="10571" max="10571" width="14.109375" style="401" customWidth="1"/>
    <col min="10572" max="10572" width="3.44140625" style="401" customWidth="1"/>
    <col min="10573" max="10736" width="9.109375" style="401"/>
    <col min="10737" max="10737" width="14" style="401" customWidth="1"/>
    <col min="10738" max="10740" width="15.33203125" style="401" customWidth="1"/>
    <col min="10741" max="10741" width="2.5546875" style="401" customWidth="1"/>
    <col min="10742" max="10742" width="15.33203125" style="401" bestFit="1" customWidth="1"/>
    <col min="10743" max="10759" width="9.109375" style="401" customWidth="1"/>
    <col min="10760" max="10760" width="9.44140625" style="401" customWidth="1"/>
    <col min="10761" max="10761" width="15.109375" style="401" customWidth="1"/>
    <col min="10762" max="10762" width="11" style="401" customWidth="1"/>
    <col min="10763" max="10766" width="9.109375" style="401"/>
    <col min="10767" max="10768" width="0" style="401" hidden="1" customWidth="1"/>
    <col min="10769" max="10772" width="9.109375" style="401"/>
    <col min="10773" max="10774" width="0" style="401" hidden="1" customWidth="1"/>
    <col min="10775" max="10779" width="9.109375" style="401"/>
    <col min="10780" max="10780" width="3.88671875" style="401" customWidth="1"/>
    <col min="10781" max="10781" width="9.109375" style="401" customWidth="1"/>
    <col min="10782" max="10782" width="13.33203125" style="401" customWidth="1"/>
    <col min="10783" max="10783" width="9.109375" style="401" customWidth="1"/>
    <col min="10784" max="10786" width="9.109375" style="401"/>
    <col min="10787" max="10787" width="11.88671875" style="401" customWidth="1"/>
    <col min="10788" max="10788" width="10.109375" style="401" customWidth="1"/>
    <col min="10789" max="10792" width="9.109375" style="401"/>
    <col min="10793" max="10794" width="0" style="401" hidden="1" customWidth="1"/>
    <col min="10795" max="10799" width="9.109375" style="401"/>
    <col min="10800" max="10800" width="3.109375" style="401" customWidth="1"/>
    <col min="10801" max="10819" width="9.109375" style="401"/>
    <col min="10820" max="10820" width="2.44140625" style="401" customWidth="1"/>
    <col min="10821" max="10821" width="13.44140625" style="401" bestFit="1" customWidth="1"/>
    <col min="10822" max="10824" width="13.44140625" style="401" customWidth="1"/>
    <col min="10825" max="10825" width="18.33203125" style="401" bestFit="1" customWidth="1"/>
    <col min="10826" max="10826" width="15" style="401" bestFit="1" customWidth="1"/>
    <col min="10827" max="10827" width="14.109375" style="401" customWidth="1"/>
    <col min="10828" max="10828" width="3.44140625" style="401" customWidth="1"/>
    <col min="10829" max="10992" width="9.109375" style="401"/>
    <col min="10993" max="10993" width="14" style="401" customWidth="1"/>
    <col min="10994" max="10996" width="15.33203125" style="401" customWidth="1"/>
    <col min="10997" max="10997" width="2.5546875" style="401" customWidth="1"/>
    <col min="10998" max="10998" width="15.33203125" style="401" bestFit="1" customWidth="1"/>
    <col min="10999" max="11015" width="9.109375" style="401" customWidth="1"/>
    <col min="11016" max="11016" width="9.44140625" style="401" customWidth="1"/>
    <col min="11017" max="11017" width="15.109375" style="401" customWidth="1"/>
    <col min="11018" max="11018" width="11" style="401" customWidth="1"/>
    <col min="11019" max="11022" width="9.109375" style="401"/>
    <col min="11023" max="11024" width="0" style="401" hidden="1" customWidth="1"/>
    <col min="11025" max="11028" width="9.109375" style="401"/>
    <col min="11029" max="11030" width="0" style="401" hidden="1" customWidth="1"/>
    <col min="11031" max="11035" width="9.109375" style="401"/>
    <col min="11036" max="11036" width="3.88671875" style="401" customWidth="1"/>
    <col min="11037" max="11037" width="9.109375" style="401" customWidth="1"/>
    <col min="11038" max="11038" width="13.33203125" style="401" customWidth="1"/>
    <col min="11039" max="11039" width="9.109375" style="401" customWidth="1"/>
    <col min="11040" max="11042" width="9.109375" style="401"/>
    <col min="11043" max="11043" width="11.88671875" style="401" customWidth="1"/>
    <col min="11044" max="11044" width="10.109375" style="401" customWidth="1"/>
    <col min="11045" max="11048" width="9.109375" style="401"/>
    <col min="11049" max="11050" width="0" style="401" hidden="1" customWidth="1"/>
    <col min="11051" max="11055" width="9.109375" style="401"/>
    <col min="11056" max="11056" width="3.109375" style="401" customWidth="1"/>
    <col min="11057" max="11075" width="9.109375" style="401"/>
    <col min="11076" max="11076" width="2.44140625" style="401" customWidth="1"/>
    <col min="11077" max="11077" width="13.44140625" style="401" bestFit="1" customWidth="1"/>
    <col min="11078" max="11080" width="13.44140625" style="401" customWidth="1"/>
    <col min="11081" max="11081" width="18.33203125" style="401" bestFit="1" customWidth="1"/>
    <col min="11082" max="11082" width="15" style="401" bestFit="1" customWidth="1"/>
    <col min="11083" max="11083" width="14.109375" style="401" customWidth="1"/>
    <col min="11084" max="11084" width="3.44140625" style="401" customWidth="1"/>
    <col min="11085" max="11248" width="9.109375" style="401"/>
    <col min="11249" max="11249" width="14" style="401" customWidth="1"/>
    <col min="11250" max="11252" width="15.33203125" style="401" customWidth="1"/>
    <col min="11253" max="11253" width="2.5546875" style="401" customWidth="1"/>
    <col min="11254" max="11254" width="15.33203125" style="401" bestFit="1" customWidth="1"/>
    <col min="11255" max="11271" width="9.109375" style="401" customWidth="1"/>
    <col min="11272" max="11272" width="9.44140625" style="401" customWidth="1"/>
    <col min="11273" max="11273" width="15.109375" style="401" customWidth="1"/>
    <col min="11274" max="11274" width="11" style="401" customWidth="1"/>
    <col min="11275" max="11278" width="9.109375" style="401"/>
    <col min="11279" max="11280" width="0" style="401" hidden="1" customWidth="1"/>
    <col min="11281" max="11284" width="9.109375" style="401"/>
    <col min="11285" max="11286" width="0" style="401" hidden="1" customWidth="1"/>
    <col min="11287" max="11291" width="9.109375" style="401"/>
    <col min="11292" max="11292" width="3.88671875" style="401" customWidth="1"/>
    <col min="11293" max="11293" width="9.109375" style="401" customWidth="1"/>
    <col min="11294" max="11294" width="13.33203125" style="401" customWidth="1"/>
    <col min="11295" max="11295" width="9.109375" style="401" customWidth="1"/>
    <col min="11296" max="11298" width="9.109375" style="401"/>
    <col min="11299" max="11299" width="11.88671875" style="401" customWidth="1"/>
    <col min="11300" max="11300" width="10.109375" style="401" customWidth="1"/>
    <col min="11301" max="11304" width="9.109375" style="401"/>
    <col min="11305" max="11306" width="0" style="401" hidden="1" customWidth="1"/>
    <col min="11307" max="11311" width="9.109375" style="401"/>
    <col min="11312" max="11312" width="3.109375" style="401" customWidth="1"/>
    <col min="11313" max="11331" width="9.109375" style="401"/>
    <col min="11332" max="11332" width="2.44140625" style="401" customWidth="1"/>
    <col min="11333" max="11333" width="13.44140625" style="401" bestFit="1" customWidth="1"/>
    <col min="11334" max="11336" width="13.44140625" style="401" customWidth="1"/>
    <col min="11337" max="11337" width="18.33203125" style="401" bestFit="1" customWidth="1"/>
    <col min="11338" max="11338" width="15" style="401" bestFit="1" customWidth="1"/>
    <col min="11339" max="11339" width="14.109375" style="401" customWidth="1"/>
    <col min="11340" max="11340" width="3.44140625" style="401" customWidth="1"/>
    <col min="11341" max="11504" width="9.109375" style="401"/>
    <col min="11505" max="11505" width="14" style="401" customWidth="1"/>
    <col min="11506" max="11508" width="15.33203125" style="401" customWidth="1"/>
    <col min="11509" max="11509" width="2.5546875" style="401" customWidth="1"/>
    <col min="11510" max="11510" width="15.33203125" style="401" bestFit="1" customWidth="1"/>
    <col min="11511" max="11527" width="9.109375" style="401" customWidth="1"/>
    <col min="11528" max="11528" width="9.44140625" style="401" customWidth="1"/>
    <col min="11529" max="11529" width="15.109375" style="401" customWidth="1"/>
    <col min="11530" max="11530" width="11" style="401" customWidth="1"/>
    <col min="11531" max="11534" width="9.109375" style="401"/>
    <col min="11535" max="11536" width="0" style="401" hidden="1" customWidth="1"/>
    <col min="11537" max="11540" width="9.109375" style="401"/>
    <col min="11541" max="11542" width="0" style="401" hidden="1" customWidth="1"/>
    <col min="11543" max="11547" width="9.109375" style="401"/>
    <col min="11548" max="11548" width="3.88671875" style="401" customWidth="1"/>
    <col min="11549" max="11549" width="9.109375" style="401" customWidth="1"/>
    <col min="11550" max="11550" width="13.33203125" style="401" customWidth="1"/>
    <col min="11551" max="11551" width="9.109375" style="401" customWidth="1"/>
    <col min="11552" max="11554" width="9.109375" style="401"/>
    <col min="11555" max="11555" width="11.88671875" style="401" customWidth="1"/>
    <col min="11556" max="11556" width="10.109375" style="401" customWidth="1"/>
    <col min="11557" max="11560" width="9.109375" style="401"/>
    <col min="11561" max="11562" width="0" style="401" hidden="1" customWidth="1"/>
    <col min="11563" max="11567" width="9.109375" style="401"/>
    <col min="11568" max="11568" width="3.109375" style="401" customWidth="1"/>
    <col min="11569" max="11587" width="9.109375" style="401"/>
    <col min="11588" max="11588" width="2.44140625" style="401" customWidth="1"/>
    <col min="11589" max="11589" width="13.44140625" style="401" bestFit="1" customWidth="1"/>
    <col min="11590" max="11592" width="13.44140625" style="401" customWidth="1"/>
    <col min="11593" max="11593" width="18.33203125" style="401" bestFit="1" customWidth="1"/>
    <col min="11594" max="11594" width="15" style="401" bestFit="1" customWidth="1"/>
    <col min="11595" max="11595" width="14.109375" style="401" customWidth="1"/>
    <col min="11596" max="11596" width="3.44140625" style="401" customWidth="1"/>
    <col min="11597" max="11760" width="9.109375" style="401"/>
    <col min="11761" max="11761" width="14" style="401" customWidth="1"/>
    <col min="11762" max="11764" width="15.33203125" style="401" customWidth="1"/>
    <col min="11765" max="11765" width="2.5546875" style="401" customWidth="1"/>
    <col min="11766" max="11766" width="15.33203125" style="401" bestFit="1" customWidth="1"/>
    <col min="11767" max="11783" width="9.109375" style="401" customWidth="1"/>
    <col min="11784" max="11784" width="9.44140625" style="401" customWidth="1"/>
    <col min="11785" max="11785" width="15.109375" style="401" customWidth="1"/>
    <col min="11786" max="11786" width="11" style="401" customWidth="1"/>
    <col min="11787" max="11790" width="9.109375" style="401"/>
    <col min="11791" max="11792" width="0" style="401" hidden="1" customWidth="1"/>
    <col min="11793" max="11796" width="9.109375" style="401"/>
    <col min="11797" max="11798" width="0" style="401" hidden="1" customWidth="1"/>
    <col min="11799" max="11803" width="9.109375" style="401"/>
    <col min="11804" max="11804" width="3.88671875" style="401" customWidth="1"/>
    <col min="11805" max="11805" width="9.109375" style="401" customWidth="1"/>
    <col min="11806" max="11806" width="13.33203125" style="401" customWidth="1"/>
    <col min="11807" max="11807" width="9.109375" style="401" customWidth="1"/>
    <col min="11808" max="11810" width="9.109375" style="401"/>
    <col min="11811" max="11811" width="11.88671875" style="401" customWidth="1"/>
    <col min="11812" max="11812" width="10.109375" style="401" customWidth="1"/>
    <col min="11813" max="11816" width="9.109375" style="401"/>
    <col min="11817" max="11818" width="0" style="401" hidden="1" customWidth="1"/>
    <col min="11819" max="11823" width="9.109375" style="401"/>
    <col min="11824" max="11824" width="3.109375" style="401" customWidth="1"/>
    <col min="11825" max="11843" width="9.109375" style="401"/>
    <col min="11844" max="11844" width="2.44140625" style="401" customWidth="1"/>
    <col min="11845" max="11845" width="13.44140625" style="401" bestFit="1" customWidth="1"/>
    <col min="11846" max="11848" width="13.44140625" style="401" customWidth="1"/>
    <col min="11849" max="11849" width="18.33203125" style="401" bestFit="1" customWidth="1"/>
    <col min="11850" max="11850" width="15" style="401" bestFit="1" customWidth="1"/>
    <col min="11851" max="11851" width="14.109375" style="401" customWidth="1"/>
    <col min="11852" max="11852" width="3.44140625" style="401" customWidth="1"/>
    <col min="11853" max="12016" width="9.109375" style="401"/>
    <col min="12017" max="12017" width="14" style="401" customWidth="1"/>
    <col min="12018" max="12020" width="15.33203125" style="401" customWidth="1"/>
    <col min="12021" max="12021" width="2.5546875" style="401" customWidth="1"/>
    <col min="12022" max="12022" width="15.33203125" style="401" bestFit="1" customWidth="1"/>
    <col min="12023" max="12039" width="9.109375" style="401" customWidth="1"/>
    <col min="12040" max="12040" width="9.44140625" style="401" customWidth="1"/>
    <col min="12041" max="12041" width="15.109375" style="401" customWidth="1"/>
    <col min="12042" max="12042" width="11" style="401" customWidth="1"/>
    <col min="12043" max="12046" width="9.109375" style="401"/>
    <col min="12047" max="12048" width="0" style="401" hidden="1" customWidth="1"/>
    <col min="12049" max="12052" width="9.109375" style="401"/>
    <col min="12053" max="12054" width="0" style="401" hidden="1" customWidth="1"/>
    <col min="12055" max="12059" width="9.109375" style="401"/>
    <col min="12060" max="12060" width="3.88671875" style="401" customWidth="1"/>
    <col min="12061" max="12061" width="9.109375" style="401" customWidth="1"/>
    <col min="12062" max="12062" width="13.33203125" style="401" customWidth="1"/>
    <col min="12063" max="12063" width="9.109375" style="401" customWidth="1"/>
    <col min="12064" max="12066" width="9.109375" style="401"/>
    <col min="12067" max="12067" width="11.88671875" style="401" customWidth="1"/>
    <col min="12068" max="12068" width="10.109375" style="401" customWidth="1"/>
    <col min="12069" max="12072" width="9.109375" style="401"/>
    <col min="12073" max="12074" width="0" style="401" hidden="1" customWidth="1"/>
    <col min="12075" max="12079" width="9.109375" style="401"/>
    <col min="12080" max="12080" width="3.109375" style="401" customWidth="1"/>
    <col min="12081" max="12099" width="9.109375" style="401"/>
    <col min="12100" max="12100" width="2.44140625" style="401" customWidth="1"/>
    <col min="12101" max="12101" width="13.44140625" style="401" bestFit="1" customWidth="1"/>
    <col min="12102" max="12104" width="13.44140625" style="401" customWidth="1"/>
    <col min="12105" max="12105" width="18.33203125" style="401" bestFit="1" customWidth="1"/>
    <col min="12106" max="12106" width="15" style="401" bestFit="1" customWidth="1"/>
    <col min="12107" max="12107" width="14.109375" style="401" customWidth="1"/>
    <col min="12108" max="12108" width="3.44140625" style="401" customWidth="1"/>
    <col min="12109" max="12272" width="9.109375" style="401"/>
    <col min="12273" max="12273" width="14" style="401" customWidth="1"/>
    <col min="12274" max="12276" width="15.33203125" style="401" customWidth="1"/>
    <col min="12277" max="12277" width="2.5546875" style="401" customWidth="1"/>
    <col min="12278" max="12278" width="15.33203125" style="401" bestFit="1" customWidth="1"/>
    <col min="12279" max="12295" width="9.109375" style="401" customWidth="1"/>
    <col min="12296" max="12296" width="9.44140625" style="401" customWidth="1"/>
    <col min="12297" max="12297" width="15.109375" style="401" customWidth="1"/>
    <col min="12298" max="12298" width="11" style="401" customWidth="1"/>
    <col min="12299" max="12302" width="9.109375" style="401"/>
    <col min="12303" max="12304" width="0" style="401" hidden="1" customWidth="1"/>
    <col min="12305" max="12308" width="9.109375" style="401"/>
    <col min="12309" max="12310" width="0" style="401" hidden="1" customWidth="1"/>
    <col min="12311" max="12315" width="9.109375" style="401"/>
    <col min="12316" max="12316" width="3.88671875" style="401" customWidth="1"/>
    <col min="12317" max="12317" width="9.109375" style="401" customWidth="1"/>
    <col min="12318" max="12318" width="13.33203125" style="401" customWidth="1"/>
    <col min="12319" max="12319" width="9.109375" style="401" customWidth="1"/>
    <col min="12320" max="12322" width="9.109375" style="401"/>
    <col min="12323" max="12323" width="11.88671875" style="401" customWidth="1"/>
    <col min="12324" max="12324" width="10.109375" style="401" customWidth="1"/>
    <col min="12325" max="12328" width="9.109375" style="401"/>
    <col min="12329" max="12330" width="0" style="401" hidden="1" customWidth="1"/>
    <col min="12331" max="12335" width="9.109375" style="401"/>
    <col min="12336" max="12336" width="3.109375" style="401" customWidth="1"/>
    <col min="12337" max="12355" width="9.109375" style="401"/>
    <col min="12356" max="12356" width="2.44140625" style="401" customWidth="1"/>
    <col min="12357" max="12357" width="13.44140625" style="401" bestFit="1" customWidth="1"/>
    <col min="12358" max="12360" width="13.44140625" style="401" customWidth="1"/>
    <col min="12361" max="12361" width="18.33203125" style="401" bestFit="1" customWidth="1"/>
    <col min="12362" max="12362" width="15" style="401" bestFit="1" customWidth="1"/>
    <col min="12363" max="12363" width="14.109375" style="401" customWidth="1"/>
    <col min="12364" max="12364" width="3.44140625" style="401" customWidth="1"/>
    <col min="12365" max="12528" width="9.109375" style="401"/>
    <col min="12529" max="12529" width="14" style="401" customWidth="1"/>
    <col min="12530" max="12532" width="15.33203125" style="401" customWidth="1"/>
    <col min="12533" max="12533" width="2.5546875" style="401" customWidth="1"/>
    <col min="12534" max="12534" width="15.33203125" style="401" bestFit="1" customWidth="1"/>
    <col min="12535" max="12551" width="9.109375" style="401" customWidth="1"/>
    <col min="12552" max="12552" width="9.44140625" style="401" customWidth="1"/>
    <col min="12553" max="12553" width="15.109375" style="401" customWidth="1"/>
    <col min="12554" max="12554" width="11" style="401" customWidth="1"/>
    <col min="12555" max="12558" width="9.109375" style="401"/>
    <col min="12559" max="12560" width="0" style="401" hidden="1" customWidth="1"/>
    <col min="12561" max="12564" width="9.109375" style="401"/>
    <col min="12565" max="12566" width="0" style="401" hidden="1" customWidth="1"/>
    <col min="12567" max="12571" width="9.109375" style="401"/>
    <col min="12572" max="12572" width="3.88671875" style="401" customWidth="1"/>
    <col min="12573" max="12573" width="9.109375" style="401" customWidth="1"/>
    <col min="12574" max="12574" width="13.33203125" style="401" customWidth="1"/>
    <col min="12575" max="12575" width="9.109375" style="401" customWidth="1"/>
    <col min="12576" max="12578" width="9.109375" style="401"/>
    <col min="12579" max="12579" width="11.88671875" style="401" customWidth="1"/>
    <col min="12580" max="12580" width="10.109375" style="401" customWidth="1"/>
    <col min="12581" max="12584" width="9.109375" style="401"/>
    <col min="12585" max="12586" width="0" style="401" hidden="1" customWidth="1"/>
    <col min="12587" max="12591" width="9.109375" style="401"/>
    <col min="12592" max="12592" width="3.109375" style="401" customWidth="1"/>
    <col min="12593" max="12611" width="9.109375" style="401"/>
    <col min="12612" max="12612" width="2.44140625" style="401" customWidth="1"/>
    <col min="12613" max="12613" width="13.44140625" style="401" bestFit="1" customWidth="1"/>
    <col min="12614" max="12616" width="13.44140625" style="401" customWidth="1"/>
    <col min="12617" max="12617" width="18.33203125" style="401" bestFit="1" customWidth="1"/>
    <col min="12618" max="12618" width="15" style="401" bestFit="1" customWidth="1"/>
    <col min="12619" max="12619" width="14.109375" style="401" customWidth="1"/>
    <col min="12620" max="12620" width="3.44140625" style="401" customWidth="1"/>
    <col min="12621" max="12784" width="9.109375" style="401"/>
    <col min="12785" max="12785" width="14" style="401" customWidth="1"/>
    <col min="12786" max="12788" width="15.33203125" style="401" customWidth="1"/>
    <col min="12789" max="12789" width="2.5546875" style="401" customWidth="1"/>
    <col min="12790" max="12790" width="15.33203125" style="401" bestFit="1" customWidth="1"/>
    <col min="12791" max="12807" width="9.109375" style="401" customWidth="1"/>
    <col min="12808" max="12808" width="9.44140625" style="401" customWidth="1"/>
    <col min="12809" max="12809" width="15.109375" style="401" customWidth="1"/>
    <col min="12810" max="12810" width="11" style="401" customWidth="1"/>
    <col min="12811" max="12814" width="9.109375" style="401"/>
    <col min="12815" max="12816" width="0" style="401" hidden="1" customWidth="1"/>
    <col min="12817" max="12820" width="9.109375" style="401"/>
    <col min="12821" max="12822" width="0" style="401" hidden="1" customWidth="1"/>
    <col min="12823" max="12827" width="9.109375" style="401"/>
    <col min="12828" max="12828" width="3.88671875" style="401" customWidth="1"/>
    <col min="12829" max="12829" width="9.109375" style="401" customWidth="1"/>
    <col min="12830" max="12830" width="13.33203125" style="401" customWidth="1"/>
    <col min="12831" max="12831" width="9.109375" style="401" customWidth="1"/>
    <col min="12832" max="12834" width="9.109375" style="401"/>
    <col min="12835" max="12835" width="11.88671875" style="401" customWidth="1"/>
    <col min="12836" max="12836" width="10.109375" style="401" customWidth="1"/>
    <col min="12837" max="12840" width="9.109375" style="401"/>
    <col min="12841" max="12842" width="0" style="401" hidden="1" customWidth="1"/>
    <col min="12843" max="12847" width="9.109375" style="401"/>
    <col min="12848" max="12848" width="3.109375" style="401" customWidth="1"/>
    <col min="12849" max="12867" width="9.109375" style="401"/>
    <col min="12868" max="12868" width="2.44140625" style="401" customWidth="1"/>
    <col min="12869" max="12869" width="13.44140625" style="401" bestFit="1" customWidth="1"/>
    <col min="12870" max="12872" width="13.44140625" style="401" customWidth="1"/>
    <col min="12873" max="12873" width="18.33203125" style="401" bestFit="1" customWidth="1"/>
    <col min="12874" max="12874" width="15" style="401" bestFit="1" customWidth="1"/>
    <col min="12875" max="12875" width="14.109375" style="401" customWidth="1"/>
    <col min="12876" max="12876" width="3.44140625" style="401" customWidth="1"/>
    <col min="12877" max="13040" width="9.109375" style="401"/>
    <col min="13041" max="13041" width="14" style="401" customWidth="1"/>
    <col min="13042" max="13044" width="15.33203125" style="401" customWidth="1"/>
    <col min="13045" max="13045" width="2.5546875" style="401" customWidth="1"/>
    <col min="13046" max="13046" width="15.33203125" style="401" bestFit="1" customWidth="1"/>
    <col min="13047" max="13063" width="9.109375" style="401" customWidth="1"/>
    <col min="13064" max="13064" width="9.44140625" style="401" customWidth="1"/>
    <col min="13065" max="13065" width="15.109375" style="401" customWidth="1"/>
    <col min="13066" max="13066" width="11" style="401" customWidth="1"/>
    <col min="13067" max="13070" width="9.109375" style="401"/>
    <col min="13071" max="13072" width="0" style="401" hidden="1" customWidth="1"/>
    <col min="13073" max="13076" width="9.109375" style="401"/>
    <col min="13077" max="13078" width="0" style="401" hidden="1" customWidth="1"/>
    <col min="13079" max="13083" width="9.109375" style="401"/>
    <col min="13084" max="13084" width="3.88671875" style="401" customWidth="1"/>
    <col min="13085" max="13085" width="9.109375" style="401" customWidth="1"/>
    <col min="13086" max="13086" width="13.33203125" style="401" customWidth="1"/>
    <col min="13087" max="13087" width="9.109375" style="401" customWidth="1"/>
    <col min="13088" max="13090" width="9.109375" style="401"/>
    <col min="13091" max="13091" width="11.88671875" style="401" customWidth="1"/>
    <col min="13092" max="13092" width="10.109375" style="401" customWidth="1"/>
    <col min="13093" max="13096" width="9.109375" style="401"/>
    <col min="13097" max="13098" width="0" style="401" hidden="1" customWidth="1"/>
    <col min="13099" max="13103" width="9.109375" style="401"/>
    <col min="13104" max="13104" width="3.109375" style="401" customWidth="1"/>
    <col min="13105" max="13123" width="9.109375" style="401"/>
    <col min="13124" max="13124" width="2.44140625" style="401" customWidth="1"/>
    <col min="13125" max="13125" width="13.44140625" style="401" bestFit="1" customWidth="1"/>
    <col min="13126" max="13128" width="13.44140625" style="401" customWidth="1"/>
    <col min="13129" max="13129" width="18.33203125" style="401" bestFit="1" customWidth="1"/>
    <col min="13130" max="13130" width="15" style="401" bestFit="1" customWidth="1"/>
    <col min="13131" max="13131" width="14.109375" style="401" customWidth="1"/>
    <col min="13132" max="13132" width="3.44140625" style="401" customWidth="1"/>
    <col min="13133" max="13296" width="9.109375" style="401"/>
    <col min="13297" max="13297" width="14" style="401" customWidth="1"/>
    <col min="13298" max="13300" width="15.33203125" style="401" customWidth="1"/>
    <col min="13301" max="13301" width="2.5546875" style="401" customWidth="1"/>
    <col min="13302" max="13302" width="15.33203125" style="401" bestFit="1" customWidth="1"/>
    <col min="13303" max="13319" width="9.109375" style="401" customWidth="1"/>
    <col min="13320" max="13320" width="9.44140625" style="401" customWidth="1"/>
    <col min="13321" max="13321" width="15.109375" style="401" customWidth="1"/>
    <col min="13322" max="13322" width="11" style="401" customWidth="1"/>
    <col min="13323" max="13326" width="9.109375" style="401"/>
    <col min="13327" max="13328" width="0" style="401" hidden="1" customWidth="1"/>
    <col min="13329" max="13332" width="9.109375" style="401"/>
    <col min="13333" max="13334" width="0" style="401" hidden="1" customWidth="1"/>
    <col min="13335" max="13339" width="9.109375" style="401"/>
    <col min="13340" max="13340" width="3.88671875" style="401" customWidth="1"/>
    <col min="13341" max="13341" width="9.109375" style="401" customWidth="1"/>
    <col min="13342" max="13342" width="13.33203125" style="401" customWidth="1"/>
    <col min="13343" max="13343" width="9.109375" style="401" customWidth="1"/>
    <col min="13344" max="13346" width="9.109375" style="401"/>
    <col min="13347" max="13347" width="11.88671875" style="401" customWidth="1"/>
    <col min="13348" max="13348" width="10.109375" style="401" customWidth="1"/>
    <col min="13349" max="13352" width="9.109375" style="401"/>
    <col min="13353" max="13354" width="0" style="401" hidden="1" customWidth="1"/>
    <col min="13355" max="13359" width="9.109375" style="401"/>
    <col min="13360" max="13360" width="3.109375" style="401" customWidth="1"/>
    <col min="13361" max="13379" width="9.109375" style="401"/>
    <col min="13380" max="13380" width="2.44140625" style="401" customWidth="1"/>
    <col min="13381" max="13381" width="13.44140625" style="401" bestFit="1" customWidth="1"/>
    <col min="13382" max="13384" width="13.44140625" style="401" customWidth="1"/>
    <col min="13385" max="13385" width="18.33203125" style="401" bestFit="1" customWidth="1"/>
    <col min="13386" max="13386" width="15" style="401" bestFit="1" customWidth="1"/>
    <col min="13387" max="13387" width="14.109375" style="401" customWidth="1"/>
    <col min="13388" max="13388" width="3.44140625" style="401" customWidth="1"/>
    <col min="13389" max="13552" width="9.109375" style="401"/>
    <col min="13553" max="13553" width="14" style="401" customWidth="1"/>
    <col min="13554" max="13556" width="15.33203125" style="401" customWidth="1"/>
    <col min="13557" max="13557" width="2.5546875" style="401" customWidth="1"/>
    <col min="13558" max="13558" width="15.33203125" style="401" bestFit="1" customWidth="1"/>
    <col min="13559" max="13575" width="9.109375" style="401" customWidth="1"/>
    <col min="13576" max="13576" width="9.44140625" style="401" customWidth="1"/>
    <col min="13577" max="13577" width="15.109375" style="401" customWidth="1"/>
    <col min="13578" max="13578" width="11" style="401" customWidth="1"/>
    <col min="13579" max="13582" width="9.109375" style="401"/>
    <col min="13583" max="13584" width="0" style="401" hidden="1" customWidth="1"/>
    <col min="13585" max="13588" width="9.109375" style="401"/>
    <col min="13589" max="13590" width="0" style="401" hidden="1" customWidth="1"/>
    <col min="13591" max="13595" width="9.109375" style="401"/>
    <col min="13596" max="13596" width="3.88671875" style="401" customWidth="1"/>
    <col min="13597" max="13597" width="9.109375" style="401" customWidth="1"/>
    <col min="13598" max="13598" width="13.33203125" style="401" customWidth="1"/>
    <col min="13599" max="13599" width="9.109375" style="401" customWidth="1"/>
    <col min="13600" max="13602" width="9.109375" style="401"/>
    <col min="13603" max="13603" width="11.88671875" style="401" customWidth="1"/>
    <col min="13604" max="13604" width="10.109375" style="401" customWidth="1"/>
    <col min="13605" max="13608" width="9.109375" style="401"/>
    <col min="13609" max="13610" width="0" style="401" hidden="1" customWidth="1"/>
    <col min="13611" max="13615" width="9.109375" style="401"/>
    <col min="13616" max="13616" width="3.109375" style="401" customWidth="1"/>
    <col min="13617" max="13635" width="9.109375" style="401"/>
    <col min="13636" max="13636" width="2.44140625" style="401" customWidth="1"/>
    <col min="13637" max="13637" width="13.44140625" style="401" bestFit="1" customWidth="1"/>
    <col min="13638" max="13640" width="13.44140625" style="401" customWidth="1"/>
    <col min="13641" max="13641" width="18.33203125" style="401" bestFit="1" customWidth="1"/>
    <col min="13642" max="13642" width="15" style="401" bestFit="1" customWidth="1"/>
    <col min="13643" max="13643" width="14.109375" style="401" customWidth="1"/>
    <col min="13644" max="13644" width="3.44140625" style="401" customWidth="1"/>
    <col min="13645" max="13808" width="9.109375" style="401"/>
    <col min="13809" max="13809" width="14" style="401" customWidth="1"/>
    <col min="13810" max="13812" width="15.33203125" style="401" customWidth="1"/>
    <col min="13813" max="13813" width="2.5546875" style="401" customWidth="1"/>
    <col min="13814" max="13814" width="15.33203125" style="401" bestFit="1" customWidth="1"/>
    <col min="13815" max="13831" width="9.109375" style="401" customWidth="1"/>
    <col min="13832" max="13832" width="9.44140625" style="401" customWidth="1"/>
    <col min="13833" max="13833" width="15.109375" style="401" customWidth="1"/>
    <col min="13834" max="13834" width="11" style="401" customWidth="1"/>
    <col min="13835" max="13838" width="9.109375" style="401"/>
    <col min="13839" max="13840" width="0" style="401" hidden="1" customWidth="1"/>
    <col min="13841" max="13844" width="9.109375" style="401"/>
    <col min="13845" max="13846" width="0" style="401" hidden="1" customWidth="1"/>
    <col min="13847" max="13851" width="9.109375" style="401"/>
    <col min="13852" max="13852" width="3.88671875" style="401" customWidth="1"/>
    <col min="13853" max="13853" width="9.109375" style="401" customWidth="1"/>
    <col min="13854" max="13854" width="13.33203125" style="401" customWidth="1"/>
    <col min="13855" max="13855" width="9.109375" style="401" customWidth="1"/>
    <col min="13856" max="13858" width="9.109375" style="401"/>
    <col min="13859" max="13859" width="11.88671875" style="401" customWidth="1"/>
    <col min="13860" max="13860" width="10.109375" style="401" customWidth="1"/>
    <col min="13861" max="13864" width="9.109375" style="401"/>
    <col min="13865" max="13866" width="0" style="401" hidden="1" customWidth="1"/>
    <col min="13867" max="13871" width="9.109375" style="401"/>
    <col min="13872" max="13872" width="3.109375" style="401" customWidth="1"/>
    <col min="13873" max="13891" width="9.109375" style="401"/>
    <col min="13892" max="13892" width="2.44140625" style="401" customWidth="1"/>
    <col min="13893" max="13893" width="13.44140625" style="401" bestFit="1" customWidth="1"/>
    <col min="13894" max="13896" width="13.44140625" style="401" customWidth="1"/>
    <col min="13897" max="13897" width="18.33203125" style="401" bestFit="1" customWidth="1"/>
    <col min="13898" max="13898" width="15" style="401" bestFit="1" customWidth="1"/>
    <col min="13899" max="13899" width="14.109375" style="401" customWidth="1"/>
    <col min="13900" max="13900" width="3.44140625" style="401" customWidth="1"/>
    <col min="13901" max="14064" width="9.109375" style="401"/>
    <col min="14065" max="14065" width="14" style="401" customWidth="1"/>
    <col min="14066" max="14068" width="15.33203125" style="401" customWidth="1"/>
    <col min="14069" max="14069" width="2.5546875" style="401" customWidth="1"/>
    <col min="14070" max="14070" width="15.33203125" style="401" bestFit="1" customWidth="1"/>
    <col min="14071" max="14087" width="9.109375" style="401" customWidth="1"/>
    <col min="14088" max="14088" width="9.44140625" style="401" customWidth="1"/>
    <col min="14089" max="14089" width="15.109375" style="401" customWidth="1"/>
    <col min="14090" max="14090" width="11" style="401" customWidth="1"/>
    <col min="14091" max="14094" width="9.109375" style="401"/>
    <col min="14095" max="14096" width="0" style="401" hidden="1" customWidth="1"/>
    <col min="14097" max="14100" width="9.109375" style="401"/>
    <col min="14101" max="14102" width="0" style="401" hidden="1" customWidth="1"/>
    <col min="14103" max="14107" width="9.109375" style="401"/>
    <col min="14108" max="14108" width="3.88671875" style="401" customWidth="1"/>
    <col min="14109" max="14109" width="9.109375" style="401" customWidth="1"/>
    <col min="14110" max="14110" width="13.33203125" style="401" customWidth="1"/>
    <col min="14111" max="14111" width="9.109375" style="401" customWidth="1"/>
    <col min="14112" max="14114" width="9.109375" style="401"/>
    <col min="14115" max="14115" width="11.88671875" style="401" customWidth="1"/>
    <col min="14116" max="14116" width="10.109375" style="401" customWidth="1"/>
    <col min="14117" max="14120" width="9.109375" style="401"/>
    <col min="14121" max="14122" width="0" style="401" hidden="1" customWidth="1"/>
    <col min="14123" max="14127" width="9.109375" style="401"/>
    <col min="14128" max="14128" width="3.109375" style="401" customWidth="1"/>
    <col min="14129" max="14147" width="9.109375" style="401"/>
    <col min="14148" max="14148" width="2.44140625" style="401" customWidth="1"/>
    <col min="14149" max="14149" width="13.44140625" style="401" bestFit="1" customWidth="1"/>
    <col min="14150" max="14152" width="13.44140625" style="401" customWidth="1"/>
    <col min="14153" max="14153" width="18.33203125" style="401" bestFit="1" customWidth="1"/>
    <col min="14154" max="14154" width="15" style="401" bestFit="1" customWidth="1"/>
    <col min="14155" max="14155" width="14.109375" style="401" customWidth="1"/>
    <col min="14156" max="14156" width="3.44140625" style="401" customWidth="1"/>
    <col min="14157" max="14320" width="9.109375" style="401"/>
    <col min="14321" max="14321" width="14" style="401" customWidth="1"/>
    <col min="14322" max="14324" width="15.33203125" style="401" customWidth="1"/>
    <col min="14325" max="14325" width="2.5546875" style="401" customWidth="1"/>
    <col min="14326" max="14326" width="15.33203125" style="401" bestFit="1" customWidth="1"/>
    <col min="14327" max="14343" width="9.109375" style="401" customWidth="1"/>
    <col min="14344" max="14344" width="9.44140625" style="401" customWidth="1"/>
    <col min="14345" max="14345" width="15.109375" style="401" customWidth="1"/>
    <col min="14346" max="14346" width="11" style="401" customWidth="1"/>
    <col min="14347" max="14350" width="9.109375" style="401"/>
    <col min="14351" max="14352" width="0" style="401" hidden="1" customWidth="1"/>
    <col min="14353" max="14356" width="9.109375" style="401"/>
    <col min="14357" max="14358" width="0" style="401" hidden="1" customWidth="1"/>
    <col min="14359" max="14363" width="9.109375" style="401"/>
    <col min="14364" max="14364" width="3.88671875" style="401" customWidth="1"/>
    <col min="14365" max="14365" width="9.109375" style="401" customWidth="1"/>
    <col min="14366" max="14366" width="13.33203125" style="401" customWidth="1"/>
    <col min="14367" max="14367" width="9.109375" style="401" customWidth="1"/>
    <col min="14368" max="14370" width="9.109375" style="401"/>
    <col min="14371" max="14371" width="11.88671875" style="401" customWidth="1"/>
    <col min="14372" max="14372" width="10.109375" style="401" customWidth="1"/>
    <col min="14373" max="14376" width="9.109375" style="401"/>
    <col min="14377" max="14378" width="0" style="401" hidden="1" customWidth="1"/>
    <col min="14379" max="14383" width="9.109375" style="401"/>
    <col min="14384" max="14384" width="3.109375" style="401" customWidth="1"/>
    <col min="14385" max="14403" width="9.109375" style="401"/>
    <col min="14404" max="14404" width="2.44140625" style="401" customWidth="1"/>
    <col min="14405" max="14405" width="13.44140625" style="401" bestFit="1" customWidth="1"/>
    <col min="14406" max="14408" width="13.44140625" style="401" customWidth="1"/>
    <col min="14409" max="14409" width="18.33203125" style="401" bestFit="1" customWidth="1"/>
    <col min="14410" max="14410" width="15" style="401" bestFit="1" customWidth="1"/>
    <col min="14411" max="14411" width="14.109375" style="401" customWidth="1"/>
    <col min="14412" max="14412" width="3.44140625" style="401" customWidth="1"/>
    <col min="14413" max="14576" width="9.109375" style="401"/>
    <col min="14577" max="14577" width="14" style="401" customWidth="1"/>
    <col min="14578" max="14580" width="15.33203125" style="401" customWidth="1"/>
    <col min="14581" max="14581" width="2.5546875" style="401" customWidth="1"/>
    <col min="14582" max="14582" width="15.33203125" style="401" bestFit="1" customWidth="1"/>
    <col min="14583" max="14599" width="9.109375" style="401" customWidth="1"/>
    <col min="14600" max="14600" width="9.44140625" style="401" customWidth="1"/>
    <col min="14601" max="14601" width="15.109375" style="401" customWidth="1"/>
    <col min="14602" max="14602" width="11" style="401" customWidth="1"/>
    <col min="14603" max="14606" width="9.109375" style="401"/>
    <col min="14607" max="14608" width="0" style="401" hidden="1" customWidth="1"/>
    <col min="14609" max="14612" width="9.109375" style="401"/>
    <col min="14613" max="14614" width="0" style="401" hidden="1" customWidth="1"/>
    <col min="14615" max="14619" width="9.109375" style="401"/>
    <col min="14620" max="14620" width="3.88671875" style="401" customWidth="1"/>
    <col min="14621" max="14621" width="9.109375" style="401" customWidth="1"/>
    <col min="14622" max="14622" width="13.33203125" style="401" customWidth="1"/>
    <col min="14623" max="14623" width="9.109375" style="401" customWidth="1"/>
    <col min="14624" max="14626" width="9.109375" style="401"/>
    <col min="14627" max="14627" width="11.88671875" style="401" customWidth="1"/>
    <col min="14628" max="14628" width="10.109375" style="401" customWidth="1"/>
    <col min="14629" max="14632" width="9.109375" style="401"/>
    <col min="14633" max="14634" width="0" style="401" hidden="1" customWidth="1"/>
    <col min="14635" max="14639" width="9.109375" style="401"/>
    <col min="14640" max="14640" width="3.109375" style="401" customWidth="1"/>
    <col min="14641" max="14659" width="9.109375" style="401"/>
    <col min="14660" max="14660" width="2.44140625" style="401" customWidth="1"/>
    <col min="14661" max="14661" width="13.44140625" style="401" bestFit="1" customWidth="1"/>
    <col min="14662" max="14664" width="13.44140625" style="401" customWidth="1"/>
    <col min="14665" max="14665" width="18.33203125" style="401" bestFit="1" customWidth="1"/>
    <col min="14666" max="14666" width="15" style="401" bestFit="1" customWidth="1"/>
    <col min="14667" max="14667" width="14.109375" style="401" customWidth="1"/>
    <col min="14668" max="14668" width="3.44140625" style="401" customWidth="1"/>
    <col min="14669" max="14832" width="9.109375" style="401"/>
    <col min="14833" max="14833" width="14" style="401" customWidth="1"/>
    <col min="14834" max="14836" width="15.33203125" style="401" customWidth="1"/>
    <col min="14837" max="14837" width="2.5546875" style="401" customWidth="1"/>
    <col min="14838" max="14838" width="15.33203125" style="401" bestFit="1" customWidth="1"/>
    <col min="14839" max="14855" width="9.109375" style="401" customWidth="1"/>
    <col min="14856" max="14856" width="9.44140625" style="401" customWidth="1"/>
    <col min="14857" max="14857" width="15.109375" style="401" customWidth="1"/>
    <col min="14858" max="14858" width="11" style="401" customWidth="1"/>
    <col min="14859" max="14862" width="9.109375" style="401"/>
    <col min="14863" max="14864" width="0" style="401" hidden="1" customWidth="1"/>
    <col min="14865" max="14868" width="9.109375" style="401"/>
    <col min="14869" max="14870" width="0" style="401" hidden="1" customWidth="1"/>
    <col min="14871" max="14875" width="9.109375" style="401"/>
    <col min="14876" max="14876" width="3.88671875" style="401" customWidth="1"/>
    <col min="14877" max="14877" width="9.109375" style="401" customWidth="1"/>
    <col min="14878" max="14878" width="13.33203125" style="401" customWidth="1"/>
    <col min="14879" max="14879" width="9.109375" style="401" customWidth="1"/>
    <col min="14880" max="14882" width="9.109375" style="401"/>
    <col min="14883" max="14883" width="11.88671875" style="401" customWidth="1"/>
    <col min="14884" max="14884" width="10.109375" style="401" customWidth="1"/>
    <col min="14885" max="14888" width="9.109375" style="401"/>
    <col min="14889" max="14890" width="0" style="401" hidden="1" customWidth="1"/>
    <col min="14891" max="14895" width="9.109375" style="401"/>
    <col min="14896" max="14896" width="3.109375" style="401" customWidth="1"/>
    <col min="14897" max="14915" width="9.109375" style="401"/>
    <col min="14916" max="14916" width="2.44140625" style="401" customWidth="1"/>
    <col min="14917" max="14917" width="13.44140625" style="401" bestFit="1" customWidth="1"/>
    <col min="14918" max="14920" width="13.44140625" style="401" customWidth="1"/>
    <col min="14921" max="14921" width="18.33203125" style="401" bestFit="1" customWidth="1"/>
    <col min="14922" max="14922" width="15" style="401" bestFit="1" customWidth="1"/>
    <col min="14923" max="14923" width="14.109375" style="401" customWidth="1"/>
    <col min="14924" max="14924" width="3.44140625" style="401" customWidth="1"/>
    <col min="14925" max="15088" width="9.109375" style="401"/>
    <col min="15089" max="15089" width="14" style="401" customWidth="1"/>
    <col min="15090" max="15092" width="15.33203125" style="401" customWidth="1"/>
    <col min="15093" max="15093" width="2.5546875" style="401" customWidth="1"/>
    <col min="15094" max="15094" width="15.33203125" style="401" bestFit="1" customWidth="1"/>
    <col min="15095" max="15111" width="9.109375" style="401" customWidth="1"/>
    <col min="15112" max="15112" width="9.44140625" style="401" customWidth="1"/>
    <col min="15113" max="15113" width="15.109375" style="401" customWidth="1"/>
    <col min="15114" max="15114" width="11" style="401" customWidth="1"/>
    <col min="15115" max="15118" width="9.109375" style="401"/>
    <col min="15119" max="15120" width="0" style="401" hidden="1" customWidth="1"/>
    <col min="15121" max="15124" width="9.109375" style="401"/>
    <col min="15125" max="15126" width="0" style="401" hidden="1" customWidth="1"/>
    <col min="15127" max="15131" width="9.109375" style="401"/>
    <col min="15132" max="15132" width="3.88671875" style="401" customWidth="1"/>
    <col min="15133" max="15133" width="9.109375" style="401" customWidth="1"/>
    <col min="15134" max="15134" width="13.33203125" style="401" customWidth="1"/>
    <col min="15135" max="15135" width="9.109375" style="401" customWidth="1"/>
    <col min="15136" max="15138" width="9.109375" style="401"/>
    <col min="15139" max="15139" width="11.88671875" style="401" customWidth="1"/>
    <col min="15140" max="15140" width="10.109375" style="401" customWidth="1"/>
    <col min="15141" max="15144" width="9.109375" style="401"/>
    <col min="15145" max="15146" width="0" style="401" hidden="1" customWidth="1"/>
    <col min="15147" max="15151" width="9.109375" style="401"/>
    <col min="15152" max="15152" width="3.109375" style="401" customWidth="1"/>
    <col min="15153" max="15171" width="9.109375" style="401"/>
    <col min="15172" max="15172" width="2.44140625" style="401" customWidth="1"/>
    <col min="15173" max="15173" width="13.44140625" style="401" bestFit="1" customWidth="1"/>
    <col min="15174" max="15176" width="13.44140625" style="401" customWidth="1"/>
    <col min="15177" max="15177" width="18.33203125" style="401" bestFit="1" customWidth="1"/>
    <col min="15178" max="15178" width="15" style="401" bestFit="1" customWidth="1"/>
    <col min="15179" max="15179" width="14.109375" style="401" customWidth="1"/>
    <col min="15180" max="15180" width="3.44140625" style="401" customWidth="1"/>
    <col min="15181" max="15344" width="9.109375" style="401"/>
    <col min="15345" max="15345" width="14" style="401" customWidth="1"/>
    <col min="15346" max="15348" width="15.33203125" style="401" customWidth="1"/>
    <col min="15349" max="15349" width="2.5546875" style="401" customWidth="1"/>
    <col min="15350" max="15350" width="15.33203125" style="401" bestFit="1" customWidth="1"/>
    <col min="15351" max="15367" width="9.109375" style="401" customWidth="1"/>
    <col min="15368" max="15368" width="9.44140625" style="401" customWidth="1"/>
    <col min="15369" max="15369" width="15.109375" style="401" customWidth="1"/>
    <col min="15370" max="15370" width="11" style="401" customWidth="1"/>
    <col min="15371" max="15374" width="9.109375" style="401"/>
    <col min="15375" max="15376" width="0" style="401" hidden="1" customWidth="1"/>
    <col min="15377" max="15380" width="9.109375" style="401"/>
    <col min="15381" max="15382" width="0" style="401" hidden="1" customWidth="1"/>
    <col min="15383" max="15387" width="9.109375" style="401"/>
    <col min="15388" max="15388" width="3.88671875" style="401" customWidth="1"/>
    <col min="15389" max="15389" width="9.109375" style="401" customWidth="1"/>
    <col min="15390" max="15390" width="13.33203125" style="401" customWidth="1"/>
    <col min="15391" max="15391" width="9.109375" style="401" customWidth="1"/>
    <col min="15392" max="15394" width="9.109375" style="401"/>
    <col min="15395" max="15395" width="11.88671875" style="401" customWidth="1"/>
    <col min="15396" max="15396" width="10.109375" style="401" customWidth="1"/>
    <col min="15397" max="15400" width="9.109375" style="401"/>
    <col min="15401" max="15402" width="0" style="401" hidden="1" customWidth="1"/>
    <col min="15403" max="15407" width="9.109375" style="401"/>
    <col min="15408" max="15408" width="3.109375" style="401" customWidth="1"/>
    <col min="15409" max="15427" width="9.109375" style="401"/>
    <col min="15428" max="15428" width="2.44140625" style="401" customWidth="1"/>
    <col min="15429" max="15429" width="13.44140625" style="401" bestFit="1" customWidth="1"/>
    <col min="15430" max="15432" width="13.44140625" style="401" customWidth="1"/>
    <col min="15433" max="15433" width="18.33203125" style="401" bestFit="1" customWidth="1"/>
    <col min="15434" max="15434" width="15" style="401" bestFit="1" customWidth="1"/>
    <col min="15435" max="15435" width="14.109375" style="401" customWidth="1"/>
    <col min="15436" max="15436" width="3.44140625" style="401" customWidth="1"/>
    <col min="15437" max="15600" width="9.109375" style="401"/>
    <col min="15601" max="15601" width="14" style="401" customWidth="1"/>
    <col min="15602" max="15604" width="15.33203125" style="401" customWidth="1"/>
    <col min="15605" max="15605" width="2.5546875" style="401" customWidth="1"/>
    <col min="15606" max="15606" width="15.33203125" style="401" bestFit="1" customWidth="1"/>
    <col min="15607" max="15623" width="9.109375" style="401" customWidth="1"/>
    <col min="15624" max="15624" width="9.44140625" style="401" customWidth="1"/>
    <col min="15625" max="15625" width="15.109375" style="401" customWidth="1"/>
    <col min="15626" max="15626" width="11" style="401" customWidth="1"/>
    <col min="15627" max="15630" width="9.109375" style="401"/>
    <col min="15631" max="15632" width="0" style="401" hidden="1" customWidth="1"/>
    <col min="15633" max="15636" width="9.109375" style="401"/>
    <col min="15637" max="15638" width="0" style="401" hidden="1" customWidth="1"/>
    <col min="15639" max="15643" width="9.109375" style="401"/>
    <col min="15644" max="15644" width="3.88671875" style="401" customWidth="1"/>
    <col min="15645" max="15645" width="9.109375" style="401" customWidth="1"/>
    <col min="15646" max="15646" width="13.33203125" style="401" customWidth="1"/>
    <col min="15647" max="15647" width="9.109375" style="401" customWidth="1"/>
    <col min="15648" max="15650" width="9.109375" style="401"/>
    <col min="15651" max="15651" width="11.88671875" style="401" customWidth="1"/>
    <col min="15652" max="15652" width="10.109375" style="401" customWidth="1"/>
    <col min="15653" max="15656" width="9.109375" style="401"/>
    <col min="15657" max="15658" width="0" style="401" hidden="1" customWidth="1"/>
    <col min="15659" max="15663" width="9.109375" style="401"/>
    <col min="15664" max="15664" width="3.109375" style="401" customWidth="1"/>
    <col min="15665" max="15683" width="9.109375" style="401"/>
    <col min="15684" max="15684" width="2.44140625" style="401" customWidth="1"/>
    <col min="15685" max="15685" width="13.44140625" style="401" bestFit="1" customWidth="1"/>
    <col min="15686" max="15688" width="13.44140625" style="401" customWidth="1"/>
    <col min="15689" max="15689" width="18.33203125" style="401" bestFit="1" customWidth="1"/>
    <col min="15690" max="15690" width="15" style="401" bestFit="1" customWidth="1"/>
    <col min="15691" max="15691" width="14.109375" style="401" customWidth="1"/>
    <col min="15692" max="15692" width="3.44140625" style="401" customWidth="1"/>
    <col min="15693" max="15856" width="9.109375" style="401"/>
    <col min="15857" max="15857" width="14" style="401" customWidth="1"/>
    <col min="15858" max="15860" width="15.33203125" style="401" customWidth="1"/>
    <col min="15861" max="15861" width="2.5546875" style="401" customWidth="1"/>
    <col min="15862" max="15862" width="15.33203125" style="401" bestFit="1" customWidth="1"/>
    <col min="15863" max="15879" width="9.109375" style="401" customWidth="1"/>
    <col min="15880" max="15880" width="9.44140625" style="401" customWidth="1"/>
    <col min="15881" max="15881" width="15.109375" style="401" customWidth="1"/>
    <col min="15882" max="15882" width="11" style="401" customWidth="1"/>
    <col min="15883" max="15886" width="9.109375" style="401"/>
    <col min="15887" max="15888" width="0" style="401" hidden="1" customWidth="1"/>
    <col min="15889" max="15892" width="9.109375" style="401"/>
    <col min="15893" max="15894" width="0" style="401" hidden="1" customWidth="1"/>
    <col min="15895" max="15899" width="9.109375" style="401"/>
    <col min="15900" max="15900" width="3.88671875" style="401" customWidth="1"/>
    <col min="15901" max="15901" width="9.109375" style="401" customWidth="1"/>
    <col min="15902" max="15902" width="13.33203125" style="401" customWidth="1"/>
    <col min="15903" max="15903" width="9.109375" style="401" customWidth="1"/>
    <col min="15904" max="15906" width="9.109375" style="401"/>
    <col min="15907" max="15907" width="11.88671875" style="401" customWidth="1"/>
    <col min="15908" max="15908" width="10.109375" style="401" customWidth="1"/>
    <col min="15909" max="15912" width="9.109375" style="401"/>
    <col min="15913" max="15914" width="0" style="401" hidden="1" customWidth="1"/>
    <col min="15915" max="15919" width="9.109375" style="401"/>
    <col min="15920" max="15920" width="3.109375" style="401" customWidth="1"/>
    <col min="15921" max="15939" width="9.109375" style="401"/>
    <col min="15940" max="15940" width="2.44140625" style="401" customWidth="1"/>
    <col min="15941" max="15941" width="13.44140625" style="401" bestFit="1" customWidth="1"/>
    <col min="15942" max="15944" width="13.44140625" style="401" customWidth="1"/>
    <col min="15945" max="15945" width="18.33203125" style="401" bestFit="1" customWidth="1"/>
    <col min="15946" max="15946" width="15" style="401" bestFit="1" customWidth="1"/>
    <col min="15947" max="15947" width="14.109375" style="401" customWidth="1"/>
    <col min="15948" max="15948" width="3.44140625" style="401" customWidth="1"/>
    <col min="15949" max="16112" width="9.109375" style="401"/>
    <col min="16113" max="16113" width="14" style="401" customWidth="1"/>
    <col min="16114" max="16116" width="15.33203125" style="401" customWidth="1"/>
    <col min="16117" max="16117" width="2.5546875" style="401" customWidth="1"/>
    <col min="16118" max="16118" width="15.33203125" style="401" bestFit="1" customWidth="1"/>
    <col min="16119" max="16135" width="9.109375" style="401" customWidth="1"/>
    <col min="16136" max="16136" width="9.44140625" style="401" customWidth="1"/>
    <col min="16137" max="16137" width="15.109375" style="401" customWidth="1"/>
    <col min="16138" max="16138" width="11" style="401" customWidth="1"/>
    <col min="16139" max="16142" width="9.109375" style="401"/>
    <col min="16143" max="16144" width="0" style="401" hidden="1" customWidth="1"/>
    <col min="16145" max="16148" width="9.109375" style="401"/>
    <col min="16149" max="16150" width="0" style="401" hidden="1" customWidth="1"/>
    <col min="16151" max="16155" width="9.109375" style="401"/>
    <col min="16156" max="16156" width="3.88671875" style="401" customWidth="1"/>
    <col min="16157" max="16157" width="9.109375" style="401" customWidth="1"/>
    <col min="16158" max="16158" width="13.33203125" style="401" customWidth="1"/>
    <col min="16159" max="16159" width="9.109375" style="401" customWidth="1"/>
    <col min="16160" max="16162" width="9.109375" style="401"/>
    <col min="16163" max="16163" width="11.88671875" style="401" customWidth="1"/>
    <col min="16164" max="16164" width="10.109375" style="401" customWidth="1"/>
    <col min="16165" max="16168" width="9.109375" style="401"/>
    <col min="16169" max="16170" width="0" style="401" hidden="1" customWidth="1"/>
    <col min="16171" max="16175" width="9.109375" style="401"/>
    <col min="16176" max="16176" width="3.109375" style="401" customWidth="1"/>
    <col min="16177" max="16195" width="9.109375" style="401"/>
    <col min="16196" max="16196" width="2.44140625" style="401" customWidth="1"/>
    <col min="16197" max="16197" width="13.44140625" style="401" bestFit="1" customWidth="1"/>
    <col min="16198" max="16200" width="13.44140625" style="401" customWidth="1"/>
    <col min="16201" max="16201" width="18.33203125" style="401" bestFit="1" customWidth="1"/>
    <col min="16202" max="16202" width="15" style="401" bestFit="1" customWidth="1"/>
    <col min="16203" max="16203" width="14.109375" style="401" customWidth="1"/>
    <col min="16204" max="16204" width="3.44140625" style="401" customWidth="1"/>
    <col min="16205" max="16384" width="9.109375" style="401"/>
  </cols>
  <sheetData>
    <row r="1" spans="1:89" ht="15" x14ac:dyDescent="0.25">
      <c r="B1" s="398" t="s">
        <v>1405</v>
      </c>
      <c r="C1" s="398"/>
      <c r="D1" s="398"/>
      <c r="E1" s="398"/>
      <c r="F1" s="398"/>
      <c r="CE1" s="401" t="s">
        <v>1297</v>
      </c>
      <c r="CF1" s="401" t="s">
        <v>1297</v>
      </c>
      <c r="CH1" s="401" t="s">
        <v>1298</v>
      </c>
      <c r="CI1" s="401" t="s">
        <v>1298</v>
      </c>
    </row>
    <row r="2" spans="1:89" ht="15" x14ac:dyDescent="0.25">
      <c r="H2" s="1234" t="s">
        <v>149</v>
      </c>
      <c r="I2" s="1234"/>
      <c r="J2" s="1234"/>
      <c r="K2" s="1234"/>
      <c r="L2" s="1234"/>
      <c r="M2" s="1234"/>
      <c r="N2" s="1234"/>
      <c r="O2" s="1234"/>
      <c r="P2" s="1234"/>
      <c r="Q2" s="1234"/>
      <c r="R2" s="1234"/>
      <c r="S2" s="1234"/>
      <c r="T2" s="1234"/>
      <c r="U2" s="1234"/>
      <c r="V2" s="1234"/>
      <c r="W2" s="1234"/>
      <c r="X2" s="1234"/>
      <c r="Y2" s="1234"/>
      <c r="AB2" s="1234" t="s">
        <v>150</v>
      </c>
      <c r="AC2" s="1234"/>
      <c r="AD2" s="1234"/>
      <c r="AE2" s="1234"/>
      <c r="AF2" s="1234"/>
      <c r="AG2" s="1234"/>
      <c r="AH2" s="1234"/>
      <c r="AI2" s="1234"/>
      <c r="AJ2" s="1234"/>
      <c r="AK2" s="1234"/>
      <c r="AL2" s="1234"/>
      <c r="AM2" s="1234"/>
      <c r="AN2" s="1234"/>
      <c r="AO2" s="1234"/>
      <c r="AP2" s="1234"/>
      <c r="AQ2" s="1234"/>
      <c r="AR2" s="1234"/>
      <c r="AS2" s="1234"/>
      <c r="AV2" s="1234" t="s">
        <v>151</v>
      </c>
      <c r="AW2" s="1234"/>
      <c r="AX2" s="1234"/>
      <c r="AY2" s="1234"/>
      <c r="AZ2" s="1234"/>
      <c r="BA2" s="1234"/>
      <c r="BB2" s="1234"/>
      <c r="BC2" s="1234"/>
      <c r="BD2" s="1234"/>
      <c r="BE2" s="1234"/>
      <c r="BF2" s="1234"/>
      <c r="BG2" s="1234"/>
      <c r="BH2" s="1234"/>
      <c r="BI2" s="1234"/>
      <c r="BJ2" s="1234"/>
      <c r="BK2" s="1234"/>
      <c r="BL2" s="1234"/>
      <c r="BM2" s="1234"/>
      <c r="BV2" s="399" t="s">
        <v>605</v>
      </c>
      <c r="BZ2" s="401" t="s">
        <v>499</v>
      </c>
      <c r="CA2" s="401" t="s">
        <v>499</v>
      </c>
      <c r="CB2" s="401" t="s">
        <v>1295</v>
      </c>
      <c r="CC2" s="401" t="s">
        <v>1295</v>
      </c>
      <c r="CE2" s="401" t="s">
        <v>499</v>
      </c>
      <c r="CF2" s="401" t="s">
        <v>1295</v>
      </c>
      <c r="CH2" s="401" t="s">
        <v>499</v>
      </c>
      <c r="CI2" s="401" t="s">
        <v>1295</v>
      </c>
    </row>
    <row r="3" spans="1:89" ht="30" x14ac:dyDescent="0.25">
      <c r="B3" s="398" t="s">
        <v>152</v>
      </c>
      <c r="H3" s="402" t="s">
        <v>606</v>
      </c>
      <c r="I3" s="402" t="s">
        <v>154</v>
      </c>
      <c r="J3" s="402" t="s">
        <v>155</v>
      </c>
      <c r="K3" s="402" t="s">
        <v>156</v>
      </c>
      <c r="L3" s="402" t="s">
        <v>157</v>
      </c>
      <c r="M3" s="402" t="s">
        <v>158</v>
      </c>
      <c r="N3" s="402" t="s">
        <v>153</v>
      </c>
      <c r="O3" s="402" t="s">
        <v>154</v>
      </c>
      <c r="P3" s="402" t="s">
        <v>155</v>
      </c>
      <c r="Q3" s="402" t="s">
        <v>156</v>
      </c>
      <c r="R3" s="402" t="s">
        <v>157</v>
      </c>
      <c r="S3" s="402" t="s">
        <v>158</v>
      </c>
      <c r="T3" s="402" t="s">
        <v>153</v>
      </c>
      <c r="U3" s="402" t="s">
        <v>154</v>
      </c>
      <c r="V3" s="402" t="s">
        <v>155</v>
      </c>
      <c r="W3" s="402" t="s">
        <v>156</v>
      </c>
      <c r="X3" s="402" t="s">
        <v>157</v>
      </c>
      <c r="Y3" s="402" t="s">
        <v>158</v>
      </c>
      <c r="Z3" s="402" t="s">
        <v>147</v>
      </c>
      <c r="AB3" s="402" t="s">
        <v>607</v>
      </c>
      <c r="AC3" s="402" t="s">
        <v>154</v>
      </c>
      <c r="AD3" s="402" t="s">
        <v>155</v>
      </c>
      <c r="AE3" s="402" t="s">
        <v>156</v>
      </c>
      <c r="AF3" s="402" t="s">
        <v>157</v>
      </c>
      <c r="AG3" s="402" t="s">
        <v>158</v>
      </c>
      <c r="AH3" s="402" t="s">
        <v>153</v>
      </c>
      <c r="AI3" s="402" t="s">
        <v>154</v>
      </c>
      <c r="AJ3" s="402" t="s">
        <v>155</v>
      </c>
      <c r="AK3" s="402" t="s">
        <v>156</v>
      </c>
      <c r="AL3" s="402" t="s">
        <v>157</v>
      </c>
      <c r="AM3" s="402" t="s">
        <v>158</v>
      </c>
      <c r="AN3" s="402" t="s">
        <v>153</v>
      </c>
      <c r="AO3" s="402" t="s">
        <v>154</v>
      </c>
      <c r="AP3" s="402" t="s">
        <v>155</v>
      </c>
      <c r="AQ3" s="402" t="s">
        <v>156</v>
      </c>
      <c r="AR3" s="402" t="s">
        <v>157</v>
      </c>
      <c r="AS3" s="402" t="s">
        <v>158</v>
      </c>
      <c r="AT3" s="402" t="s">
        <v>147</v>
      </c>
      <c r="AV3" s="402" t="s">
        <v>607</v>
      </c>
      <c r="AW3" s="402" t="s">
        <v>154</v>
      </c>
      <c r="AX3" s="402" t="s">
        <v>155</v>
      </c>
      <c r="AY3" s="402" t="s">
        <v>156</v>
      </c>
      <c r="AZ3" s="402" t="s">
        <v>157</v>
      </c>
      <c r="BA3" s="402" t="s">
        <v>158</v>
      </c>
      <c r="BB3" s="402" t="s">
        <v>153</v>
      </c>
      <c r="BC3" s="402" t="s">
        <v>154</v>
      </c>
      <c r="BD3" s="402" t="s">
        <v>155</v>
      </c>
      <c r="BE3" s="402" t="s">
        <v>156</v>
      </c>
      <c r="BF3" s="402" t="s">
        <v>157</v>
      </c>
      <c r="BG3" s="402" t="s">
        <v>158</v>
      </c>
      <c r="BH3" s="402" t="s">
        <v>153</v>
      </c>
      <c r="BI3" s="402" t="s">
        <v>154</v>
      </c>
      <c r="BJ3" s="402" t="s">
        <v>155</v>
      </c>
      <c r="BK3" s="402" t="s">
        <v>156</v>
      </c>
      <c r="BL3" s="402" t="s">
        <v>157</v>
      </c>
      <c r="BM3" s="402" t="s">
        <v>158</v>
      </c>
      <c r="BN3" s="402" t="s">
        <v>147</v>
      </c>
      <c r="BP3" s="403" t="s">
        <v>159</v>
      </c>
      <c r="BQ3" s="403" t="s">
        <v>160</v>
      </c>
      <c r="BR3" s="403" t="s">
        <v>161</v>
      </c>
      <c r="BS3" s="403" t="s">
        <v>1406</v>
      </c>
      <c r="BT3" s="403" t="s">
        <v>162</v>
      </c>
      <c r="BU3" s="403" t="s">
        <v>163</v>
      </c>
      <c r="BV3" s="403" t="s">
        <v>164</v>
      </c>
      <c r="BW3" s="403" t="s">
        <v>165</v>
      </c>
      <c r="BZ3" s="401" t="s">
        <v>1294</v>
      </c>
      <c r="CA3" s="401" t="s">
        <v>876</v>
      </c>
      <c r="CB3" s="401" t="s">
        <v>1294</v>
      </c>
      <c r="CC3" s="401" t="s">
        <v>876</v>
      </c>
      <c r="CE3" s="401" t="s">
        <v>1294</v>
      </c>
      <c r="CF3" s="401" t="s">
        <v>1294</v>
      </c>
      <c r="CH3" s="401" t="s">
        <v>1294</v>
      </c>
      <c r="CI3" s="401" t="s">
        <v>1294</v>
      </c>
    </row>
    <row r="4" spans="1:89" ht="15" x14ac:dyDescent="0.25">
      <c r="A4" s="401" t="s">
        <v>651</v>
      </c>
      <c r="C4" s="404" t="s">
        <v>167</v>
      </c>
      <c r="D4" s="404" t="s">
        <v>168</v>
      </c>
      <c r="E4" s="404" t="s">
        <v>147</v>
      </c>
      <c r="H4" s="402"/>
      <c r="I4" s="402" t="s">
        <v>169</v>
      </c>
      <c r="J4" s="402" t="s">
        <v>169</v>
      </c>
      <c r="K4" s="402" t="s">
        <v>169</v>
      </c>
      <c r="L4" s="402" t="s">
        <v>169</v>
      </c>
      <c r="M4" s="402" t="s">
        <v>169</v>
      </c>
      <c r="N4" s="402" t="s">
        <v>170</v>
      </c>
      <c r="O4" s="402" t="s">
        <v>170</v>
      </c>
      <c r="P4" s="402" t="s">
        <v>170</v>
      </c>
      <c r="Q4" s="402" t="s">
        <v>170</v>
      </c>
      <c r="R4" s="402" t="s">
        <v>170</v>
      </c>
      <c r="S4" s="402" t="s">
        <v>170</v>
      </c>
      <c r="T4" s="402" t="s">
        <v>171</v>
      </c>
      <c r="U4" s="402" t="s">
        <v>171</v>
      </c>
      <c r="V4" s="402" t="s">
        <v>171</v>
      </c>
      <c r="W4" s="402" t="s">
        <v>171</v>
      </c>
      <c r="X4" s="402" t="s">
        <v>171</v>
      </c>
      <c r="Y4" s="402" t="s">
        <v>171</v>
      </c>
      <c r="AB4" s="402" t="s">
        <v>169</v>
      </c>
      <c r="AC4" s="402" t="s">
        <v>169</v>
      </c>
      <c r="AD4" s="402" t="s">
        <v>169</v>
      </c>
      <c r="AE4" s="402" t="s">
        <v>169</v>
      </c>
      <c r="AF4" s="402" t="s">
        <v>169</v>
      </c>
      <c r="AG4" s="402" t="s">
        <v>169</v>
      </c>
      <c r="AH4" s="402" t="s">
        <v>170</v>
      </c>
      <c r="AI4" s="402" t="s">
        <v>170</v>
      </c>
      <c r="AJ4" s="402" t="s">
        <v>170</v>
      </c>
      <c r="AK4" s="402" t="s">
        <v>170</v>
      </c>
      <c r="AL4" s="402" t="s">
        <v>170</v>
      </c>
      <c r="AM4" s="402" t="s">
        <v>170</v>
      </c>
      <c r="AN4" s="402" t="s">
        <v>171</v>
      </c>
      <c r="AO4" s="402" t="s">
        <v>171</v>
      </c>
      <c r="AP4" s="402" t="s">
        <v>171</v>
      </c>
      <c r="AQ4" s="402" t="s">
        <v>171</v>
      </c>
      <c r="AR4" s="402" t="s">
        <v>171</v>
      </c>
      <c r="AS4" s="402" t="s">
        <v>171</v>
      </c>
      <c r="AV4" s="402" t="s">
        <v>169</v>
      </c>
      <c r="AW4" s="402" t="s">
        <v>169</v>
      </c>
      <c r="AX4" s="402" t="s">
        <v>169</v>
      </c>
      <c r="AY4" s="402" t="s">
        <v>169</v>
      </c>
      <c r="AZ4" s="402" t="s">
        <v>169</v>
      </c>
      <c r="BA4" s="402" t="s">
        <v>169</v>
      </c>
      <c r="BB4" s="402" t="s">
        <v>170</v>
      </c>
      <c r="BC4" s="402" t="s">
        <v>170</v>
      </c>
      <c r="BD4" s="402" t="s">
        <v>170</v>
      </c>
      <c r="BE4" s="402" t="s">
        <v>170</v>
      </c>
      <c r="BF4" s="402" t="s">
        <v>170</v>
      </c>
      <c r="BG4" s="402" t="s">
        <v>170</v>
      </c>
      <c r="BH4" s="402" t="s">
        <v>171</v>
      </c>
      <c r="BI4" s="402" t="s">
        <v>171</v>
      </c>
      <c r="BJ4" s="402" t="s">
        <v>171</v>
      </c>
      <c r="BK4" s="402" t="s">
        <v>171</v>
      </c>
      <c r="BL4" s="402" t="s">
        <v>171</v>
      </c>
      <c r="BM4" s="402" t="s">
        <v>171</v>
      </c>
    </row>
    <row r="5" spans="1:89" ht="15" x14ac:dyDescent="0.25">
      <c r="C5" s="404"/>
      <c r="D5" s="404"/>
      <c r="E5" s="404"/>
    </row>
    <row r="6" spans="1:89" ht="15" x14ac:dyDescent="0.25">
      <c r="A6" s="401">
        <v>7026</v>
      </c>
      <c r="B6" s="401" t="s">
        <v>1438</v>
      </c>
      <c r="C6" s="401">
        <v>64</v>
      </c>
      <c r="D6" s="401">
        <v>3</v>
      </c>
      <c r="E6" s="401">
        <v>67</v>
      </c>
      <c r="H6" s="406"/>
      <c r="K6" s="401">
        <v>3</v>
      </c>
      <c r="L6" s="401">
        <v>18</v>
      </c>
      <c r="M6" s="401">
        <v>1</v>
      </c>
      <c r="Q6" s="401">
        <v>1</v>
      </c>
      <c r="R6" s="401">
        <v>19</v>
      </c>
      <c r="S6" s="401">
        <v>1</v>
      </c>
      <c r="W6" s="401">
        <v>4</v>
      </c>
      <c r="X6" s="401">
        <v>16</v>
      </c>
      <c r="Y6" s="401">
        <v>1</v>
      </c>
      <c r="Z6" s="401">
        <f t="shared" ref="Z6:Z13" si="0">SUM(H6:Y6)</f>
        <v>64</v>
      </c>
      <c r="AQ6" s="401">
        <v>1</v>
      </c>
      <c r="AR6" s="401">
        <v>2</v>
      </c>
      <c r="AT6" s="401">
        <f t="shared" ref="AT6:AT13" si="1">SUM(AB6:AS6)</f>
        <v>3</v>
      </c>
      <c r="AV6" s="401">
        <v>0</v>
      </c>
      <c r="AW6" s="401">
        <v>0</v>
      </c>
      <c r="AX6" s="401">
        <v>0</v>
      </c>
      <c r="AY6" s="401">
        <v>3</v>
      </c>
      <c r="AZ6" s="401">
        <v>18</v>
      </c>
      <c r="BA6" s="401">
        <v>1</v>
      </c>
      <c r="BB6" s="401">
        <v>0</v>
      </c>
      <c r="BC6" s="401">
        <v>0</v>
      </c>
      <c r="BD6" s="401">
        <v>0</v>
      </c>
      <c r="BE6" s="401">
        <v>1</v>
      </c>
      <c r="BF6" s="401">
        <v>19</v>
      </c>
      <c r="BG6" s="401">
        <v>1</v>
      </c>
      <c r="BH6" s="401">
        <v>0</v>
      </c>
      <c r="BI6" s="401">
        <v>0</v>
      </c>
      <c r="BJ6" s="401">
        <v>0</v>
      </c>
      <c r="BK6" s="401">
        <v>5</v>
      </c>
      <c r="BL6" s="401">
        <v>18</v>
      </c>
      <c r="BM6" s="401">
        <v>1</v>
      </c>
      <c r="BN6" s="401">
        <v>67</v>
      </c>
      <c r="BP6" s="399">
        <v>670000</v>
      </c>
      <c r="BQ6" s="399">
        <v>1051648</v>
      </c>
      <c r="BR6" s="399">
        <v>0</v>
      </c>
      <c r="BS6" s="399">
        <v>25765</v>
      </c>
      <c r="BT6" s="399">
        <v>0</v>
      </c>
      <c r="BU6" s="399">
        <v>1747413</v>
      </c>
      <c r="BV6" s="399">
        <v>42086</v>
      </c>
      <c r="BW6" s="399">
        <v>1789499</v>
      </c>
      <c r="BZ6" s="401">
        <v>67</v>
      </c>
      <c r="CB6" s="399">
        <f>BQ6</f>
        <v>1051648</v>
      </c>
    </row>
    <row r="7" spans="1:89" ht="15" x14ac:dyDescent="0.25">
      <c r="A7" s="401">
        <v>7027</v>
      </c>
      <c r="B7" s="401" t="s">
        <v>1439</v>
      </c>
      <c r="C7" s="401">
        <v>55</v>
      </c>
      <c r="D7" s="401">
        <v>6</v>
      </c>
      <c r="E7" s="401">
        <v>61</v>
      </c>
      <c r="V7" s="401">
        <v>9</v>
      </c>
      <c r="W7" s="401">
        <v>28</v>
      </c>
      <c r="X7" s="401">
        <v>18</v>
      </c>
      <c r="Z7" s="401">
        <f t="shared" si="0"/>
        <v>55</v>
      </c>
      <c r="AQ7" s="401">
        <v>2</v>
      </c>
      <c r="AR7" s="401">
        <v>4</v>
      </c>
      <c r="AT7" s="401">
        <f t="shared" si="1"/>
        <v>6</v>
      </c>
      <c r="AV7" s="401">
        <v>0</v>
      </c>
      <c r="AW7" s="401">
        <v>0</v>
      </c>
      <c r="AX7" s="401">
        <v>0</v>
      </c>
      <c r="AY7" s="401">
        <v>0</v>
      </c>
      <c r="AZ7" s="401">
        <v>0</v>
      </c>
      <c r="BA7" s="401">
        <v>0</v>
      </c>
      <c r="BB7" s="401">
        <v>0</v>
      </c>
      <c r="BC7" s="401">
        <v>0</v>
      </c>
      <c r="BD7" s="401">
        <v>0</v>
      </c>
      <c r="BE7" s="401">
        <v>0</v>
      </c>
      <c r="BF7" s="401">
        <v>0</v>
      </c>
      <c r="BG7" s="401">
        <v>0</v>
      </c>
      <c r="BH7" s="401">
        <v>0</v>
      </c>
      <c r="BI7" s="401">
        <v>0</v>
      </c>
      <c r="BJ7" s="401">
        <v>9</v>
      </c>
      <c r="BK7" s="401">
        <v>30</v>
      </c>
      <c r="BL7" s="401">
        <v>22</v>
      </c>
      <c r="BM7" s="401">
        <v>0</v>
      </c>
      <c r="BN7" s="401">
        <v>61</v>
      </c>
      <c r="BP7" s="399">
        <v>610000</v>
      </c>
      <c r="BQ7" s="399">
        <v>534958</v>
      </c>
      <c r="BR7" s="399">
        <v>376295</v>
      </c>
      <c r="BT7" s="399">
        <v>0</v>
      </c>
      <c r="BU7" s="399">
        <v>1521253</v>
      </c>
      <c r="BV7" s="399">
        <v>67104</v>
      </c>
      <c r="BW7" s="399">
        <v>1588357</v>
      </c>
      <c r="BZ7" s="401">
        <v>61</v>
      </c>
      <c r="CB7" s="399">
        <f t="shared" ref="CB7:CB13" si="2">BQ7</f>
        <v>534958</v>
      </c>
    </row>
    <row r="8" spans="1:89" ht="15" x14ac:dyDescent="0.25">
      <c r="A8" s="401">
        <v>7025</v>
      </c>
      <c r="B8" s="401" t="s">
        <v>1440</v>
      </c>
      <c r="C8" s="401">
        <v>102</v>
      </c>
      <c r="D8" s="401">
        <v>4</v>
      </c>
      <c r="E8" s="401">
        <v>106</v>
      </c>
      <c r="U8" s="401">
        <v>4</v>
      </c>
      <c r="V8" s="401">
        <v>47</v>
      </c>
      <c r="W8" s="401">
        <v>44</v>
      </c>
      <c r="X8" s="401">
        <v>6</v>
      </c>
      <c r="Y8" s="401">
        <v>1</v>
      </c>
      <c r="Z8" s="401">
        <f t="shared" si="0"/>
        <v>102</v>
      </c>
      <c r="AP8" s="401">
        <v>2</v>
      </c>
      <c r="AQ8" s="401">
        <v>2</v>
      </c>
      <c r="AT8" s="401">
        <f t="shared" si="1"/>
        <v>4</v>
      </c>
      <c r="AV8" s="401">
        <v>0</v>
      </c>
      <c r="AW8" s="401">
        <v>0</v>
      </c>
      <c r="AX8" s="401">
        <v>0</v>
      </c>
      <c r="AY8" s="401">
        <v>0</v>
      </c>
      <c r="AZ8" s="401">
        <v>0</v>
      </c>
      <c r="BA8" s="401">
        <v>0</v>
      </c>
      <c r="BB8" s="401">
        <v>0</v>
      </c>
      <c r="BC8" s="401">
        <v>0</v>
      </c>
      <c r="BD8" s="401">
        <v>0</v>
      </c>
      <c r="BE8" s="401">
        <v>0</v>
      </c>
      <c r="BF8" s="401">
        <v>0</v>
      </c>
      <c r="BG8" s="401">
        <v>0</v>
      </c>
      <c r="BH8" s="401">
        <v>0</v>
      </c>
      <c r="BI8" s="401">
        <v>4</v>
      </c>
      <c r="BJ8" s="401">
        <v>49</v>
      </c>
      <c r="BK8" s="401">
        <v>46</v>
      </c>
      <c r="BL8" s="401">
        <v>6</v>
      </c>
      <c r="BM8" s="401">
        <v>1</v>
      </c>
      <c r="BN8" s="401">
        <v>106</v>
      </c>
      <c r="BP8" s="399">
        <v>1060000</v>
      </c>
      <c r="BQ8" s="399">
        <v>541887</v>
      </c>
      <c r="BR8" s="399">
        <v>0</v>
      </c>
      <c r="BS8" s="399">
        <v>19600</v>
      </c>
      <c r="BT8" s="399">
        <v>0</v>
      </c>
      <c r="BU8" s="399">
        <v>1621487</v>
      </c>
      <c r="BV8" s="399">
        <v>20150</v>
      </c>
      <c r="BW8" s="399">
        <v>1641637</v>
      </c>
      <c r="BZ8" s="401">
        <v>106</v>
      </c>
      <c r="CB8" s="399">
        <f t="shared" si="2"/>
        <v>541887</v>
      </c>
    </row>
    <row r="9" spans="1:89" ht="15" x14ac:dyDescent="0.25">
      <c r="A9" s="401">
        <v>7024</v>
      </c>
      <c r="B9" s="401" t="s">
        <v>1441</v>
      </c>
      <c r="C9" s="401">
        <v>109</v>
      </c>
      <c r="D9" s="401">
        <v>1</v>
      </c>
      <c r="E9" s="401">
        <v>110</v>
      </c>
      <c r="H9" s="405"/>
      <c r="J9" s="401">
        <v>1</v>
      </c>
      <c r="K9" s="401">
        <v>10</v>
      </c>
      <c r="L9" s="401">
        <v>17</v>
      </c>
      <c r="P9" s="401">
        <v>8</v>
      </c>
      <c r="Q9" s="401">
        <v>35</v>
      </c>
      <c r="R9" s="401">
        <v>37</v>
      </c>
      <c r="S9" s="401">
        <v>1</v>
      </c>
      <c r="Z9" s="401">
        <f t="shared" si="0"/>
        <v>109</v>
      </c>
      <c r="AF9" s="401">
        <v>1</v>
      </c>
      <c r="AT9" s="401">
        <f t="shared" si="1"/>
        <v>1</v>
      </c>
      <c r="AV9" s="401">
        <v>0</v>
      </c>
      <c r="AW9" s="401">
        <v>0</v>
      </c>
      <c r="AX9" s="401">
        <v>1</v>
      </c>
      <c r="AY9" s="401">
        <v>10</v>
      </c>
      <c r="AZ9" s="401">
        <v>18</v>
      </c>
      <c r="BA9" s="401">
        <v>0</v>
      </c>
      <c r="BB9" s="401">
        <v>0</v>
      </c>
      <c r="BC9" s="401">
        <v>0</v>
      </c>
      <c r="BD9" s="401">
        <v>8</v>
      </c>
      <c r="BE9" s="401">
        <v>35</v>
      </c>
      <c r="BF9" s="401">
        <v>37</v>
      </c>
      <c r="BG9" s="401">
        <v>1</v>
      </c>
      <c r="BH9" s="401">
        <v>0</v>
      </c>
      <c r="BI9" s="401">
        <v>0</v>
      </c>
      <c r="BJ9" s="401">
        <v>0</v>
      </c>
      <c r="BK9" s="401">
        <v>0</v>
      </c>
      <c r="BL9" s="401">
        <v>0</v>
      </c>
      <c r="BM9" s="401">
        <v>0</v>
      </c>
      <c r="BN9" s="401">
        <v>110</v>
      </c>
      <c r="BP9" s="399">
        <v>1100000</v>
      </c>
      <c r="BQ9" s="399">
        <v>1069417</v>
      </c>
      <c r="BR9" s="399">
        <v>0</v>
      </c>
      <c r="BT9" s="399">
        <v>0</v>
      </c>
      <c r="BU9" s="399">
        <v>2169417</v>
      </c>
      <c r="BV9" s="399">
        <v>12086</v>
      </c>
      <c r="BW9" s="399">
        <v>2181503</v>
      </c>
      <c r="BZ9" s="401">
        <v>110</v>
      </c>
      <c r="CB9" s="399">
        <f t="shared" si="2"/>
        <v>1069417</v>
      </c>
    </row>
    <row r="10" spans="1:89" ht="15" x14ac:dyDescent="0.25">
      <c r="A10" s="401">
        <v>7021</v>
      </c>
      <c r="B10" s="401" t="s">
        <v>1442</v>
      </c>
      <c r="C10" s="401">
        <v>104</v>
      </c>
      <c r="D10" s="401">
        <v>7</v>
      </c>
      <c r="E10" s="401">
        <v>111</v>
      </c>
      <c r="U10" s="401">
        <v>2</v>
      </c>
      <c r="V10" s="401">
        <v>24</v>
      </c>
      <c r="W10" s="401">
        <v>57</v>
      </c>
      <c r="X10" s="401">
        <v>19</v>
      </c>
      <c r="Y10" s="401">
        <v>2</v>
      </c>
      <c r="Z10" s="401">
        <f t="shared" si="0"/>
        <v>104</v>
      </c>
      <c r="AP10" s="401">
        <v>1</v>
      </c>
      <c r="AQ10" s="401">
        <v>5</v>
      </c>
      <c r="AR10" s="401">
        <v>1</v>
      </c>
      <c r="AT10" s="401">
        <f t="shared" si="1"/>
        <v>7</v>
      </c>
      <c r="AV10" s="401">
        <v>0</v>
      </c>
      <c r="AW10" s="401">
        <v>0</v>
      </c>
      <c r="AX10" s="401">
        <v>0</v>
      </c>
      <c r="AY10" s="401">
        <v>0</v>
      </c>
      <c r="AZ10" s="401">
        <v>0</v>
      </c>
      <c r="BA10" s="401">
        <v>0</v>
      </c>
      <c r="BB10" s="401">
        <v>0</v>
      </c>
      <c r="BC10" s="401">
        <v>0</v>
      </c>
      <c r="BD10" s="401">
        <v>0</v>
      </c>
      <c r="BE10" s="401">
        <v>0</v>
      </c>
      <c r="BF10" s="401">
        <v>0</v>
      </c>
      <c r="BG10" s="401">
        <v>0</v>
      </c>
      <c r="BH10" s="401">
        <v>0</v>
      </c>
      <c r="BI10" s="401">
        <v>2</v>
      </c>
      <c r="BJ10" s="401">
        <v>25</v>
      </c>
      <c r="BK10" s="401">
        <v>62</v>
      </c>
      <c r="BL10" s="401">
        <v>20</v>
      </c>
      <c r="BM10" s="401">
        <v>2</v>
      </c>
      <c r="BN10" s="401">
        <v>111</v>
      </c>
      <c r="BP10" s="399">
        <v>1110000</v>
      </c>
      <c r="BQ10" s="399">
        <v>854614</v>
      </c>
      <c r="BR10" s="399">
        <v>0</v>
      </c>
      <c r="BT10" s="399">
        <v>86224.39</v>
      </c>
      <c r="BU10" s="399">
        <v>2050838.39</v>
      </c>
      <c r="BV10" s="399">
        <v>54068</v>
      </c>
      <c r="BW10" s="399">
        <v>2104906.3899999997</v>
      </c>
      <c r="BZ10" s="401">
        <v>111</v>
      </c>
      <c r="CB10" s="399">
        <f t="shared" si="2"/>
        <v>854614</v>
      </c>
    </row>
    <row r="11" spans="1:89" ht="15" x14ac:dyDescent="0.25">
      <c r="A11" s="401">
        <v>7029</v>
      </c>
      <c r="B11" s="401" t="s">
        <v>148</v>
      </c>
      <c r="C11" s="401">
        <v>80</v>
      </c>
      <c r="D11" s="401">
        <v>0</v>
      </c>
      <c r="E11" s="401">
        <v>80</v>
      </c>
      <c r="W11" s="401">
        <v>30</v>
      </c>
      <c r="X11" s="401">
        <v>50</v>
      </c>
      <c r="Z11" s="401">
        <f t="shared" si="0"/>
        <v>80</v>
      </c>
      <c r="AT11" s="401">
        <f t="shared" si="1"/>
        <v>0</v>
      </c>
      <c r="AV11" s="401">
        <v>0</v>
      </c>
      <c r="AW11" s="401">
        <v>0</v>
      </c>
      <c r="AX11" s="401">
        <v>0</v>
      </c>
      <c r="AY11" s="401">
        <v>0</v>
      </c>
      <c r="AZ11" s="401">
        <v>0</v>
      </c>
      <c r="BA11" s="401">
        <v>0</v>
      </c>
      <c r="BB11" s="401">
        <v>0</v>
      </c>
      <c r="BC11" s="401">
        <v>0</v>
      </c>
      <c r="BD11" s="401">
        <v>0</v>
      </c>
      <c r="BE11" s="401">
        <v>0</v>
      </c>
      <c r="BF11" s="401">
        <v>0</v>
      </c>
      <c r="BG11" s="401">
        <v>0</v>
      </c>
      <c r="BH11" s="401">
        <v>0</v>
      </c>
      <c r="BI11" s="401">
        <v>0</v>
      </c>
      <c r="BJ11" s="401">
        <v>0</v>
      </c>
      <c r="BK11" s="401">
        <v>30</v>
      </c>
      <c r="BL11" s="401">
        <v>50</v>
      </c>
      <c r="BM11" s="401">
        <v>0</v>
      </c>
      <c r="BN11" s="401">
        <v>80</v>
      </c>
      <c r="BP11" s="399">
        <v>800000</v>
      </c>
      <c r="BQ11" s="399">
        <v>1418796.9636897566</v>
      </c>
      <c r="BR11" s="399">
        <v>0</v>
      </c>
      <c r="BT11" s="399">
        <v>0</v>
      </c>
      <c r="BU11" s="399">
        <v>2218796.9636897566</v>
      </c>
      <c r="BV11" s="399">
        <v>0</v>
      </c>
      <c r="BW11" s="399">
        <v>2218796.9636897566</v>
      </c>
      <c r="BZ11" s="399">
        <f t="shared" ref="BZ11" si="3">E11</f>
        <v>80</v>
      </c>
      <c r="CB11" s="399">
        <f t="shared" si="2"/>
        <v>1418796.9636897566</v>
      </c>
    </row>
    <row r="12" spans="1:89" ht="15" x14ac:dyDescent="0.25">
      <c r="A12" s="401">
        <v>1104</v>
      </c>
      <c r="B12" s="401" t="s">
        <v>516</v>
      </c>
      <c r="C12" s="401">
        <v>36</v>
      </c>
      <c r="D12" s="401">
        <v>0</v>
      </c>
      <c r="E12" s="401">
        <v>36</v>
      </c>
      <c r="J12" s="401">
        <v>18</v>
      </c>
      <c r="P12" s="401">
        <v>18</v>
      </c>
      <c r="Z12" s="401">
        <f t="shared" si="0"/>
        <v>36</v>
      </c>
      <c r="AT12" s="401">
        <f t="shared" si="1"/>
        <v>0</v>
      </c>
      <c r="AV12" s="401">
        <v>0</v>
      </c>
      <c r="AW12" s="401">
        <v>0</v>
      </c>
      <c r="AX12" s="401">
        <v>18</v>
      </c>
      <c r="AY12" s="401">
        <v>0</v>
      </c>
      <c r="AZ12" s="401">
        <v>0</v>
      </c>
      <c r="BA12" s="401">
        <v>0</v>
      </c>
      <c r="BB12" s="401">
        <v>0</v>
      </c>
      <c r="BC12" s="401">
        <v>0</v>
      </c>
      <c r="BD12" s="401">
        <v>18</v>
      </c>
      <c r="BE12" s="401">
        <v>0</v>
      </c>
      <c r="BF12" s="401">
        <v>0</v>
      </c>
      <c r="BG12" s="401">
        <v>0</v>
      </c>
      <c r="BH12" s="401">
        <v>0</v>
      </c>
      <c r="BI12" s="401">
        <v>0</v>
      </c>
      <c r="BJ12" s="401">
        <v>0</v>
      </c>
      <c r="BK12" s="401">
        <v>0</v>
      </c>
      <c r="BL12" s="401">
        <v>0</v>
      </c>
      <c r="BM12" s="401">
        <v>0</v>
      </c>
      <c r="BN12" s="401">
        <v>36</v>
      </c>
      <c r="BP12" s="1164">
        <v>360000</v>
      </c>
      <c r="BQ12" s="399">
        <v>480999.84</v>
      </c>
      <c r="BR12" s="399">
        <v>0</v>
      </c>
      <c r="BT12" s="399">
        <v>0</v>
      </c>
      <c r="BU12" s="399">
        <v>840999.84000000008</v>
      </c>
      <c r="BV12" s="399">
        <v>0</v>
      </c>
      <c r="BW12" s="399">
        <v>840999.84000000008</v>
      </c>
      <c r="BZ12" s="399"/>
      <c r="CB12" s="399">
        <f t="shared" si="2"/>
        <v>480999.84</v>
      </c>
      <c r="CE12" s="399">
        <f>+E12</f>
        <v>36</v>
      </c>
      <c r="CF12" s="399">
        <f>+BU12</f>
        <v>840999.84000000008</v>
      </c>
      <c r="CH12" s="1051"/>
      <c r="CI12" s="1052"/>
    </row>
    <row r="13" spans="1:89" ht="15" x14ac:dyDescent="0.25">
      <c r="A13" s="401">
        <v>1103</v>
      </c>
      <c r="B13" s="401" t="s">
        <v>515</v>
      </c>
      <c r="C13" s="401">
        <v>60</v>
      </c>
      <c r="D13" s="401">
        <v>0</v>
      </c>
      <c r="E13" s="401">
        <v>60</v>
      </c>
      <c r="V13" s="401">
        <v>60</v>
      </c>
      <c r="Z13" s="401">
        <f t="shared" si="0"/>
        <v>60</v>
      </c>
      <c r="AT13" s="401">
        <f t="shared" si="1"/>
        <v>0</v>
      </c>
      <c r="AV13" s="401">
        <v>0</v>
      </c>
      <c r="AW13" s="401">
        <v>0</v>
      </c>
      <c r="AX13" s="401">
        <v>0</v>
      </c>
      <c r="AY13" s="401">
        <v>0</v>
      </c>
      <c r="AZ13" s="401">
        <v>0</v>
      </c>
      <c r="BA13" s="401">
        <v>0</v>
      </c>
      <c r="BB13" s="401">
        <v>0</v>
      </c>
      <c r="BC13" s="401">
        <v>0</v>
      </c>
      <c r="BD13" s="401">
        <v>0</v>
      </c>
      <c r="BE13" s="401">
        <v>0</v>
      </c>
      <c r="BF13" s="401">
        <v>0</v>
      </c>
      <c r="BG13" s="401">
        <v>0</v>
      </c>
      <c r="BH13" s="401">
        <v>0</v>
      </c>
      <c r="BI13" s="401">
        <v>0</v>
      </c>
      <c r="BJ13" s="401">
        <v>60</v>
      </c>
      <c r="BK13" s="401">
        <v>0</v>
      </c>
      <c r="BL13" s="401">
        <v>0</v>
      </c>
      <c r="BM13" s="401">
        <v>0</v>
      </c>
      <c r="BN13" s="401">
        <v>60</v>
      </c>
      <c r="BP13" s="1164">
        <v>600000</v>
      </c>
      <c r="BQ13" s="399">
        <v>933365.2</v>
      </c>
      <c r="BR13" s="399">
        <v>0</v>
      </c>
      <c r="BT13" s="399">
        <v>0</v>
      </c>
      <c r="BU13" s="399">
        <v>1533365.2</v>
      </c>
      <c r="BV13" s="399">
        <v>0</v>
      </c>
      <c r="BW13" s="399">
        <v>1533365.2</v>
      </c>
      <c r="BZ13" s="399"/>
      <c r="CB13" s="399">
        <f t="shared" si="2"/>
        <v>933365.2</v>
      </c>
      <c r="CE13" s="399"/>
      <c r="CF13" s="399"/>
      <c r="CH13" s="399">
        <f>+E13</f>
        <v>60</v>
      </c>
      <c r="CI13" s="399">
        <f>+BU13</f>
        <v>1533365.2</v>
      </c>
    </row>
    <row r="14" spans="1:89" ht="15.75" thickBot="1" x14ac:dyDescent="0.3">
      <c r="A14" s="401" t="s">
        <v>117</v>
      </c>
      <c r="C14" s="407">
        <v>610</v>
      </c>
      <c r="D14" s="407">
        <v>21</v>
      </c>
      <c r="E14" s="407">
        <v>631</v>
      </c>
      <c r="H14" s="408">
        <f>SUM(H6:H13)</f>
        <v>0</v>
      </c>
      <c r="I14" s="408">
        <f t="shared" ref="I14:Z14" si="4">SUM(I6:I13)</f>
        <v>0</v>
      </c>
      <c r="J14" s="408">
        <f t="shared" si="4"/>
        <v>19</v>
      </c>
      <c r="K14" s="408">
        <f t="shared" si="4"/>
        <v>13</v>
      </c>
      <c r="L14" s="408">
        <f t="shared" si="4"/>
        <v>35</v>
      </c>
      <c r="M14" s="408">
        <f t="shared" si="4"/>
        <v>1</v>
      </c>
      <c r="N14" s="408">
        <f t="shared" si="4"/>
        <v>0</v>
      </c>
      <c r="O14" s="408">
        <f t="shared" si="4"/>
        <v>0</v>
      </c>
      <c r="P14" s="408">
        <f t="shared" si="4"/>
        <v>26</v>
      </c>
      <c r="Q14" s="408">
        <f t="shared" si="4"/>
        <v>36</v>
      </c>
      <c r="R14" s="408">
        <f t="shared" si="4"/>
        <v>56</v>
      </c>
      <c r="S14" s="408">
        <f t="shared" si="4"/>
        <v>2</v>
      </c>
      <c r="T14" s="408">
        <f t="shared" si="4"/>
        <v>0</v>
      </c>
      <c r="U14" s="408">
        <f t="shared" si="4"/>
        <v>6</v>
      </c>
      <c r="V14" s="408">
        <f t="shared" si="4"/>
        <v>140</v>
      </c>
      <c r="W14" s="408">
        <f t="shared" si="4"/>
        <v>163</v>
      </c>
      <c r="X14" s="408">
        <f t="shared" si="4"/>
        <v>109</v>
      </c>
      <c r="Y14" s="408">
        <f t="shared" si="4"/>
        <v>4</v>
      </c>
      <c r="Z14" s="408">
        <f t="shared" si="4"/>
        <v>610</v>
      </c>
      <c r="AB14" s="407">
        <f>SUM(AB6:AB13)</f>
        <v>0</v>
      </c>
      <c r="AC14" s="407">
        <f t="shared" ref="AC14:AT14" si="5">SUM(AC6:AC13)</f>
        <v>0</v>
      </c>
      <c r="AD14" s="407">
        <f t="shared" si="5"/>
        <v>0</v>
      </c>
      <c r="AE14" s="407">
        <f t="shared" si="5"/>
        <v>0</v>
      </c>
      <c r="AF14" s="407">
        <f t="shared" si="5"/>
        <v>1</v>
      </c>
      <c r="AG14" s="407">
        <f t="shared" si="5"/>
        <v>0</v>
      </c>
      <c r="AH14" s="407">
        <f t="shared" si="5"/>
        <v>0</v>
      </c>
      <c r="AI14" s="407">
        <f t="shared" si="5"/>
        <v>0</v>
      </c>
      <c r="AJ14" s="407">
        <f t="shared" si="5"/>
        <v>0</v>
      </c>
      <c r="AK14" s="407">
        <f t="shared" si="5"/>
        <v>0</v>
      </c>
      <c r="AL14" s="407">
        <f t="shared" si="5"/>
        <v>0</v>
      </c>
      <c r="AM14" s="407">
        <f t="shared" si="5"/>
        <v>0</v>
      </c>
      <c r="AN14" s="407">
        <f t="shared" si="5"/>
        <v>0</v>
      </c>
      <c r="AO14" s="407">
        <f t="shared" si="5"/>
        <v>0</v>
      </c>
      <c r="AP14" s="407">
        <f t="shared" si="5"/>
        <v>3</v>
      </c>
      <c r="AQ14" s="407">
        <f t="shared" si="5"/>
        <v>10</v>
      </c>
      <c r="AR14" s="407">
        <f t="shared" si="5"/>
        <v>7</v>
      </c>
      <c r="AS14" s="407">
        <f t="shared" si="5"/>
        <v>0</v>
      </c>
      <c r="AT14" s="407">
        <f t="shared" si="5"/>
        <v>21</v>
      </c>
      <c r="AV14" s="407">
        <v>0</v>
      </c>
      <c r="AW14" s="407">
        <v>0</v>
      </c>
      <c r="AX14" s="407">
        <v>19</v>
      </c>
      <c r="AY14" s="407">
        <v>13</v>
      </c>
      <c r="AZ14" s="407">
        <v>36</v>
      </c>
      <c r="BA14" s="407">
        <v>1</v>
      </c>
      <c r="BB14" s="407">
        <v>0</v>
      </c>
      <c r="BC14" s="407">
        <v>0</v>
      </c>
      <c r="BD14" s="407">
        <v>26</v>
      </c>
      <c r="BE14" s="407">
        <v>36</v>
      </c>
      <c r="BF14" s="407">
        <v>56</v>
      </c>
      <c r="BG14" s="407">
        <v>2</v>
      </c>
      <c r="BH14" s="407">
        <v>0</v>
      </c>
      <c r="BI14" s="407">
        <v>6</v>
      </c>
      <c r="BJ14" s="407">
        <v>143</v>
      </c>
      <c r="BK14" s="407">
        <v>173</v>
      </c>
      <c r="BL14" s="407">
        <v>116</v>
      </c>
      <c r="BM14" s="407">
        <v>4</v>
      </c>
      <c r="BN14" s="407">
        <v>631</v>
      </c>
      <c r="BP14" s="408">
        <v>6310000</v>
      </c>
      <c r="BQ14" s="408">
        <v>6885686.0036897566</v>
      </c>
      <c r="BR14" s="408">
        <v>376295</v>
      </c>
      <c r="BS14" s="408">
        <v>45365</v>
      </c>
      <c r="BT14" s="408">
        <v>86224.39</v>
      </c>
      <c r="BU14" s="408">
        <v>13703570.393689755</v>
      </c>
      <c r="BV14" s="408">
        <v>195494</v>
      </c>
      <c r="BW14" s="408">
        <v>13899064.393689755</v>
      </c>
      <c r="BZ14" s="408">
        <f>SUM(BZ6:BZ13)</f>
        <v>535</v>
      </c>
      <c r="CA14" s="408">
        <f t="shared" ref="CA14:CC14" si="6">SUM(CA6:CA13)</f>
        <v>0</v>
      </c>
      <c r="CB14" s="408">
        <f t="shared" si="6"/>
        <v>6885686.0036897566</v>
      </c>
      <c r="CC14" s="408">
        <f t="shared" si="6"/>
        <v>0</v>
      </c>
      <c r="CE14" s="408">
        <v>36</v>
      </c>
      <c r="CF14" s="408">
        <v>510999.84</v>
      </c>
      <c r="CH14" s="408">
        <v>60</v>
      </c>
      <c r="CI14" s="408">
        <v>1533365.2</v>
      </c>
      <c r="CK14" s="399">
        <f>+BZ14+CE14+CH14</f>
        <v>631</v>
      </c>
    </row>
    <row r="15" spans="1:89" ht="15" x14ac:dyDescent="0.25">
      <c r="BW15" s="399">
        <v>13899064</v>
      </c>
    </row>
    <row r="16" spans="1:89" ht="15" x14ac:dyDescent="0.25">
      <c r="BZ16" s="401" t="s">
        <v>499</v>
      </c>
      <c r="CA16" s="401" t="s">
        <v>499</v>
      </c>
      <c r="CB16" s="401" t="s">
        <v>1295</v>
      </c>
      <c r="CC16" s="401" t="s">
        <v>1295</v>
      </c>
    </row>
    <row r="17" spans="1:89" ht="30" x14ac:dyDescent="0.25">
      <c r="B17" s="398" t="s">
        <v>172</v>
      </c>
      <c r="H17" s="402" t="s">
        <v>607</v>
      </c>
      <c r="I17" s="402" t="s">
        <v>154</v>
      </c>
      <c r="J17" s="402" t="s">
        <v>155</v>
      </c>
      <c r="K17" s="402" t="s">
        <v>156</v>
      </c>
      <c r="L17" s="402" t="s">
        <v>157</v>
      </c>
      <c r="M17" s="402" t="s">
        <v>158</v>
      </c>
      <c r="N17" s="402" t="s">
        <v>153</v>
      </c>
      <c r="O17" s="402" t="s">
        <v>154</v>
      </c>
      <c r="P17" s="402" t="s">
        <v>155</v>
      </c>
      <c r="Q17" s="402" t="s">
        <v>156</v>
      </c>
      <c r="R17" s="402" t="s">
        <v>157</v>
      </c>
      <c r="S17" s="402" t="s">
        <v>158</v>
      </c>
      <c r="T17" s="402" t="s">
        <v>153</v>
      </c>
      <c r="U17" s="402" t="s">
        <v>154</v>
      </c>
      <c r="V17" s="402" t="s">
        <v>155</v>
      </c>
      <c r="W17" s="402" t="s">
        <v>156</v>
      </c>
      <c r="X17" s="402" t="s">
        <v>157</v>
      </c>
      <c r="Y17" s="402" t="s">
        <v>158</v>
      </c>
      <c r="Z17" s="402" t="s">
        <v>147</v>
      </c>
      <c r="AB17" s="402" t="s">
        <v>607</v>
      </c>
      <c r="AC17" s="402" t="s">
        <v>154</v>
      </c>
      <c r="AD17" s="402" t="s">
        <v>155</v>
      </c>
      <c r="AE17" s="402" t="s">
        <v>156</v>
      </c>
      <c r="AF17" s="402" t="s">
        <v>157</v>
      </c>
      <c r="AG17" s="402" t="s">
        <v>158</v>
      </c>
      <c r="AH17" s="402" t="s">
        <v>153</v>
      </c>
      <c r="AI17" s="402" t="s">
        <v>154</v>
      </c>
      <c r="AJ17" s="402" t="s">
        <v>155</v>
      </c>
      <c r="AK17" s="402" t="s">
        <v>156</v>
      </c>
      <c r="AL17" s="402" t="s">
        <v>157</v>
      </c>
      <c r="AM17" s="402" t="s">
        <v>158</v>
      </c>
      <c r="AN17" s="402" t="s">
        <v>153</v>
      </c>
      <c r="AO17" s="402" t="s">
        <v>154</v>
      </c>
      <c r="AP17" s="402" t="s">
        <v>155</v>
      </c>
      <c r="AQ17" s="402" t="s">
        <v>156</v>
      </c>
      <c r="AR17" s="402" t="s">
        <v>157</v>
      </c>
      <c r="AS17" s="402" t="s">
        <v>158</v>
      </c>
      <c r="AT17" s="402" t="s">
        <v>147</v>
      </c>
      <c r="AV17" s="402" t="s">
        <v>607</v>
      </c>
      <c r="AW17" s="402" t="s">
        <v>154</v>
      </c>
      <c r="AX17" s="402" t="s">
        <v>155</v>
      </c>
      <c r="AY17" s="402" t="s">
        <v>156</v>
      </c>
      <c r="AZ17" s="402" t="s">
        <v>157</v>
      </c>
      <c r="BA17" s="402" t="s">
        <v>158</v>
      </c>
      <c r="BB17" s="402" t="s">
        <v>153</v>
      </c>
      <c r="BC17" s="402" t="s">
        <v>154</v>
      </c>
      <c r="BD17" s="402" t="s">
        <v>155</v>
      </c>
      <c r="BE17" s="402" t="s">
        <v>156</v>
      </c>
      <c r="BF17" s="402" t="s">
        <v>157</v>
      </c>
      <c r="BG17" s="402" t="s">
        <v>158</v>
      </c>
      <c r="BH17" s="402" t="s">
        <v>153</v>
      </c>
      <c r="BI17" s="402" t="s">
        <v>154</v>
      </c>
      <c r="BJ17" s="402" t="s">
        <v>155</v>
      </c>
      <c r="BK17" s="402" t="s">
        <v>156</v>
      </c>
      <c r="BL17" s="402" t="s">
        <v>157</v>
      </c>
      <c r="BM17" s="402" t="s">
        <v>158</v>
      </c>
      <c r="BN17" s="402" t="s">
        <v>147</v>
      </c>
      <c r="BP17" s="403" t="s">
        <v>159</v>
      </c>
      <c r="BQ17" s="403" t="s">
        <v>160</v>
      </c>
      <c r="BR17" s="403" t="s">
        <v>161</v>
      </c>
      <c r="BS17" s="403"/>
      <c r="BT17" s="403" t="s">
        <v>162</v>
      </c>
      <c r="BU17" s="403" t="s">
        <v>163</v>
      </c>
      <c r="BV17" s="403" t="s">
        <v>164</v>
      </c>
      <c r="BW17" s="403" t="s">
        <v>165</v>
      </c>
      <c r="BZ17" s="401" t="s">
        <v>1294</v>
      </c>
      <c r="CA17" s="401" t="s">
        <v>876</v>
      </c>
      <c r="CB17" s="401" t="s">
        <v>1294</v>
      </c>
      <c r="CC17" s="401" t="s">
        <v>876</v>
      </c>
    </row>
    <row r="18" spans="1:89" ht="15" x14ac:dyDescent="0.25">
      <c r="C18" s="404" t="s">
        <v>173</v>
      </c>
      <c r="D18" s="404" t="s">
        <v>174</v>
      </c>
      <c r="E18" s="404" t="s">
        <v>147</v>
      </c>
      <c r="H18" s="402" t="s">
        <v>169</v>
      </c>
      <c r="I18" s="402" t="s">
        <v>169</v>
      </c>
      <c r="J18" s="402" t="s">
        <v>169</v>
      </c>
      <c r="K18" s="402" t="s">
        <v>169</v>
      </c>
      <c r="L18" s="402" t="s">
        <v>169</v>
      </c>
      <c r="M18" s="402" t="s">
        <v>169</v>
      </c>
      <c r="N18" s="402" t="s">
        <v>170</v>
      </c>
      <c r="O18" s="402" t="s">
        <v>170</v>
      </c>
      <c r="P18" s="402" t="s">
        <v>170</v>
      </c>
      <c r="Q18" s="402" t="s">
        <v>170</v>
      </c>
      <c r="R18" s="402" t="s">
        <v>170</v>
      </c>
      <c r="S18" s="402" t="s">
        <v>170</v>
      </c>
      <c r="T18" s="402" t="s">
        <v>171</v>
      </c>
      <c r="U18" s="402" t="s">
        <v>171</v>
      </c>
      <c r="V18" s="402" t="s">
        <v>171</v>
      </c>
      <c r="W18" s="402" t="s">
        <v>171</v>
      </c>
      <c r="X18" s="402" t="s">
        <v>171</v>
      </c>
      <c r="Y18" s="402" t="s">
        <v>171</v>
      </c>
      <c r="AB18" s="402" t="s">
        <v>169</v>
      </c>
      <c r="AC18" s="402" t="s">
        <v>169</v>
      </c>
      <c r="AD18" s="402" t="s">
        <v>169</v>
      </c>
      <c r="AE18" s="402" t="s">
        <v>169</v>
      </c>
      <c r="AF18" s="402" t="s">
        <v>169</v>
      </c>
      <c r="AG18" s="402" t="s">
        <v>169</v>
      </c>
      <c r="AH18" s="402" t="s">
        <v>170</v>
      </c>
      <c r="AI18" s="402" t="s">
        <v>170</v>
      </c>
      <c r="AJ18" s="402" t="s">
        <v>170</v>
      </c>
      <c r="AK18" s="402" t="s">
        <v>170</v>
      </c>
      <c r="AL18" s="402" t="s">
        <v>170</v>
      </c>
      <c r="AM18" s="402" t="s">
        <v>170</v>
      </c>
      <c r="AN18" s="402" t="s">
        <v>171</v>
      </c>
      <c r="AO18" s="402" t="s">
        <v>171</v>
      </c>
      <c r="AP18" s="402" t="s">
        <v>171</v>
      </c>
      <c r="AQ18" s="402" t="s">
        <v>171</v>
      </c>
      <c r="AR18" s="402" t="s">
        <v>171</v>
      </c>
      <c r="AS18" s="402" t="s">
        <v>171</v>
      </c>
      <c r="AV18" s="402" t="s">
        <v>169</v>
      </c>
      <c r="AW18" s="402" t="s">
        <v>169</v>
      </c>
      <c r="AX18" s="402" t="s">
        <v>169</v>
      </c>
      <c r="AY18" s="402" t="s">
        <v>169</v>
      </c>
      <c r="AZ18" s="402" t="s">
        <v>169</v>
      </c>
      <c r="BA18" s="402" t="s">
        <v>169</v>
      </c>
      <c r="BB18" s="402" t="s">
        <v>170</v>
      </c>
      <c r="BC18" s="402" t="s">
        <v>170</v>
      </c>
      <c r="BD18" s="402" t="s">
        <v>170</v>
      </c>
      <c r="BE18" s="402" t="s">
        <v>170</v>
      </c>
      <c r="BF18" s="402" t="s">
        <v>170</v>
      </c>
      <c r="BG18" s="402" t="s">
        <v>170</v>
      </c>
      <c r="BH18" s="402" t="s">
        <v>171</v>
      </c>
      <c r="BI18" s="402" t="s">
        <v>171</v>
      </c>
      <c r="BJ18" s="402" t="s">
        <v>171</v>
      </c>
      <c r="BK18" s="402" t="s">
        <v>171</v>
      </c>
      <c r="BL18" s="402" t="s">
        <v>171</v>
      </c>
      <c r="BM18" s="402" t="s">
        <v>171</v>
      </c>
    </row>
    <row r="19" spans="1:89" ht="15" x14ac:dyDescent="0.25">
      <c r="C19" s="404"/>
      <c r="D19" s="404"/>
      <c r="E19" s="404"/>
    </row>
    <row r="20" spans="1:89" ht="15" x14ac:dyDescent="0.25">
      <c r="A20" s="401">
        <v>7026</v>
      </c>
      <c r="B20" s="401" t="s">
        <v>1438</v>
      </c>
      <c r="C20" s="401">
        <v>15</v>
      </c>
      <c r="D20" s="401">
        <v>1</v>
      </c>
      <c r="E20" s="401">
        <v>16</v>
      </c>
      <c r="X20" s="401">
        <v>14</v>
      </c>
      <c r="Y20" s="401">
        <v>1</v>
      </c>
      <c r="Z20" s="401">
        <f>SUM(H20:Y20)</f>
        <v>15</v>
      </c>
      <c r="AR20" s="401">
        <v>1</v>
      </c>
      <c r="AT20" s="401">
        <f>SUM(AB20:AS20)</f>
        <v>1</v>
      </c>
      <c r="AV20" s="401">
        <v>0</v>
      </c>
      <c r="AW20" s="401">
        <v>0</v>
      </c>
      <c r="AX20" s="401">
        <v>0</v>
      </c>
      <c r="AY20" s="401">
        <v>0</v>
      </c>
      <c r="AZ20" s="401">
        <v>0</v>
      </c>
      <c r="BA20" s="401">
        <v>0</v>
      </c>
      <c r="BB20" s="401">
        <v>0</v>
      </c>
      <c r="BC20" s="401">
        <v>0</v>
      </c>
      <c r="BD20" s="401">
        <v>0</v>
      </c>
      <c r="BE20" s="401">
        <v>0</v>
      </c>
      <c r="BF20" s="401">
        <v>0</v>
      </c>
      <c r="BG20" s="401">
        <v>0</v>
      </c>
      <c r="BH20" s="401">
        <v>0</v>
      </c>
      <c r="BI20" s="401">
        <v>0</v>
      </c>
      <c r="BJ20" s="401">
        <v>0</v>
      </c>
      <c r="BK20" s="401">
        <v>0</v>
      </c>
      <c r="BL20" s="401">
        <v>15</v>
      </c>
      <c r="BM20" s="401">
        <v>1</v>
      </c>
      <c r="BN20" s="401">
        <v>16</v>
      </c>
      <c r="BP20" s="399">
        <v>160000</v>
      </c>
      <c r="BQ20" s="399">
        <v>281965</v>
      </c>
      <c r="BR20" s="399">
        <v>0</v>
      </c>
      <c r="BT20" s="399">
        <v>0</v>
      </c>
      <c r="BU20" s="399">
        <v>441965</v>
      </c>
      <c r="BV20" s="399">
        <v>17080</v>
      </c>
      <c r="BW20" s="399">
        <v>459045</v>
      </c>
      <c r="CA20" s="401">
        <v>16</v>
      </c>
      <c r="CC20" s="399">
        <f>BQ20</f>
        <v>281965</v>
      </c>
    </row>
    <row r="21" spans="1:89" ht="15" x14ac:dyDescent="0.25">
      <c r="A21" s="401">
        <v>7027</v>
      </c>
      <c r="B21" s="401" t="s">
        <v>1439</v>
      </c>
      <c r="C21" s="401">
        <v>34</v>
      </c>
      <c r="D21" s="401">
        <v>4</v>
      </c>
      <c r="E21" s="401">
        <v>38</v>
      </c>
      <c r="V21" s="401">
        <v>6</v>
      </c>
      <c r="W21" s="401">
        <v>12</v>
      </c>
      <c r="X21" s="401">
        <v>16</v>
      </c>
      <c r="Y21" s="401">
        <v>0</v>
      </c>
      <c r="Z21" s="401">
        <f>SUM(H21:Y21)</f>
        <v>34</v>
      </c>
      <c r="AQ21" s="401">
        <v>4</v>
      </c>
      <c r="AT21" s="401">
        <f>SUM(AB21:AS21)</f>
        <v>4</v>
      </c>
      <c r="AV21" s="401">
        <v>0</v>
      </c>
      <c r="AW21" s="401">
        <v>0</v>
      </c>
      <c r="AX21" s="401">
        <v>0</v>
      </c>
      <c r="AY21" s="401">
        <v>0</v>
      </c>
      <c r="AZ21" s="401">
        <v>0</v>
      </c>
      <c r="BA21" s="401">
        <v>0</v>
      </c>
      <c r="BB21" s="401">
        <v>0</v>
      </c>
      <c r="BC21" s="401">
        <v>0</v>
      </c>
      <c r="BD21" s="401">
        <v>0</v>
      </c>
      <c r="BE21" s="401">
        <v>0</v>
      </c>
      <c r="BF21" s="401">
        <v>0</v>
      </c>
      <c r="BG21" s="401">
        <v>0</v>
      </c>
      <c r="BH21" s="401">
        <v>0</v>
      </c>
      <c r="BI21" s="401">
        <v>0</v>
      </c>
      <c r="BJ21" s="401">
        <v>6</v>
      </c>
      <c r="BK21" s="401">
        <v>16</v>
      </c>
      <c r="BL21" s="401">
        <v>16</v>
      </c>
      <c r="BM21" s="401">
        <v>0</v>
      </c>
      <c r="BN21" s="401">
        <v>38</v>
      </c>
      <c r="BP21" s="399">
        <v>380000</v>
      </c>
      <c r="BQ21" s="399">
        <v>389392</v>
      </c>
      <c r="BR21" s="399">
        <v>0</v>
      </c>
      <c r="BT21" s="399">
        <v>0</v>
      </c>
      <c r="BU21" s="399">
        <v>769392</v>
      </c>
      <c r="BV21" s="399">
        <v>38776</v>
      </c>
      <c r="BW21" s="399">
        <v>808168</v>
      </c>
      <c r="CA21" s="401">
        <v>38</v>
      </c>
      <c r="CC21" s="399">
        <f t="shared" ref="CC21:CC22" si="7">BQ21</f>
        <v>389392</v>
      </c>
    </row>
    <row r="22" spans="1:89" ht="15" x14ac:dyDescent="0.25">
      <c r="A22" s="401">
        <v>7021</v>
      </c>
      <c r="B22" s="401" t="s">
        <v>1442</v>
      </c>
      <c r="C22" s="401">
        <v>30</v>
      </c>
      <c r="D22" s="401">
        <v>1</v>
      </c>
      <c r="E22" s="401">
        <v>31</v>
      </c>
      <c r="H22" s="398"/>
      <c r="I22" s="398"/>
      <c r="J22" s="398"/>
      <c r="K22" s="398"/>
      <c r="L22" s="398"/>
      <c r="M22" s="398"/>
      <c r="N22" s="398"/>
      <c r="O22" s="398"/>
      <c r="P22" s="398"/>
      <c r="Q22" s="398"/>
      <c r="R22" s="398"/>
      <c r="S22" s="398"/>
      <c r="T22" s="398"/>
      <c r="U22" s="398"/>
      <c r="V22" s="398">
        <v>12</v>
      </c>
      <c r="W22" s="398">
        <v>15</v>
      </c>
      <c r="X22" s="398">
        <v>3</v>
      </c>
      <c r="Y22" s="398"/>
      <c r="Z22" s="398">
        <f>SUM(H22:Y22)</f>
        <v>30</v>
      </c>
      <c r="AA22" s="398"/>
      <c r="AB22" s="398"/>
      <c r="AC22" s="398"/>
      <c r="AD22" s="398"/>
      <c r="AE22" s="398"/>
      <c r="AF22" s="398"/>
      <c r="AG22" s="398"/>
      <c r="AH22" s="398"/>
      <c r="AI22" s="398"/>
      <c r="AJ22" s="398"/>
      <c r="AK22" s="398"/>
      <c r="AL22" s="398"/>
      <c r="AM22" s="398"/>
      <c r="AN22" s="398"/>
      <c r="AO22" s="398"/>
      <c r="AP22" s="398">
        <v>1</v>
      </c>
      <c r="AQ22" s="398"/>
      <c r="AR22" s="398"/>
      <c r="AS22" s="398"/>
      <c r="AT22" s="398">
        <f>SUM(AB22:AS22)</f>
        <v>1</v>
      </c>
      <c r="AV22" s="401">
        <v>0</v>
      </c>
      <c r="AW22" s="401">
        <v>0</v>
      </c>
      <c r="AX22" s="401">
        <v>0</v>
      </c>
      <c r="AY22" s="401">
        <v>0</v>
      </c>
      <c r="AZ22" s="401">
        <v>0</v>
      </c>
      <c r="BA22" s="401">
        <v>0</v>
      </c>
      <c r="BB22" s="401">
        <v>0</v>
      </c>
      <c r="BC22" s="401">
        <v>0</v>
      </c>
      <c r="BD22" s="401">
        <v>0</v>
      </c>
      <c r="BE22" s="401">
        <v>0</v>
      </c>
      <c r="BF22" s="401">
        <v>0</v>
      </c>
      <c r="BG22" s="401">
        <v>0</v>
      </c>
      <c r="BH22" s="401">
        <v>0</v>
      </c>
      <c r="BI22" s="401">
        <v>0</v>
      </c>
      <c r="BJ22" s="401">
        <v>13</v>
      </c>
      <c r="BK22" s="401">
        <v>15</v>
      </c>
      <c r="BL22" s="401">
        <v>3</v>
      </c>
      <c r="BM22" s="401">
        <v>0</v>
      </c>
      <c r="BN22" s="401">
        <v>31</v>
      </c>
      <c r="BP22" s="399">
        <v>310000</v>
      </c>
      <c r="BQ22" s="399">
        <v>257946</v>
      </c>
      <c r="BR22" s="399">
        <v>0</v>
      </c>
      <c r="BT22" s="399">
        <v>0</v>
      </c>
      <c r="BU22" s="399">
        <v>567946</v>
      </c>
      <c r="BV22" s="399">
        <v>7922</v>
      </c>
      <c r="BW22" s="399">
        <v>575868</v>
      </c>
      <c r="CA22" s="401">
        <v>31</v>
      </c>
      <c r="CC22" s="399">
        <f t="shared" si="7"/>
        <v>257946</v>
      </c>
    </row>
    <row r="23" spans="1:89" ht="15.75" thickBot="1" x14ac:dyDescent="0.3">
      <c r="A23" s="401" t="s">
        <v>503</v>
      </c>
      <c r="C23" s="407">
        <v>79</v>
      </c>
      <c r="D23" s="407">
        <v>6</v>
      </c>
      <c r="E23" s="407">
        <v>85</v>
      </c>
      <c r="H23" s="407">
        <f t="shared" ref="H23:Z23" si="8">SUM(H20:H22)</f>
        <v>0</v>
      </c>
      <c r="I23" s="407">
        <f t="shared" si="8"/>
        <v>0</v>
      </c>
      <c r="J23" s="407">
        <f t="shared" si="8"/>
        <v>0</v>
      </c>
      <c r="K23" s="407">
        <f t="shared" si="8"/>
        <v>0</v>
      </c>
      <c r="L23" s="407">
        <f t="shared" si="8"/>
        <v>0</v>
      </c>
      <c r="M23" s="407">
        <f t="shared" si="8"/>
        <v>0</v>
      </c>
      <c r="N23" s="407">
        <f t="shared" si="8"/>
        <v>0</v>
      </c>
      <c r="O23" s="407">
        <f t="shared" si="8"/>
        <v>0</v>
      </c>
      <c r="P23" s="407">
        <f t="shared" si="8"/>
        <v>0</v>
      </c>
      <c r="Q23" s="407">
        <f t="shared" si="8"/>
        <v>0</v>
      </c>
      <c r="R23" s="407">
        <f t="shared" si="8"/>
        <v>0</v>
      </c>
      <c r="S23" s="407">
        <f t="shared" si="8"/>
        <v>0</v>
      </c>
      <c r="T23" s="407">
        <f t="shared" si="8"/>
        <v>0</v>
      </c>
      <c r="U23" s="407">
        <f t="shared" si="8"/>
        <v>0</v>
      </c>
      <c r="V23" s="407">
        <f t="shared" si="8"/>
        <v>18</v>
      </c>
      <c r="W23" s="407">
        <f t="shared" si="8"/>
        <v>27</v>
      </c>
      <c r="X23" s="407">
        <f t="shared" si="8"/>
        <v>33</v>
      </c>
      <c r="Y23" s="407">
        <f t="shared" si="8"/>
        <v>1</v>
      </c>
      <c r="Z23" s="407">
        <f t="shared" si="8"/>
        <v>79</v>
      </c>
      <c r="AB23" s="407">
        <f t="shared" ref="AB23:AT23" si="9">SUM(AB20:AB22)</f>
        <v>0</v>
      </c>
      <c r="AC23" s="407">
        <f t="shared" si="9"/>
        <v>0</v>
      </c>
      <c r="AD23" s="407">
        <f t="shared" si="9"/>
        <v>0</v>
      </c>
      <c r="AE23" s="407">
        <f t="shared" si="9"/>
        <v>0</v>
      </c>
      <c r="AF23" s="407">
        <f t="shared" si="9"/>
        <v>0</v>
      </c>
      <c r="AG23" s="407">
        <f t="shared" si="9"/>
        <v>0</v>
      </c>
      <c r="AH23" s="407">
        <f t="shared" si="9"/>
        <v>0</v>
      </c>
      <c r="AI23" s="407">
        <f t="shared" si="9"/>
        <v>0</v>
      </c>
      <c r="AJ23" s="407">
        <f t="shared" si="9"/>
        <v>0</v>
      </c>
      <c r="AK23" s="407">
        <f t="shared" si="9"/>
        <v>0</v>
      </c>
      <c r="AL23" s="407">
        <f t="shared" si="9"/>
        <v>0</v>
      </c>
      <c r="AM23" s="407">
        <f t="shared" si="9"/>
        <v>0</v>
      </c>
      <c r="AN23" s="407">
        <f t="shared" si="9"/>
        <v>0</v>
      </c>
      <c r="AO23" s="407">
        <f t="shared" si="9"/>
        <v>0</v>
      </c>
      <c r="AP23" s="407">
        <f t="shared" si="9"/>
        <v>1</v>
      </c>
      <c r="AQ23" s="407">
        <f t="shared" si="9"/>
        <v>4</v>
      </c>
      <c r="AR23" s="407">
        <f t="shared" si="9"/>
        <v>1</v>
      </c>
      <c r="AS23" s="407">
        <f t="shared" si="9"/>
        <v>0</v>
      </c>
      <c r="AT23" s="407">
        <f t="shared" si="9"/>
        <v>6</v>
      </c>
      <c r="AV23" s="407">
        <v>0</v>
      </c>
      <c r="AW23" s="407">
        <v>0</v>
      </c>
      <c r="AX23" s="407">
        <v>0</v>
      </c>
      <c r="AY23" s="407">
        <v>0</v>
      </c>
      <c r="AZ23" s="407">
        <v>0</v>
      </c>
      <c r="BA23" s="407">
        <v>0</v>
      </c>
      <c r="BB23" s="407">
        <v>0</v>
      </c>
      <c r="BC23" s="407">
        <v>0</v>
      </c>
      <c r="BD23" s="407">
        <v>0</v>
      </c>
      <c r="BE23" s="407">
        <v>0</v>
      </c>
      <c r="BF23" s="407">
        <v>0</v>
      </c>
      <c r="BG23" s="407">
        <v>0</v>
      </c>
      <c r="BH23" s="407">
        <v>0</v>
      </c>
      <c r="BI23" s="407">
        <v>0</v>
      </c>
      <c r="BJ23" s="407">
        <v>19</v>
      </c>
      <c r="BK23" s="407">
        <v>31</v>
      </c>
      <c r="BL23" s="407">
        <v>34</v>
      </c>
      <c r="BM23" s="407">
        <v>1</v>
      </c>
      <c r="BN23" s="407">
        <v>85</v>
      </c>
      <c r="BP23" s="408">
        <v>850000</v>
      </c>
      <c r="BQ23" s="408">
        <v>929303</v>
      </c>
      <c r="BR23" s="408">
        <v>0</v>
      </c>
      <c r="BS23" s="408">
        <v>0</v>
      </c>
      <c r="BT23" s="408">
        <v>0</v>
      </c>
      <c r="BU23" s="408">
        <v>1779303</v>
      </c>
      <c r="BV23" s="408">
        <v>63778</v>
      </c>
      <c r="BW23" s="408">
        <v>1843081</v>
      </c>
      <c r="BZ23" s="408">
        <f>SUM(BZ19:BZ22)</f>
        <v>0</v>
      </c>
      <c r="CA23" s="408">
        <f t="shared" ref="CA23:CC23" si="10">SUM(CA19:CA22)</f>
        <v>85</v>
      </c>
      <c r="CB23" s="408">
        <f t="shared" si="10"/>
        <v>0</v>
      </c>
      <c r="CC23" s="408">
        <f t="shared" si="10"/>
        <v>929303</v>
      </c>
      <c r="CE23" s="408">
        <v>0</v>
      </c>
      <c r="CF23" s="408">
        <v>0</v>
      </c>
      <c r="CK23" s="399">
        <f>+CA23</f>
        <v>85</v>
      </c>
    </row>
    <row r="24" spans="1:89" ht="15" x14ac:dyDescent="0.25">
      <c r="CK24" s="399">
        <f>+CK14+CK23</f>
        <v>716</v>
      </c>
    </row>
    <row r="25" spans="1:89" ht="15.75" thickBot="1" x14ac:dyDescent="0.3">
      <c r="B25" s="398" t="s">
        <v>175</v>
      </c>
      <c r="C25" s="409">
        <v>689</v>
      </c>
      <c r="D25" s="409">
        <v>27</v>
      </c>
      <c r="E25" s="409">
        <v>716</v>
      </c>
      <c r="H25" s="409">
        <f t="shared" ref="H25:Z25" si="11">SUM(H14+H23)</f>
        <v>0</v>
      </c>
      <c r="I25" s="409">
        <f t="shared" si="11"/>
        <v>0</v>
      </c>
      <c r="J25" s="409">
        <f t="shared" si="11"/>
        <v>19</v>
      </c>
      <c r="K25" s="409">
        <f t="shared" si="11"/>
        <v>13</v>
      </c>
      <c r="L25" s="409">
        <f t="shared" si="11"/>
        <v>35</v>
      </c>
      <c r="M25" s="409">
        <f t="shared" si="11"/>
        <v>1</v>
      </c>
      <c r="N25" s="409">
        <f t="shared" si="11"/>
        <v>0</v>
      </c>
      <c r="O25" s="409">
        <f t="shared" si="11"/>
        <v>0</v>
      </c>
      <c r="P25" s="409">
        <f t="shared" si="11"/>
        <v>26</v>
      </c>
      <c r="Q25" s="409">
        <f t="shared" si="11"/>
        <v>36</v>
      </c>
      <c r="R25" s="409">
        <f t="shared" si="11"/>
        <v>56</v>
      </c>
      <c r="S25" s="409">
        <f t="shared" si="11"/>
        <v>2</v>
      </c>
      <c r="T25" s="409">
        <f t="shared" si="11"/>
        <v>0</v>
      </c>
      <c r="U25" s="409">
        <f t="shared" si="11"/>
        <v>6</v>
      </c>
      <c r="V25" s="409">
        <f t="shared" si="11"/>
        <v>158</v>
      </c>
      <c r="W25" s="409">
        <f t="shared" si="11"/>
        <v>190</v>
      </c>
      <c r="X25" s="409">
        <f t="shared" si="11"/>
        <v>142</v>
      </c>
      <c r="Y25" s="409">
        <f t="shared" si="11"/>
        <v>5</v>
      </c>
      <c r="Z25" s="409">
        <f t="shared" si="11"/>
        <v>689</v>
      </c>
      <c r="AB25" s="409">
        <f t="shared" ref="AB25:AT25" si="12">SUM(AB14+AB23)</f>
        <v>0</v>
      </c>
      <c r="AC25" s="409">
        <f t="shared" si="12"/>
        <v>0</v>
      </c>
      <c r="AD25" s="409">
        <f t="shared" si="12"/>
        <v>0</v>
      </c>
      <c r="AE25" s="409">
        <f t="shared" si="12"/>
        <v>0</v>
      </c>
      <c r="AF25" s="409">
        <f t="shared" si="12"/>
        <v>1</v>
      </c>
      <c r="AG25" s="409">
        <f t="shared" si="12"/>
        <v>0</v>
      </c>
      <c r="AH25" s="409">
        <f t="shared" si="12"/>
        <v>0</v>
      </c>
      <c r="AI25" s="409">
        <f t="shared" si="12"/>
        <v>0</v>
      </c>
      <c r="AJ25" s="409">
        <f t="shared" si="12"/>
        <v>0</v>
      </c>
      <c r="AK25" s="409">
        <f t="shared" si="12"/>
        <v>0</v>
      </c>
      <c r="AL25" s="409">
        <f t="shared" si="12"/>
        <v>0</v>
      </c>
      <c r="AM25" s="409">
        <f t="shared" si="12"/>
        <v>0</v>
      </c>
      <c r="AN25" s="409">
        <f t="shared" si="12"/>
        <v>0</v>
      </c>
      <c r="AO25" s="409">
        <f t="shared" si="12"/>
        <v>0</v>
      </c>
      <c r="AP25" s="409">
        <f t="shared" si="12"/>
        <v>4</v>
      </c>
      <c r="AQ25" s="409">
        <f t="shared" si="12"/>
        <v>14</v>
      </c>
      <c r="AR25" s="409">
        <f t="shared" si="12"/>
        <v>8</v>
      </c>
      <c r="AS25" s="409">
        <f t="shared" si="12"/>
        <v>0</v>
      </c>
      <c r="AT25" s="409">
        <f t="shared" si="12"/>
        <v>27</v>
      </c>
      <c r="AV25" s="409">
        <v>0</v>
      </c>
      <c r="AW25" s="409">
        <v>0</v>
      </c>
      <c r="AX25" s="409">
        <v>19</v>
      </c>
      <c r="AY25" s="409">
        <v>13</v>
      </c>
      <c r="AZ25" s="409">
        <v>36</v>
      </c>
      <c r="BA25" s="409">
        <v>1</v>
      </c>
      <c r="BB25" s="409">
        <v>0</v>
      </c>
      <c r="BC25" s="409">
        <v>0</v>
      </c>
      <c r="BD25" s="409">
        <v>26</v>
      </c>
      <c r="BE25" s="409">
        <v>36</v>
      </c>
      <c r="BF25" s="409">
        <v>56</v>
      </c>
      <c r="BG25" s="409">
        <v>2</v>
      </c>
      <c r="BH25" s="409">
        <v>0</v>
      </c>
      <c r="BI25" s="409">
        <v>6</v>
      </c>
      <c r="BJ25" s="409">
        <v>162</v>
      </c>
      <c r="BK25" s="409">
        <v>204</v>
      </c>
      <c r="BL25" s="409">
        <v>150</v>
      </c>
      <c r="BM25" s="409">
        <v>5</v>
      </c>
      <c r="BN25" s="409">
        <v>716</v>
      </c>
      <c r="BP25" s="410">
        <v>7160000</v>
      </c>
      <c r="BQ25" s="410">
        <v>7814989.0036897566</v>
      </c>
      <c r="BR25" s="410">
        <v>376295</v>
      </c>
      <c r="BS25" s="410">
        <v>45365</v>
      </c>
      <c r="BT25" s="410">
        <v>86224.39</v>
      </c>
      <c r="BU25" s="410">
        <v>15482873.393689755</v>
      </c>
      <c r="BV25" s="410">
        <v>259272</v>
      </c>
      <c r="BW25" s="410">
        <v>15742145.393689755</v>
      </c>
      <c r="BX25" s="411"/>
    </row>
    <row r="28" spans="1:89" ht="15" x14ac:dyDescent="0.25">
      <c r="B28" s="398" t="s">
        <v>147</v>
      </c>
    </row>
    <row r="29" spans="1:89" ht="15" x14ac:dyDescent="0.25">
      <c r="C29" s="404" t="s">
        <v>176</v>
      </c>
      <c r="D29" s="404" t="s">
        <v>177</v>
      </c>
      <c r="E29" s="404" t="s">
        <v>147</v>
      </c>
      <c r="H29" s="402" t="s">
        <v>169</v>
      </c>
      <c r="I29" s="402" t="s">
        <v>169</v>
      </c>
      <c r="J29" s="402" t="s">
        <v>169</v>
      </c>
      <c r="K29" s="402" t="s">
        <v>169</v>
      </c>
      <c r="L29" s="402" t="s">
        <v>169</v>
      </c>
      <c r="M29" s="402" t="s">
        <v>169</v>
      </c>
      <c r="N29" s="402" t="s">
        <v>170</v>
      </c>
      <c r="O29" s="402" t="s">
        <v>170</v>
      </c>
      <c r="P29" s="402" t="s">
        <v>170</v>
      </c>
      <c r="Q29" s="402" t="s">
        <v>170</v>
      </c>
      <c r="R29" s="402" t="s">
        <v>170</v>
      </c>
      <c r="S29" s="402" t="s">
        <v>170</v>
      </c>
      <c r="T29" s="402" t="s">
        <v>171</v>
      </c>
      <c r="U29" s="402" t="s">
        <v>171</v>
      </c>
      <c r="V29" s="402" t="s">
        <v>171</v>
      </c>
      <c r="W29" s="402" t="s">
        <v>171</v>
      </c>
      <c r="X29" s="402" t="s">
        <v>171</v>
      </c>
      <c r="Y29" s="402" t="s">
        <v>171</v>
      </c>
      <c r="AB29" s="402" t="s">
        <v>169</v>
      </c>
      <c r="AC29" s="402" t="s">
        <v>169</v>
      </c>
      <c r="AD29" s="402" t="s">
        <v>169</v>
      </c>
      <c r="AE29" s="402" t="s">
        <v>169</v>
      </c>
      <c r="AF29" s="402" t="s">
        <v>169</v>
      </c>
      <c r="AG29" s="402" t="s">
        <v>169</v>
      </c>
      <c r="AH29" s="402" t="s">
        <v>170</v>
      </c>
      <c r="AI29" s="402" t="s">
        <v>170</v>
      </c>
      <c r="AJ29" s="402" t="s">
        <v>170</v>
      </c>
      <c r="AK29" s="402" t="s">
        <v>170</v>
      </c>
      <c r="AL29" s="402" t="s">
        <v>170</v>
      </c>
      <c r="AM29" s="402" t="s">
        <v>170</v>
      </c>
      <c r="AN29" s="402" t="s">
        <v>171</v>
      </c>
      <c r="AO29" s="402" t="s">
        <v>171</v>
      </c>
      <c r="AP29" s="402" t="s">
        <v>171</v>
      </c>
      <c r="AQ29" s="402" t="s">
        <v>171</v>
      </c>
      <c r="AR29" s="402" t="s">
        <v>171</v>
      </c>
      <c r="AS29" s="402" t="s">
        <v>171</v>
      </c>
      <c r="AV29" s="402" t="s">
        <v>169</v>
      </c>
      <c r="AW29" s="402" t="s">
        <v>169</v>
      </c>
      <c r="AX29" s="402" t="s">
        <v>169</v>
      </c>
      <c r="AY29" s="402" t="s">
        <v>169</v>
      </c>
      <c r="AZ29" s="402" t="s">
        <v>169</v>
      </c>
      <c r="BA29" s="402" t="s">
        <v>169</v>
      </c>
      <c r="BB29" s="402" t="s">
        <v>170</v>
      </c>
      <c r="BC29" s="402" t="s">
        <v>170</v>
      </c>
      <c r="BD29" s="402" t="s">
        <v>170</v>
      </c>
      <c r="BE29" s="402" t="s">
        <v>170</v>
      </c>
      <c r="BF29" s="402" t="s">
        <v>170</v>
      </c>
      <c r="BG29" s="402" t="s">
        <v>170</v>
      </c>
      <c r="BH29" s="402" t="s">
        <v>171</v>
      </c>
      <c r="BI29" s="402" t="s">
        <v>171</v>
      </c>
      <c r="BJ29" s="402" t="s">
        <v>171</v>
      </c>
      <c r="BK29" s="402" t="s">
        <v>171</v>
      </c>
      <c r="BL29" s="402" t="s">
        <v>171</v>
      </c>
      <c r="BM29" s="402" t="s">
        <v>171</v>
      </c>
    </row>
    <row r="30" spans="1:89" ht="15" x14ac:dyDescent="0.25">
      <c r="C30" s="404"/>
      <c r="D30" s="404"/>
      <c r="E30" s="404"/>
    </row>
    <row r="31" spans="1:89" s="398" customFormat="1" ht="15" x14ac:dyDescent="0.25">
      <c r="B31" s="398" t="s">
        <v>1438</v>
      </c>
      <c r="C31" s="398">
        <v>79</v>
      </c>
      <c r="D31" s="398">
        <v>4</v>
      </c>
      <c r="E31" s="398">
        <v>83</v>
      </c>
      <c r="H31" s="398">
        <f t="shared" ref="H31:Y32" si="13">SUM(H6+H20)</f>
        <v>0</v>
      </c>
      <c r="I31" s="398">
        <f t="shared" si="13"/>
        <v>0</v>
      </c>
      <c r="J31" s="398">
        <f t="shared" si="13"/>
        <v>0</v>
      </c>
      <c r="K31" s="398">
        <f t="shared" si="13"/>
        <v>3</v>
      </c>
      <c r="L31" s="398">
        <f t="shared" si="13"/>
        <v>18</v>
      </c>
      <c r="M31" s="398">
        <f t="shared" si="13"/>
        <v>1</v>
      </c>
      <c r="N31" s="398">
        <f t="shared" si="13"/>
        <v>0</v>
      </c>
      <c r="O31" s="398">
        <f t="shared" si="13"/>
        <v>0</v>
      </c>
      <c r="P31" s="398">
        <f t="shared" si="13"/>
        <v>0</v>
      </c>
      <c r="Q31" s="398">
        <f t="shared" si="13"/>
        <v>1</v>
      </c>
      <c r="R31" s="398">
        <f t="shared" si="13"/>
        <v>19</v>
      </c>
      <c r="S31" s="398">
        <f t="shared" si="13"/>
        <v>1</v>
      </c>
      <c r="T31" s="398">
        <f t="shared" si="13"/>
        <v>0</v>
      </c>
      <c r="U31" s="398">
        <f t="shared" si="13"/>
        <v>0</v>
      </c>
      <c r="V31" s="398">
        <f t="shared" si="13"/>
        <v>0</v>
      </c>
      <c r="W31" s="398">
        <f t="shared" si="13"/>
        <v>4</v>
      </c>
      <c r="X31" s="398">
        <f t="shared" si="13"/>
        <v>30</v>
      </c>
      <c r="Y31" s="398">
        <f t="shared" si="13"/>
        <v>2</v>
      </c>
      <c r="Z31" s="398">
        <f t="shared" ref="Z31:Z38" si="14">SUM(H31:Y31)</f>
        <v>79</v>
      </c>
      <c r="AB31" s="398">
        <f t="shared" ref="AB31:AS32" si="15">SUM(AB6+AB20)</f>
        <v>0</v>
      </c>
      <c r="AC31" s="398">
        <f t="shared" si="15"/>
        <v>0</v>
      </c>
      <c r="AD31" s="398">
        <f t="shared" si="15"/>
        <v>0</v>
      </c>
      <c r="AE31" s="398">
        <f t="shared" si="15"/>
        <v>0</v>
      </c>
      <c r="AF31" s="398">
        <f t="shared" si="15"/>
        <v>0</v>
      </c>
      <c r="AG31" s="398">
        <f t="shared" si="15"/>
        <v>0</v>
      </c>
      <c r="AH31" s="398">
        <f t="shared" si="15"/>
        <v>0</v>
      </c>
      <c r="AI31" s="398">
        <f t="shared" si="15"/>
        <v>0</v>
      </c>
      <c r="AJ31" s="398">
        <f t="shared" si="15"/>
        <v>0</v>
      </c>
      <c r="AK31" s="398">
        <f t="shared" si="15"/>
        <v>0</v>
      </c>
      <c r="AL31" s="398">
        <f t="shared" si="15"/>
        <v>0</v>
      </c>
      <c r="AM31" s="398">
        <f t="shared" si="15"/>
        <v>0</v>
      </c>
      <c r="AN31" s="398">
        <f t="shared" si="15"/>
        <v>0</v>
      </c>
      <c r="AO31" s="398">
        <f t="shared" si="15"/>
        <v>0</v>
      </c>
      <c r="AP31" s="398">
        <f t="shared" si="15"/>
        <v>0</v>
      </c>
      <c r="AQ31" s="398">
        <f t="shared" si="15"/>
        <v>1</v>
      </c>
      <c r="AR31" s="398">
        <f t="shared" si="15"/>
        <v>3</v>
      </c>
      <c r="AS31" s="398">
        <f t="shared" si="15"/>
        <v>0</v>
      </c>
      <c r="AT31" s="398">
        <f t="shared" ref="AT31:AT38" si="16">SUM(AB31:AS31)</f>
        <v>4</v>
      </c>
      <c r="AV31" s="398">
        <v>0</v>
      </c>
      <c r="AW31" s="398">
        <v>0</v>
      </c>
      <c r="AX31" s="398">
        <v>0</v>
      </c>
      <c r="AY31" s="398">
        <v>3</v>
      </c>
      <c r="AZ31" s="398">
        <v>18</v>
      </c>
      <c r="BA31" s="398">
        <v>1</v>
      </c>
      <c r="BB31" s="398">
        <v>0</v>
      </c>
      <c r="BC31" s="398">
        <v>0</v>
      </c>
      <c r="BD31" s="398">
        <v>0</v>
      </c>
      <c r="BE31" s="398">
        <v>1</v>
      </c>
      <c r="BF31" s="398">
        <v>19</v>
      </c>
      <c r="BG31" s="398">
        <v>1</v>
      </c>
      <c r="BH31" s="398">
        <v>0</v>
      </c>
      <c r="BI31" s="398">
        <v>0</v>
      </c>
      <c r="BJ31" s="398">
        <v>0</v>
      </c>
      <c r="BK31" s="398">
        <v>5</v>
      </c>
      <c r="BL31" s="398">
        <v>33</v>
      </c>
      <c r="BM31" s="398">
        <v>2</v>
      </c>
      <c r="BN31" s="398">
        <v>83</v>
      </c>
      <c r="BP31" s="400">
        <v>830000</v>
      </c>
      <c r="BQ31" s="400">
        <v>1333613</v>
      </c>
      <c r="BR31" s="400">
        <v>0</v>
      </c>
      <c r="BS31" s="400">
        <v>25765</v>
      </c>
      <c r="BT31" s="400">
        <v>0</v>
      </c>
      <c r="BU31" s="400">
        <v>2189378</v>
      </c>
      <c r="BV31" s="400">
        <v>59166</v>
      </c>
      <c r="BW31" s="400">
        <v>2248544</v>
      </c>
    </row>
    <row r="32" spans="1:89" s="398" customFormat="1" x14ac:dyDescent="0.3">
      <c r="B32" s="398" t="s">
        <v>1439</v>
      </c>
      <c r="C32" s="398">
        <v>89</v>
      </c>
      <c r="D32" s="398">
        <v>10</v>
      </c>
      <c r="E32" s="398">
        <v>99</v>
      </c>
      <c r="H32" s="398">
        <f t="shared" si="13"/>
        <v>0</v>
      </c>
      <c r="I32" s="398">
        <f t="shared" si="13"/>
        <v>0</v>
      </c>
      <c r="J32" s="398">
        <f t="shared" si="13"/>
        <v>0</v>
      </c>
      <c r="K32" s="398">
        <f t="shared" si="13"/>
        <v>0</v>
      </c>
      <c r="L32" s="398">
        <f t="shared" si="13"/>
        <v>0</v>
      </c>
      <c r="M32" s="398">
        <f t="shared" si="13"/>
        <v>0</v>
      </c>
      <c r="N32" s="398">
        <f t="shared" si="13"/>
        <v>0</v>
      </c>
      <c r="O32" s="398">
        <f t="shared" si="13"/>
        <v>0</v>
      </c>
      <c r="P32" s="398">
        <f t="shared" si="13"/>
        <v>0</v>
      </c>
      <c r="Q32" s="398">
        <f t="shared" si="13"/>
        <v>0</v>
      </c>
      <c r="R32" s="398">
        <f t="shared" si="13"/>
        <v>0</v>
      </c>
      <c r="S32" s="398">
        <f t="shared" si="13"/>
        <v>0</v>
      </c>
      <c r="T32" s="398">
        <f t="shared" si="13"/>
        <v>0</v>
      </c>
      <c r="U32" s="398">
        <f t="shared" si="13"/>
        <v>0</v>
      </c>
      <c r="V32" s="398">
        <f t="shared" si="13"/>
        <v>15</v>
      </c>
      <c r="W32" s="398">
        <f t="shared" si="13"/>
        <v>40</v>
      </c>
      <c r="X32" s="398">
        <f t="shared" si="13"/>
        <v>34</v>
      </c>
      <c r="Y32" s="398">
        <f t="shared" si="13"/>
        <v>0</v>
      </c>
      <c r="Z32" s="398">
        <f t="shared" si="14"/>
        <v>89</v>
      </c>
      <c r="AB32" s="398">
        <f t="shared" si="15"/>
        <v>0</v>
      </c>
      <c r="AC32" s="398">
        <f t="shared" si="15"/>
        <v>0</v>
      </c>
      <c r="AD32" s="398">
        <f t="shared" si="15"/>
        <v>0</v>
      </c>
      <c r="AE32" s="398">
        <f t="shared" si="15"/>
        <v>0</v>
      </c>
      <c r="AF32" s="398">
        <f t="shared" si="15"/>
        <v>0</v>
      </c>
      <c r="AG32" s="398">
        <f t="shared" si="15"/>
        <v>0</v>
      </c>
      <c r="AH32" s="398">
        <f t="shared" si="15"/>
        <v>0</v>
      </c>
      <c r="AI32" s="398">
        <f t="shared" si="15"/>
        <v>0</v>
      </c>
      <c r="AJ32" s="398">
        <f t="shared" si="15"/>
        <v>0</v>
      </c>
      <c r="AK32" s="398">
        <f t="shared" si="15"/>
        <v>0</v>
      </c>
      <c r="AL32" s="398">
        <f t="shared" si="15"/>
        <v>0</v>
      </c>
      <c r="AM32" s="398">
        <f t="shared" si="15"/>
        <v>0</v>
      </c>
      <c r="AN32" s="398">
        <f t="shared" si="15"/>
        <v>0</v>
      </c>
      <c r="AO32" s="398">
        <f t="shared" si="15"/>
        <v>0</v>
      </c>
      <c r="AP32" s="398">
        <f t="shared" si="15"/>
        <v>0</v>
      </c>
      <c r="AQ32" s="398">
        <f t="shared" si="15"/>
        <v>6</v>
      </c>
      <c r="AR32" s="398">
        <f t="shared" si="15"/>
        <v>4</v>
      </c>
      <c r="AS32" s="398">
        <f t="shared" si="15"/>
        <v>0</v>
      </c>
      <c r="AT32" s="398">
        <f t="shared" si="16"/>
        <v>10</v>
      </c>
      <c r="AV32" s="398">
        <v>0</v>
      </c>
      <c r="AW32" s="398">
        <v>0</v>
      </c>
      <c r="AX32" s="398">
        <v>0</v>
      </c>
      <c r="AY32" s="398">
        <v>0</v>
      </c>
      <c r="AZ32" s="398">
        <v>0</v>
      </c>
      <c r="BA32" s="398">
        <v>0</v>
      </c>
      <c r="BB32" s="398">
        <v>0</v>
      </c>
      <c r="BC32" s="398">
        <v>0</v>
      </c>
      <c r="BD32" s="398">
        <v>0</v>
      </c>
      <c r="BE32" s="398">
        <v>0</v>
      </c>
      <c r="BF32" s="398">
        <v>0</v>
      </c>
      <c r="BG32" s="398">
        <v>0</v>
      </c>
      <c r="BH32" s="398">
        <v>0</v>
      </c>
      <c r="BI32" s="398">
        <v>0</v>
      </c>
      <c r="BJ32" s="398">
        <v>15</v>
      </c>
      <c r="BK32" s="398">
        <v>46</v>
      </c>
      <c r="BL32" s="398">
        <v>38</v>
      </c>
      <c r="BM32" s="398">
        <v>0</v>
      </c>
      <c r="BN32" s="398">
        <v>99</v>
      </c>
      <c r="BP32" s="400">
        <v>990000</v>
      </c>
      <c r="BQ32" s="400">
        <v>924350</v>
      </c>
      <c r="BR32" s="400">
        <v>376295</v>
      </c>
      <c r="BS32" s="400">
        <v>0</v>
      </c>
      <c r="BT32" s="400">
        <v>0</v>
      </c>
      <c r="BU32" s="400">
        <v>2290645</v>
      </c>
      <c r="BV32" s="400">
        <v>105880</v>
      </c>
      <c r="BW32" s="400">
        <v>2396525</v>
      </c>
    </row>
    <row r="33" spans="1:84" s="398" customFormat="1" x14ac:dyDescent="0.3">
      <c r="B33" s="398" t="s">
        <v>1440</v>
      </c>
      <c r="C33" s="398">
        <v>102</v>
      </c>
      <c r="D33" s="398">
        <v>4</v>
      </c>
      <c r="E33" s="398">
        <v>106</v>
      </c>
      <c r="H33" s="398">
        <f>SUM(H8)</f>
        <v>0</v>
      </c>
      <c r="I33" s="398">
        <f t="shared" ref="I33:Y34" si="17">SUM(I8)</f>
        <v>0</v>
      </c>
      <c r="J33" s="398">
        <f t="shared" si="17"/>
        <v>0</v>
      </c>
      <c r="K33" s="398">
        <f t="shared" si="17"/>
        <v>0</v>
      </c>
      <c r="L33" s="398">
        <f t="shared" si="17"/>
        <v>0</v>
      </c>
      <c r="M33" s="398">
        <f t="shared" si="17"/>
        <v>0</v>
      </c>
      <c r="N33" s="398">
        <f t="shared" si="17"/>
        <v>0</v>
      </c>
      <c r="O33" s="398">
        <f t="shared" si="17"/>
        <v>0</v>
      </c>
      <c r="P33" s="398">
        <f t="shared" si="17"/>
        <v>0</v>
      </c>
      <c r="Q33" s="398">
        <f t="shared" si="17"/>
        <v>0</v>
      </c>
      <c r="R33" s="398">
        <f t="shared" si="17"/>
        <v>0</v>
      </c>
      <c r="S33" s="398">
        <f t="shared" si="17"/>
        <v>0</v>
      </c>
      <c r="T33" s="398">
        <f t="shared" si="17"/>
        <v>0</v>
      </c>
      <c r="U33" s="398">
        <f t="shared" si="17"/>
        <v>4</v>
      </c>
      <c r="V33" s="398">
        <f t="shared" si="17"/>
        <v>47</v>
      </c>
      <c r="W33" s="398">
        <f t="shared" si="17"/>
        <v>44</v>
      </c>
      <c r="X33" s="398">
        <f t="shared" si="17"/>
        <v>6</v>
      </c>
      <c r="Y33" s="398">
        <f t="shared" si="17"/>
        <v>1</v>
      </c>
      <c r="Z33" s="398">
        <f t="shared" si="14"/>
        <v>102</v>
      </c>
      <c r="AB33" s="398">
        <f t="shared" ref="AB33:AS34" si="18">SUM(AB8)</f>
        <v>0</v>
      </c>
      <c r="AC33" s="398">
        <f t="shared" si="18"/>
        <v>0</v>
      </c>
      <c r="AD33" s="398">
        <f t="shared" si="18"/>
        <v>0</v>
      </c>
      <c r="AE33" s="398">
        <f t="shared" si="18"/>
        <v>0</v>
      </c>
      <c r="AF33" s="398">
        <f t="shared" si="18"/>
        <v>0</v>
      </c>
      <c r="AG33" s="398">
        <f t="shared" si="18"/>
        <v>0</v>
      </c>
      <c r="AH33" s="398">
        <f t="shared" si="18"/>
        <v>0</v>
      </c>
      <c r="AI33" s="398">
        <f t="shared" si="18"/>
        <v>0</v>
      </c>
      <c r="AJ33" s="398">
        <f t="shared" si="18"/>
        <v>0</v>
      </c>
      <c r="AK33" s="398">
        <f t="shared" si="18"/>
        <v>0</v>
      </c>
      <c r="AL33" s="398">
        <f t="shared" si="18"/>
        <v>0</v>
      </c>
      <c r="AM33" s="398">
        <f t="shared" si="18"/>
        <v>0</v>
      </c>
      <c r="AN33" s="398">
        <f t="shared" si="18"/>
        <v>0</v>
      </c>
      <c r="AO33" s="398">
        <f t="shared" si="18"/>
        <v>0</v>
      </c>
      <c r="AP33" s="398">
        <f t="shared" si="18"/>
        <v>2</v>
      </c>
      <c r="AQ33" s="398">
        <f t="shared" si="18"/>
        <v>2</v>
      </c>
      <c r="AR33" s="398">
        <f t="shared" si="18"/>
        <v>0</v>
      </c>
      <c r="AS33" s="398">
        <f t="shared" si="18"/>
        <v>0</v>
      </c>
      <c r="AT33" s="398">
        <f t="shared" si="16"/>
        <v>4</v>
      </c>
      <c r="AV33" s="398">
        <v>0</v>
      </c>
      <c r="AW33" s="398">
        <v>0</v>
      </c>
      <c r="AX33" s="398">
        <v>0</v>
      </c>
      <c r="AY33" s="398">
        <v>0</v>
      </c>
      <c r="AZ33" s="398">
        <v>0</v>
      </c>
      <c r="BA33" s="398">
        <v>0</v>
      </c>
      <c r="BB33" s="398">
        <v>0</v>
      </c>
      <c r="BC33" s="398">
        <v>0</v>
      </c>
      <c r="BD33" s="398">
        <v>0</v>
      </c>
      <c r="BE33" s="398">
        <v>0</v>
      </c>
      <c r="BF33" s="398">
        <v>0</v>
      </c>
      <c r="BG33" s="398">
        <v>0</v>
      </c>
      <c r="BH33" s="398">
        <v>0</v>
      </c>
      <c r="BI33" s="398">
        <v>4</v>
      </c>
      <c r="BJ33" s="398">
        <v>49</v>
      </c>
      <c r="BK33" s="398">
        <v>46</v>
      </c>
      <c r="BL33" s="398">
        <v>6</v>
      </c>
      <c r="BM33" s="398">
        <v>1</v>
      </c>
      <c r="BN33" s="398">
        <v>106</v>
      </c>
      <c r="BP33" s="400">
        <v>1060000</v>
      </c>
      <c r="BQ33" s="400">
        <v>541887</v>
      </c>
      <c r="BR33" s="400">
        <v>0</v>
      </c>
      <c r="BS33" s="400">
        <v>19600</v>
      </c>
      <c r="BT33" s="400">
        <v>0</v>
      </c>
      <c r="BU33" s="400">
        <v>1621487</v>
      </c>
      <c r="BV33" s="400">
        <v>20150</v>
      </c>
      <c r="BW33" s="400">
        <v>1641637</v>
      </c>
    </row>
    <row r="34" spans="1:84" s="398" customFormat="1" x14ac:dyDescent="0.3">
      <c r="B34" s="398" t="s">
        <v>1441</v>
      </c>
      <c r="C34" s="398">
        <v>109</v>
      </c>
      <c r="D34" s="398">
        <v>1</v>
      </c>
      <c r="E34" s="398">
        <v>110</v>
      </c>
      <c r="H34" s="398">
        <f>SUM(H9)</f>
        <v>0</v>
      </c>
      <c r="I34" s="398">
        <f t="shared" si="17"/>
        <v>0</v>
      </c>
      <c r="J34" s="398">
        <f t="shared" si="17"/>
        <v>1</v>
      </c>
      <c r="K34" s="398">
        <f t="shared" si="17"/>
        <v>10</v>
      </c>
      <c r="L34" s="398">
        <f t="shared" si="17"/>
        <v>17</v>
      </c>
      <c r="M34" s="398">
        <f t="shared" si="17"/>
        <v>0</v>
      </c>
      <c r="N34" s="398">
        <f t="shared" si="17"/>
        <v>0</v>
      </c>
      <c r="O34" s="398">
        <f t="shared" si="17"/>
        <v>0</v>
      </c>
      <c r="P34" s="398">
        <f t="shared" si="17"/>
        <v>8</v>
      </c>
      <c r="Q34" s="398">
        <f t="shared" si="17"/>
        <v>35</v>
      </c>
      <c r="R34" s="398">
        <f t="shared" si="17"/>
        <v>37</v>
      </c>
      <c r="S34" s="398">
        <f t="shared" si="17"/>
        <v>1</v>
      </c>
      <c r="T34" s="398">
        <f t="shared" si="17"/>
        <v>0</v>
      </c>
      <c r="U34" s="398">
        <f t="shared" si="17"/>
        <v>0</v>
      </c>
      <c r="V34" s="398">
        <f t="shared" si="17"/>
        <v>0</v>
      </c>
      <c r="W34" s="398">
        <f t="shared" si="17"/>
        <v>0</v>
      </c>
      <c r="X34" s="398">
        <f t="shared" si="17"/>
        <v>0</v>
      </c>
      <c r="Y34" s="398">
        <f t="shared" si="17"/>
        <v>0</v>
      </c>
      <c r="Z34" s="398">
        <f t="shared" si="14"/>
        <v>109</v>
      </c>
      <c r="AB34" s="398">
        <f t="shared" si="18"/>
        <v>0</v>
      </c>
      <c r="AC34" s="398">
        <f t="shared" si="18"/>
        <v>0</v>
      </c>
      <c r="AD34" s="398">
        <f t="shared" si="18"/>
        <v>0</v>
      </c>
      <c r="AE34" s="398">
        <f t="shared" si="18"/>
        <v>0</v>
      </c>
      <c r="AF34" s="398">
        <f t="shared" si="18"/>
        <v>1</v>
      </c>
      <c r="AG34" s="398">
        <f t="shared" si="18"/>
        <v>0</v>
      </c>
      <c r="AH34" s="398">
        <f t="shared" si="18"/>
        <v>0</v>
      </c>
      <c r="AI34" s="398">
        <f t="shared" si="18"/>
        <v>0</v>
      </c>
      <c r="AJ34" s="398">
        <f t="shared" si="18"/>
        <v>0</v>
      </c>
      <c r="AK34" s="398">
        <f t="shared" si="18"/>
        <v>0</v>
      </c>
      <c r="AL34" s="398">
        <f t="shared" si="18"/>
        <v>0</v>
      </c>
      <c r="AM34" s="398">
        <f t="shared" si="18"/>
        <v>0</v>
      </c>
      <c r="AN34" s="398">
        <f t="shared" si="18"/>
        <v>0</v>
      </c>
      <c r="AO34" s="398">
        <f t="shared" si="18"/>
        <v>0</v>
      </c>
      <c r="AP34" s="398">
        <f t="shared" si="18"/>
        <v>0</v>
      </c>
      <c r="AQ34" s="398">
        <f t="shared" si="18"/>
        <v>0</v>
      </c>
      <c r="AR34" s="398">
        <f t="shared" si="18"/>
        <v>0</v>
      </c>
      <c r="AS34" s="398">
        <f t="shared" si="18"/>
        <v>0</v>
      </c>
      <c r="AT34" s="398">
        <f t="shared" si="16"/>
        <v>1</v>
      </c>
      <c r="AV34" s="398">
        <v>0</v>
      </c>
      <c r="AW34" s="398">
        <v>0</v>
      </c>
      <c r="AX34" s="398">
        <v>1</v>
      </c>
      <c r="AY34" s="398">
        <v>10</v>
      </c>
      <c r="AZ34" s="398">
        <v>18</v>
      </c>
      <c r="BA34" s="398">
        <v>0</v>
      </c>
      <c r="BB34" s="398">
        <v>0</v>
      </c>
      <c r="BC34" s="398">
        <v>0</v>
      </c>
      <c r="BD34" s="398">
        <v>8</v>
      </c>
      <c r="BE34" s="398">
        <v>35</v>
      </c>
      <c r="BF34" s="398">
        <v>37</v>
      </c>
      <c r="BG34" s="398">
        <v>1</v>
      </c>
      <c r="BH34" s="398">
        <v>0</v>
      </c>
      <c r="BI34" s="398">
        <v>0</v>
      </c>
      <c r="BJ34" s="398">
        <v>0</v>
      </c>
      <c r="BK34" s="398">
        <v>0</v>
      </c>
      <c r="BL34" s="398">
        <v>0</v>
      </c>
      <c r="BM34" s="398">
        <v>0</v>
      </c>
      <c r="BN34" s="398">
        <v>110</v>
      </c>
      <c r="BP34" s="400">
        <v>1100000</v>
      </c>
      <c r="BQ34" s="400">
        <v>1069417</v>
      </c>
      <c r="BR34" s="400">
        <v>0</v>
      </c>
      <c r="BS34" s="400">
        <v>0</v>
      </c>
      <c r="BT34" s="400">
        <v>0</v>
      </c>
      <c r="BU34" s="400">
        <v>2169417</v>
      </c>
      <c r="BV34" s="400">
        <v>12086</v>
      </c>
      <c r="BW34" s="400">
        <v>2181503</v>
      </c>
    </row>
    <row r="35" spans="1:84" s="398" customFormat="1" x14ac:dyDescent="0.3">
      <c r="B35" s="398" t="s">
        <v>1442</v>
      </c>
      <c r="C35" s="398">
        <v>134</v>
      </c>
      <c r="D35" s="398">
        <v>8</v>
      </c>
      <c r="E35" s="398">
        <v>142</v>
      </c>
      <c r="H35" s="398">
        <f t="shared" ref="H35:Y35" si="19">SUM(H10+H22)</f>
        <v>0</v>
      </c>
      <c r="I35" s="398">
        <f t="shared" si="19"/>
        <v>0</v>
      </c>
      <c r="J35" s="398">
        <f t="shared" si="19"/>
        <v>0</v>
      </c>
      <c r="K35" s="398">
        <f t="shared" si="19"/>
        <v>0</v>
      </c>
      <c r="L35" s="398">
        <f t="shared" si="19"/>
        <v>0</v>
      </c>
      <c r="M35" s="398">
        <f t="shared" si="19"/>
        <v>0</v>
      </c>
      <c r="N35" s="398">
        <f t="shared" si="19"/>
        <v>0</v>
      </c>
      <c r="O35" s="398">
        <f t="shared" si="19"/>
        <v>0</v>
      </c>
      <c r="P35" s="398">
        <f t="shared" si="19"/>
        <v>0</v>
      </c>
      <c r="Q35" s="398">
        <f t="shared" si="19"/>
        <v>0</v>
      </c>
      <c r="R35" s="398">
        <f t="shared" si="19"/>
        <v>0</v>
      </c>
      <c r="S35" s="398">
        <f t="shared" si="19"/>
        <v>0</v>
      </c>
      <c r="T35" s="398">
        <f t="shared" si="19"/>
        <v>0</v>
      </c>
      <c r="U35" s="398">
        <f t="shared" si="19"/>
        <v>2</v>
      </c>
      <c r="V35" s="398">
        <f t="shared" si="19"/>
        <v>36</v>
      </c>
      <c r="W35" s="398">
        <f t="shared" si="19"/>
        <v>72</v>
      </c>
      <c r="X35" s="398">
        <f t="shared" si="19"/>
        <v>22</v>
      </c>
      <c r="Y35" s="398">
        <f t="shared" si="19"/>
        <v>2</v>
      </c>
      <c r="Z35" s="398">
        <f t="shared" si="14"/>
        <v>134</v>
      </c>
      <c r="AB35" s="398">
        <f t="shared" ref="AB35:AS35" si="20">SUM(AB10+AB22)</f>
        <v>0</v>
      </c>
      <c r="AC35" s="398">
        <f t="shared" si="20"/>
        <v>0</v>
      </c>
      <c r="AD35" s="398">
        <f t="shared" si="20"/>
        <v>0</v>
      </c>
      <c r="AE35" s="398">
        <f t="shared" si="20"/>
        <v>0</v>
      </c>
      <c r="AF35" s="398">
        <f t="shared" si="20"/>
        <v>0</v>
      </c>
      <c r="AG35" s="398">
        <f t="shared" si="20"/>
        <v>0</v>
      </c>
      <c r="AH35" s="398">
        <f t="shared" si="20"/>
        <v>0</v>
      </c>
      <c r="AI35" s="398">
        <f t="shared" si="20"/>
        <v>0</v>
      </c>
      <c r="AJ35" s="398">
        <f t="shared" si="20"/>
        <v>0</v>
      </c>
      <c r="AK35" s="398">
        <f t="shared" si="20"/>
        <v>0</v>
      </c>
      <c r="AL35" s="398">
        <f t="shared" si="20"/>
        <v>0</v>
      </c>
      <c r="AM35" s="398">
        <f t="shared" si="20"/>
        <v>0</v>
      </c>
      <c r="AN35" s="398">
        <f t="shared" si="20"/>
        <v>0</v>
      </c>
      <c r="AO35" s="398">
        <f t="shared" si="20"/>
        <v>0</v>
      </c>
      <c r="AP35" s="398">
        <f t="shared" si="20"/>
        <v>2</v>
      </c>
      <c r="AQ35" s="398">
        <f t="shared" si="20"/>
        <v>5</v>
      </c>
      <c r="AR35" s="398">
        <f t="shared" si="20"/>
        <v>1</v>
      </c>
      <c r="AS35" s="398">
        <f t="shared" si="20"/>
        <v>0</v>
      </c>
      <c r="AT35" s="398">
        <f t="shared" si="16"/>
        <v>8</v>
      </c>
      <c r="AV35" s="398">
        <v>0</v>
      </c>
      <c r="AW35" s="398">
        <v>0</v>
      </c>
      <c r="AX35" s="398">
        <v>0</v>
      </c>
      <c r="AY35" s="398">
        <v>0</v>
      </c>
      <c r="AZ35" s="398">
        <v>0</v>
      </c>
      <c r="BA35" s="398">
        <v>0</v>
      </c>
      <c r="BB35" s="398">
        <v>0</v>
      </c>
      <c r="BC35" s="398">
        <v>0</v>
      </c>
      <c r="BD35" s="398">
        <v>0</v>
      </c>
      <c r="BE35" s="398">
        <v>0</v>
      </c>
      <c r="BF35" s="398">
        <v>0</v>
      </c>
      <c r="BG35" s="398">
        <v>0</v>
      </c>
      <c r="BH35" s="398">
        <v>0</v>
      </c>
      <c r="BI35" s="398">
        <v>2</v>
      </c>
      <c r="BJ35" s="398">
        <v>38</v>
      </c>
      <c r="BK35" s="398">
        <v>77</v>
      </c>
      <c r="BL35" s="398">
        <v>23</v>
      </c>
      <c r="BM35" s="398">
        <v>2</v>
      </c>
      <c r="BN35" s="398">
        <v>142</v>
      </c>
      <c r="BP35" s="400">
        <v>1420000</v>
      </c>
      <c r="BQ35" s="400">
        <v>1112560</v>
      </c>
      <c r="BR35" s="400">
        <v>0</v>
      </c>
      <c r="BS35" s="400">
        <v>0</v>
      </c>
      <c r="BT35" s="400">
        <v>86224.39</v>
      </c>
      <c r="BU35" s="400">
        <v>2618784.39</v>
      </c>
      <c r="BV35" s="400">
        <v>61990</v>
      </c>
      <c r="BW35" s="400">
        <v>2680774.39</v>
      </c>
    </row>
    <row r="36" spans="1:84" s="398" customFormat="1" x14ac:dyDescent="0.3">
      <c r="B36" s="398" t="s">
        <v>148</v>
      </c>
      <c r="C36" s="398">
        <v>80</v>
      </c>
      <c r="D36" s="398">
        <v>0</v>
      </c>
      <c r="E36" s="398">
        <v>80</v>
      </c>
      <c r="H36" s="398">
        <f t="shared" ref="H36:Y38" si="21">SUM(H11)</f>
        <v>0</v>
      </c>
      <c r="I36" s="398">
        <f t="shared" si="21"/>
        <v>0</v>
      </c>
      <c r="J36" s="398">
        <f t="shared" si="21"/>
        <v>0</v>
      </c>
      <c r="K36" s="398">
        <f t="shared" si="21"/>
        <v>0</v>
      </c>
      <c r="L36" s="398">
        <f t="shared" si="21"/>
        <v>0</v>
      </c>
      <c r="M36" s="398">
        <f t="shared" si="21"/>
        <v>0</v>
      </c>
      <c r="N36" s="398">
        <f t="shared" si="21"/>
        <v>0</v>
      </c>
      <c r="O36" s="398">
        <f t="shared" si="21"/>
        <v>0</v>
      </c>
      <c r="P36" s="398">
        <f t="shared" si="21"/>
        <v>0</v>
      </c>
      <c r="Q36" s="398">
        <f t="shared" si="21"/>
        <v>0</v>
      </c>
      <c r="R36" s="398">
        <f t="shared" si="21"/>
        <v>0</v>
      </c>
      <c r="S36" s="398">
        <f t="shared" si="21"/>
        <v>0</v>
      </c>
      <c r="T36" s="398">
        <f t="shared" si="21"/>
        <v>0</v>
      </c>
      <c r="U36" s="398">
        <f t="shared" si="21"/>
        <v>0</v>
      </c>
      <c r="V36" s="398">
        <f t="shared" si="21"/>
        <v>0</v>
      </c>
      <c r="W36" s="398">
        <f t="shared" si="21"/>
        <v>30</v>
      </c>
      <c r="X36" s="398">
        <f t="shared" si="21"/>
        <v>50</v>
      </c>
      <c r="Y36" s="398">
        <f t="shared" si="21"/>
        <v>0</v>
      </c>
      <c r="Z36" s="398">
        <f t="shared" si="14"/>
        <v>80</v>
      </c>
      <c r="AB36" s="398">
        <f t="shared" ref="AB36:AS38" si="22">SUM(AB11)</f>
        <v>0</v>
      </c>
      <c r="AC36" s="398">
        <f t="shared" si="22"/>
        <v>0</v>
      </c>
      <c r="AD36" s="398">
        <f t="shared" si="22"/>
        <v>0</v>
      </c>
      <c r="AE36" s="398">
        <f t="shared" si="22"/>
        <v>0</v>
      </c>
      <c r="AF36" s="398">
        <f t="shared" si="22"/>
        <v>0</v>
      </c>
      <c r="AG36" s="398">
        <f t="shared" si="22"/>
        <v>0</v>
      </c>
      <c r="AH36" s="398">
        <f t="shared" si="22"/>
        <v>0</v>
      </c>
      <c r="AI36" s="398">
        <f t="shared" si="22"/>
        <v>0</v>
      </c>
      <c r="AJ36" s="398">
        <f t="shared" si="22"/>
        <v>0</v>
      </c>
      <c r="AK36" s="398">
        <f t="shared" si="22"/>
        <v>0</v>
      </c>
      <c r="AL36" s="398">
        <f t="shared" si="22"/>
        <v>0</v>
      </c>
      <c r="AM36" s="398">
        <f t="shared" si="22"/>
        <v>0</v>
      </c>
      <c r="AN36" s="398">
        <f t="shared" si="22"/>
        <v>0</v>
      </c>
      <c r="AO36" s="398">
        <f t="shared" si="22"/>
        <v>0</v>
      </c>
      <c r="AP36" s="398">
        <f t="shared" si="22"/>
        <v>0</v>
      </c>
      <c r="AQ36" s="398">
        <f t="shared" si="22"/>
        <v>0</v>
      </c>
      <c r="AR36" s="398">
        <f t="shared" si="22"/>
        <v>0</v>
      </c>
      <c r="AS36" s="398">
        <f t="shared" si="22"/>
        <v>0</v>
      </c>
      <c r="AT36" s="398">
        <f t="shared" si="16"/>
        <v>0</v>
      </c>
      <c r="AV36" s="398">
        <v>0</v>
      </c>
      <c r="AW36" s="398">
        <v>0</v>
      </c>
      <c r="AX36" s="398">
        <v>0</v>
      </c>
      <c r="AY36" s="398">
        <v>0</v>
      </c>
      <c r="AZ36" s="398">
        <v>0</v>
      </c>
      <c r="BA36" s="398">
        <v>0</v>
      </c>
      <c r="BB36" s="398">
        <v>0</v>
      </c>
      <c r="BC36" s="398">
        <v>0</v>
      </c>
      <c r="BD36" s="398">
        <v>0</v>
      </c>
      <c r="BE36" s="398">
        <v>0</v>
      </c>
      <c r="BF36" s="398">
        <v>0</v>
      </c>
      <c r="BG36" s="398">
        <v>0</v>
      </c>
      <c r="BH36" s="398">
        <v>0</v>
      </c>
      <c r="BI36" s="398">
        <v>0</v>
      </c>
      <c r="BJ36" s="398">
        <v>0</v>
      </c>
      <c r="BK36" s="398">
        <v>30</v>
      </c>
      <c r="BL36" s="398">
        <v>50</v>
      </c>
      <c r="BM36" s="398">
        <v>0</v>
      </c>
      <c r="BN36" s="398">
        <v>80</v>
      </c>
      <c r="BP36" s="400">
        <v>800000</v>
      </c>
      <c r="BQ36" s="400">
        <v>1418796.9636897566</v>
      </c>
      <c r="BR36" s="400">
        <v>0</v>
      </c>
      <c r="BS36" s="400">
        <v>0</v>
      </c>
      <c r="BT36" s="400">
        <v>0</v>
      </c>
      <c r="BU36" s="400">
        <v>2218796.9636897566</v>
      </c>
      <c r="BV36" s="400">
        <v>0</v>
      </c>
      <c r="BW36" s="400">
        <v>2218796.9636897566</v>
      </c>
    </row>
    <row r="37" spans="1:84" s="398" customFormat="1" x14ac:dyDescent="0.3">
      <c r="B37" s="398" t="s">
        <v>1443</v>
      </c>
      <c r="C37" s="398">
        <v>36</v>
      </c>
      <c r="D37" s="398">
        <v>0</v>
      </c>
      <c r="E37" s="398">
        <v>36</v>
      </c>
      <c r="H37" s="398">
        <f t="shared" si="21"/>
        <v>0</v>
      </c>
      <c r="I37" s="398">
        <f t="shared" si="21"/>
        <v>0</v>
      </c>
      <c r="J37" s="398">
        <f t="shared" si="21"/>
        <v>18</v>
      </c>
      <c r="K37" s="398">
        <f t="shared" si="21"/>
        <v>0</v>
      </c>
      <c r="L37" s="398">
        <f t="shared" si="21"/>
        <v>0</v>
      </c>
      <c r="M37" s="398">
        <f t="shared" si="21"/>
        <v>0</v>
      </c>
      <c r="N37" s="398">
        <f t="shared" si="21"/>
        <v>0</v>
      </c>
      <c r="O37" s="398">
        <f t="shared" si="21"/>
        <v>0</v>
      </c>
      <c r="P37" s="398">
        <f t="shared" si="21"/>
        <v>18</v>
      </c>
      <c r="Q37" s="398">
        <f t="shared" si="21"/>
        <v>0</v>
      </c>
      <c r="R37" s="398">
        <f t="shared" si="21"/>
        <v>0</v>
      </c>
      <c r="S37" s="398">
        <f t="shared" si="21"/>
        <v>0</v>
      </c>
      <c r="T37" s="398">
        <f t="shared" si="21"/>
        <v>0</v>
      </c>
      <c r="U37" s="398">
        <f t="shared" si="21"/>
        <v>0</v>
      </c>
      <c r="V37" s="398">
        <f t="shared" si="21"/>
        <v>0</v>
      </c>
      <c r="W37" s="398">
        <f t="shared" si="21"/>
        <v>0</v>
      </c>
      <c r="X37" s="398">
        <f>SUM(X12)</f>
        <v>0</v>
      </c>
      <c r="Y37" s="398">
        <f>SUM(Y12)</f>
        <v>0</v>
      </c>
      <c r="Z37" s="398">
        <f t="shared" si="14"/>
        <v>36</v>
      </c>
      <c r="AB37" s="398">
        <f t="shared" si="22"/>
        <v>0</v>
      </c>
      <c r="AC37" s="398">
        <f t="shared" si="22"/>
        <v>0</v>
      </c>
      <c r="AD37" s="398">
        <f t="shared" si="22"/>
        <v>0</v>
      </c>
      <c r="AE37" s="398">
        <f t="shared" si="22"/>
        <v>0</v>
      </c>
      <c r="AF37" s="398">
        <f t="shared" si="22"/>
        <v>0</v>
      </c>
      <c r="AG37" s="398">
        <f t="shared" si="22"/>
        <v>0</v>
      </c>
      <c r="AH37" s="398">
        <f t="shared" si="22"/>
        <v>0</v>
      </c>
      <c r="AI37" s="398">
        <f t="shared" si="22"/>
        <v>0</v>
      </c>
      <c r="AJ37" s="398">
        <f t="shared" si="22"/>
        <v>0</v>
      </c>
      <c r="AK37" s="398">
        <f t="shared" si="22"/>
        <v>0</v>
      </c>
      <c r="AL37" s="398">
        <f t="shared" si="22"/>
        <v>0</v>
      </c>
      <c r="AM37" s="398">
        <f t="shared" si="22"/>
        <v>0</v>
      </c>
      <c r="AN37" s="398">
        <f t="shared" si="22"/>
        <v>0</v>
      </c>
      <c r="AO37" s="398">
        <f t="shared" si="22"/>
        <v>0</v>
      </c>
      <c r="AP37" s="398">
        <f t="shared" si="22"/>
        <v>0</v>
      </c>
      <c r="AQ37" s="398">
        <f t="shared" si="22"/>
        <v>0</v>
      </c>
      <c r="AR37" s="398">
        <f>SUM(AR12)</f>
        <v>0</v>
      </c>
      <c r="AS37" s="398">
        <f>SUM(AS12)</f>
        <v>0</v>
      </c>
      <c r="AT37" s="398">
        <f t="shared" si="16"/>
        <v>0</v>
      </c>
      <c r="AV37" s="398">
        <v>0</v>
      </c>
      <c r="AW37" s="398">
        <v>0</v>
      </c>
      <c r="AX37" s="398">
        <v>18</v>
      </c>
      <c r="AY37" s="398">
        <v>0</v>
      </c>
      <c r="AZ37" s="398">
        <v>0</v>
      </c>
      <c r="BA37" s="398">
        <v>0</v>
      </c>
      <c r="BB37" s="398">
        <v>0</v>
      </c>
      <c r="BC37" s="398">
        <v>0</v>
      </c>
      <c r="BD37" s="398">
        <v>18</v>
      </c>
      <c r="BE37" s="398">
        <v>0</v>
      </c>
      <c r="BF37" s="398">
        <v>0</v>
      </c>
      <c r="BG37" s="398">
        <v>0</v>
      </c>
      <c r="BH37" s="398">
        <v>0</v>
      </c>
      <c r="BI37" s="398">
        <v>0</v>
      </c>
      <c r="BJ37" s="398">
        <v>0</v>
      </c>
      <c r="BK37" s="398">
        <v>0</v>
      </c>
      <c r="BL37" s="398">
        <v>0</v>
      </c>
      <c r="BM37" s="398">
        <v>0</v>
      </c>
      <c r="BN37" s="398">
        <v>36</v>
      </c>
      <c r="BP37" s="400">
        <v>360000</v>
      </c>
      <c r="BQ37" s="400">
        <v>480999.84</v>
      </c>
      <c r="BR37" s="400">
        <v>0</v>
      </c>
      <c r="BS37" s="400">
        <v>0</v>
      </c>
      <c r="BT37" s="400">
        <v>0</v>
      </c>
      <c r="BU37" s="400">
        <v>840999.84000000008</v>
      </c>
      <c r="BV37" s="400">
        <v>0</v>
      </c>
      <c r="BW37" s="400">
        <v>840999.84000000008</v>
      </c>
    </row>
    <row r="38" spans="1:84" s="398" customFormat="1" x14ac:dyDescent="0.3">
      <c r="B38" s="398" t="s">
        <v>1444</v>
      </c>
      <c r="C38" s="398">
        <v>60</v>
      </c>
      <c r="D38" s="398">
        <v>0</v>
      </c>
      <c r="E38" s="398">
        <v>60</v>
      </c>
      <c r="H38" s="398">
        <f t="shared" si="21"/>
        <v>0</v>
      </c>
      <c r="I38" s="398">
        <f t="shared" si="21"/>
        <v>0</v>
      </c>
      <c r="J38" s="398">
        <f t="shared" si="21"/>
        <v>0</v>
      </c>
      <c r="K38" s="398">
        <f t="shared" si="21"/>
        <v>0</v>
      </c>
      <c r="L38" s="398">
        <f t="shared" si="21"/>
        <v>0</v>
      </c>
      <c r="M38" s="398">
        <f t="shared" si="21"/>
        <v>0</v>
      </c>
      <c r="N38" s="398">
        <f t="shared" si="21"/>
        <v>0</v>
      </c>
      <c r="O38" s="398">
        <f t="shared" si="21"/>
        <v>0</v>
      </c>
      <c r="P38" s="398">
        <f t="shared" si="21"/>
        <v>0</v>
      </c>
      <c r="Q38" s="398">
        <f t="shared" si="21"/>
        <v>0</v>
      </c>
      <c r="R38" s="398">
        <f t="shared" si="21"/>
        <v>0</v>
      </c>
      <c r="S38" s="398">
        <f t="shared" si="21"/>
        <v>0</v>
      </c>
      <c r="T38" s="398">
        <f t="shared" si="21"/>
        <v>0</v>
      </c>
      <c r="U38" s="398">
        <f t="shared" si="21"/>
        <v>0</v>
      </c>
      <c r="V38" s="398">
        <f t="shared" si="21"/>
        <v>60</v>
      </c>
      <c r="W38" s="398">
        <f t="shared" si="21"/>
        <v>0</v>
      </c>
      <c r="X38" s="398">
        <f>SUM(X13)</f>
        <v>0</v>
      </c>
      <c r="Y38" s="398">
        <f>SUM(Y13)</f>
        <v>0</v>
      </c>
      <c r="Z38" s="398">
        <f t="shared" si="14"/>
        <v>60</v>
      </c>
      <c r="AB38" s="398">
        <f t="shared" si="22"/>
        <v>0</v>
      </c>
      <c r="AC38" s="398">
        <f t="shared" si="22"/>
        <v>0</v>
      </c>
      <c r="AD38" s="398">
        <f t="shared" si="22"/>
        <v>0</v>
      </c>
      <c r="AE38" s="398">
        <f t="shared" si="22"/>
        <v>0</v>
      </c>
      <c r="AF38" s="398">
        <f t="shared" si="22"/>
        <v>0</v>
      </c>
      <c r="AG38" s="398">
        <f t="shared" si="22"/>
        <v>0</v>
      </c>
      <c r="AH38" s="398">
        <f t="shared" si="22"/>
        <v>0</v>
      </c>
      <c r="AI38" s="398">
        <f t="shared" si="22"/>
        <v>0</v>
      </c>
      <c r="AJ38" s="398">
        <f t="shared" si="22"/>
        <v>0</v>
      </c>
      <c r="AK38" s="398">
        <f t="shared" si="22"/>
        <v>0</v>
      </c>
      <c r="AL38" s="398">
        <f t="shared" si="22"/>
        <v>0</v>
      </c>
      <c r="AM38" s="398">
        <f t="shared" si="22"/>
        <v>0</v>
      </c>
      <c r="AN38" s="398">
        <f t="shared" si="22"/>
        <v>0</v>
      </c>
      <c r="AO38" s="398">
        <f t="shared" si="22"/>
        <v>0</v>
      </c>
      <c r="AP38" s="398">
        <f t="shared" si="22"/>
        <v>0</v>
      </c>
      <c r="AQ38" s="398">
        <f t="shared" si="22"/>
        <v>0</v>
      </c>
      <c r="AR38" s="398">
        <f>SUM(AR13)</f>
        <v>0</v>
      </c>
      <c r="AS38" s="398">
        <f>SUM(AS13)</f>
        <v>0</v>
      </c>
      <c r="AT38" s="398">
        <f t="shared" si="16"/>
        <v>0</v>
      </c>
      <c r="AV38" s="398">
        <v>0</v>
      </c>
      <c r="AW38" s="398">
        <v>0</v>
      </c>
      <c r="AX38" s="398">
        <v>0</v>
      </c>
      <c r="AY38" s="398">
        <v>0</v>
      </c>
      <c r="AZ38" s="398">
        <v>0</v>
      </c>
      <c r="BA38" s="398">
        <v>0</v>
      </c>
      <c r="BB38" s="398">
        <v>0</v>
      </c>
      <c r="BC38" s="398">
        <v>0</v>
      </c>
      <c r="BD38" s="398">
        <v>0</v>
      </c>
      <c r="BE38" s="398">
        <v>0</v>
      </c>
      <c r="BF38" s="398">
        <v>0</v>
      </c>
      <c r="BG38" s="398">
        <v>0</v>
      </c>
      <c r="BH38" s="398">
        <v>0</v>
      </c>
      <c r="BI38" s="398">
        <v>0</v>
      </c>
      <c r="BJ38" s="398">
        <v>60</v>
      </c>
      <c r="BK38" s="398">
        <v>0</v>
      </c>
      <c r="BL38" s="398">
        <v>0</v>
      </c>
      <c r="BM38" s="398">
        <v>0</v>
      </c>
      <c r="BN38" s="398">
        <v>60</v>
      </c>
      <c r="BP38" s="400">
        <v>600000</v>
      </c>
      <c r="BQ38" s="400">
        <v>933365.2</v>
      </c>
      <c r="BR38" s="400">
        <v>0</v>
      </c>
      <c r="BS38" s="400">
        <v>0</v>
      </c>
      <c r="BT38" s="400">
        <v>0</v>
      </c>
      <c r="BU38" s="400">
        <v>1533365.2</v>
      </c>
      <c r="BV38" s="400">
        <v>0</v>
      </c>
      <c r="BW38" s="400">
        <v>1533365.2</v>
      </c>
    </row>
    <row r="39" spans="1:84" ht="15" thickBot="1" x14ac:dyDescent="0.35">
      <c r="C39" s="407">
        <v>689</v>
      </c>
      <c r="D39" s="407">
        <v>27</v>
      </c>
      <c r="E39" s="407">
        <v>716</v>
      </c>
      <c r="H39" s="407">
        <f>SUM(H31:H38)</f>
        <v>0</v>
      </c>
      <c r="I39" s="407">
        <f t="shared" ref="I39:Z39" si="23">SUM(I31:I38)</f>
        <v>0</v>
      </c>
      <c r="J39" s="407">
        <f t="shared" si="23"/>
        <v>19</v>
      </c>
      <c r="K39" s="407">
        <f t="shared" si="23"/>
        <v>13</v>
      </c>
      <c r="L39" s="407">
        <f t="shared" si="23"/>
        <v>35</v>
      </c>
      <c r="M39" s="407">
        <f t="shared" si="23"/>
        <v>1</v>
      </c>
      <c r="N39" s="407">
        <f t="shared" si="23"/>
        <v>0</v>
      </c>
      <c r="O39" s="407">
        <f t="shared" si="23"/>
        <v>0</v>
      </c>
      <c r="P39" s="407">
        <f t="shared" si="23"/>
        <v>26</v>
      </c>
      <c r="Q39" s="407">
        <f t="shared" si="23"/>
        <v>36</v>
      </c>
      <c r="R39" s="407">
        <f t="shared" si="23"/>
        <v>56</v>
      </c>
      <c r="S39" s="407">
        <f t="shared" si="23"/>
        <v>2</v>
      </c>
      <c r="T39" s="407">
        <f t="shared" si="23"/>
        <v>0</v>
      </c>
      <c r="U39" s="407">
        <f t="shared" si="23"/>
        <v>6</v>
      </c>
      <c r="V39" s="407">
        <f t="shared" si="23"/>
        <v>158</v>
      </c>
      <c r="W39" s="407">
        <f t="shared" si="23"/>
        <v>190</v>
      </c>
      <c r="X39" s="407">
        <f t="shared" si="23"/>
        <v>142</v>
      </c>
      <c r="Y39" s="407">
        <f t="shared" si="23"/>
        <v>5</v>
      </c>
      <c r="Z39" s="407">
        <f t="shared" si="23"/>
        <v>689</v>
      </c>
      <c r="AB39" s="407">
        <f>SUM(AB31:AB38)</f>
        <v>0</v>
      </c>
      <c r="AC39" s="407">
        <f t="shared" ref="AC39:AT39" si="24">SUM(AC31:AC38)</f>
        <v>0</v>
      </c>
      <c r="AD39" s="407">
        <f t="shared" si="24"/>
        <v>0</v>
      </c>
      <c r="AE39" s="407">
        <f t="shared" si="24"/>
        <v>0</v>
      </c>
      <c r="AF39" s="407">
        <f t="shared" si="24"/>
        <v>1</v>
      </c>
      <c r="AG39" s="407">
        <f t="shared" si="24"/>
        <v>0</v>
      </c>
      <c r="AH39" s="407">
        <f t="shared" si="24"/>
        <v>0</v>
      </c>
      <c r="AI39" s="407">
        <f t="shared" si="24"/>
        <v>0</v>
      </c>
      <c r="AJ39" s="407">
        <f t="shared" si="24"/>
        <v>0</v>
      </c>
      <c r="AK39" s="407">
        <f t="shared" si="24"/>
        <v>0</v>
      </c>
      <c r="AL39" s="407">
        <f t="shared" si="24"/>
        <v>0</v>
      </c>
      <c r="AM39" s="407">
        <f t="shared" si="24"/>
        <v>0</v>
      </c>
      <c r="AN39" s="407">
        <f t="shared" si="24"/>
        <v>0</v>
      </c>
      <c r="AO39" s="407">
        <f t="shared" si="24"/>
        <v>0</v>
      </c>
      <c r="AP39" s="407">
        <f t="shared" si="24"/>
        <v>4</v>
      </c>
      <c r="AQ39" s="407">
        <f t="shared" si="24"/>
        <v>14</v>
      </c>
      <c r="AR39" s="407">
        <f t="shared" si="24"/>
        <v>8</v>
      </c>
      <c r="AS39" s="407">
        <f t="shared" si="24"/>
        <v>0</v>
      </c>
      <c r="AT39" s="407">
        <f t="shared" si="24"/>
        <v>27</v>
      </c>
      <c r="AV39" s="407">
        <v>0</v>
      </c>
      <c r="AW39" s="407">
        <v>0</v>
      </c>
      <c r="AX39" s="407">
        <v>19</v>
      </c>
      <c r="AY39" s="407">
        <v>13</v>
      </c>
      <c r="AZ39" s="407">
        <v>36</v>
      </c>
      <c r="BA39" s="407">
        <v>1</v>
      </c>
      <c r="BB39" s="407">
        <v>0</v>
      </c>
      <c r="BC39" s="407">
        <v>0</v>
      </c>
      <c r="BD39" s="407">
        <v>26</v>
      </c>
      <c r="BE39" s="407">
        <v>36</v>
      </c>
      <c r="BF39" s="407">
        <v>56</v>
      </c>
      <c r="BG39" s="407">
        <v>2</v>
      </c>
      <c r="BH39" s="407">
        <v>0</v>
      </c>
      <c r="BI39" s="407">
        <v>6</v>
      </c>
      <c r="BJ39" s="407">
        <v>162</v>
      </c>
      <c r="BK39" s="407">
        <v>204</v>
      </c>
      <c r="BL39" s="407">
        <v>150</v>
      </c>
      <c r="BM39" s="407">
        <v>5</v>
      </c>
      <c r="BN39" s="407">
        <v>716</v>
      </c>
      <c r="BP39" s="408">
        <v>7160000</v>
      </c>
      <c r="BQ39" s="408">
        <v>7814989.0036897566</v>
      </c>
      <c r="BR39" s="408">
        <v>376295</v>
      </c>
      <c r="BS39" s="408">
        <v>45365</v>
      </c>
      <c r="BT39" s="408">
        <v>86224.39</v>
      </c>
      <c r="BU39" s="408">
        <v>15482873.393689755</v>
      </c>
      <c r="BV39" s="408">
        <v>259272</v>
      </c>
      <c r="BW39" s="408">
        <v>15742145.393689755</v>
      </c>
    </row>
    <row r="46" spans="1:84" x14ac:dyDescent="0.3">
      <c r="A46" s="401">
        <v>1</v>
      </c>
      <c r="B46" s="401">
        <v>2</v>
      </c>
      <c r="C46" s="401">
        <v>3</v>
      </c>
      <c r="D46" s="401">
        <v>4</v>
      </c>
      <c r="E46" s="401">
        <v>5</v>
      </c>
      <c r="F46" s="401">
        <v>6</v>
      </c>
      <c r="G46" s="401">
        <v>25</v>
      </c>
      <c r="H46" s="401">
        <v>26</v>
      </c>
      <c r="I46" s="401">
        <v>27</v>
      </c>
      <c r="J46" s="401">
        <v>28</v>
      </c>
      <c r="K46" s="401">
        <v>29</v>
      </c>
      <c r="L46" s="401">
        <v>30</v>
      </c>
      <c r="M46" s="401">
        <v>31</v>
      </c>
      <c r="N46" s="401">
        <v>32</v>
      </c>
      <c r="O46" s="401">
        <v>33</v>
      </c>
      <c r="P46" s="401">
        <v>34</v>
      </c>
      <c r="Q46" s="401">
        <v>35</v>
      </c>
      <c r="R46" s="401">
        <v>36</v>
      </c>
      <c r="S46" s="401">
        <v>37</v>
      </c>
      <c r="T46" s="401">
        <v>38</v>
      </c>
      <c r="U46" s="401">
        <v>39</v>
      </c>
      <c r="V46" s="401">
        <v>40</v>
      </c>
      <c r="W46" s="401">
        <v>41</v>
      </c>
      <c r="X46" s="401">
        <v>42</v>
      </c>
      <c r="Y46" s="401">
        <v>43</v>
      </c>
      <c r="Z46" s="401">
        <v>44</v>
      </c>
      <c r="AA46" s="401">
        <v>45</v>
      </c>
      <c r="AB46" s="401">
        <v>46</v>
      </c>
      <c r="AC46" s="401">
        <v>47</v>
      </c>
      <c r="AD46" s="401">
        <v>48</v>
      </c>
      <c r="AE46" s="401">
        <v>49</v>
      </c>
      <c r="AF46" s="401">
        <v>50</v>
      </c>
      <c r="AG46" s="401">
        <v>51</v>
      </c>
      <c r="AH46" s="401">
        <v>52</v>
      </c>
      <c r="AI46" s="401">
        <v>53</v>
      </c>
      <c r="AJ46" s="401">
        <v>54</v>
      </c>
      <c r="AK46" s="401">
        <v>55</v>
      </c>
      <c r="AL46" s="401">
        <v>56</v>
      </c>
      <c r="AM46" s="401">
        <v>57</v>
      </c>
      <c r="AN46" s="401">
        <v>58</v>
      </c>
      <c r="AO46" s="401">
        <v>59</v>
      </c>
      <c r="AP46" s="401">
        <v>60</v>
      </c>
      <c r="AQ46" s="401">
        <v>61</v>
      </c>
      <c r="AR46" s="401">
        <v>62</v>
      </c>
      <c r="AS46" s="401">
        <v>63</v>
      </c>
      <c r="AT46" s="401">
        <v>64</v>
      </c>
      <c r="AU46" s="401">
        <v>65</v>
      </c>
      <c r="AV46" s="401">
        <v>66</v>
      </c>
      <c r="AW46" s="401">
        <v>67</v>
      </c>
      <c r="AX46" s="401">
        <v>68</v>
      </c>
      <c r="AY46" s="401">
        <v>69</v>
      </c>
      <c r="AZ46" s="401">
        <v>70</v>
      </c>
      <c r="BA46" s="401">
        <v>71</v>
      </c>
      <c r="BB46" s="401">
        <v>72</v>
      </c>
      <c r="BC46" s="401">
        <v>73</v>
      </c>
      <c r="BD46" s="401">
        <v>74</v>
      </c>
      <c r="BE46" s="401">
        <v>75</v>
      </c>
      <c r="BF46" s="401">
        <v>76</v>
      </c>
      <c r="BG46" s="401">
        <v>77</v>
      </c>
      <c r="BH46" s="401">
        <v>78</v>
      </c>
      <c r="BI46" s="401">
        <v>79</v>
      </c>
      <c r="BJ46" s="401">
        <v>80</v>
      </c>
      <c r="BK46" s="401">
        <v>81</v>
      </c>
      <c r="BL46" s="401">
        <v>82</v>
      </c>
      <c r="BM46" s="401">
        <v>83</v>
      </c>
      <c r="BN46" s="401">
        <v>84</v>
      </c>
      <c r="BO46" s="401">
        <v>85</v>
      </c>
      <c r="BP46" s="401">
        <v>86</v>
      </c>
      <c r="BQ46" s="401">
        <v>87</v>
      </c>
      <c r="BR46" s="401">
        <v>88</v>
      </c>
      <c r="BS46" s="401"/>
      <c r="BT46" s="401">
        <v>89</v>
      </c>
      <c r="BU46" s="401">
        <v>90</v>
      </c>
      <c r="BV46" s="401">
        <v>91</v>
      </c>
      <c r="BW46" s="401">
        <v>92</v>
      </c>
      <c r="BX46" s="401">
        <v>93</v>
      </c>
      <c r="BY46" s="401">
        <v>94</v>
      </c>
      <c r="BZ46" s="401">
        <v>95</v>
      </c>
      <c r="CA46" s="401">
        <v>96</v>
      </c>
      <c r="CB46" s="401">
        <v>97</v>
      </c>
      <c r="CC46" s="401">
        <v>98</v>
      </c>
      <c r="CD46" s="401">
        <v>99</v>
      </c>
      <c r="CE46" s="401">
        <v>100</v>
      </c>
      <c r="CF46" s="401">
        <v>101</v>
      </c>
    </row>
  </sheetData>
  <sheetProtection password="EF5C" sheet="1" objects="1" scenarios="1"/>
  <mergeCells count="3">
    <mergeCell ref="H2:Y2"/>
    <mergeCell ref="AB2:AS2"/>
    <mergeCell ref="AV2:BM2"/>
  </mergeCells>
  <pageMargins left="0.70866141732283472" right="0.70866141732283472" top="0.74803149606299213" bottom="0.74803149606299213" header="0.31496062992125984" footer="0.31496062992125984"/>
  <pageSetup paperSize="8" scale="22" orientation="landscape"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62"/>
  <sheetViews>
    <sheetView workbookViewId="0">
      <selection activeCell="F19" sqref="F19"/>
    </sheetView>
  </sheetViews>
  <sheetFormatPr defaultColWidth="9.109375" defaultRowHeight="13.2" x14ac:dyDescent="0.25"/>
  <cols>
    <col min="1" max="1" width="50.44140625" style="1048" customWidth="1"/>
    <col min="2" max="2" width="10.44140625" style="77" bestFit="1" customWidth="1"/>
    <col min="3" max="3" width="11.5546875" style="1167" customWidth="1"/>
    <col min="4" max="5" width="9.109375" style="77" customWidth="1"/>
    <col min="6" max="8" width="9.109375" style="59" customWidth="1"/>
    <col min="9" max="9" width="70.5546875" style="59" bestFit="1" customWidth="1"/>
    <col min="10" max="10" width="9.5546875" style="59" bestFit="1" customWidth="1"/>
    <col min="11" max="15" width="9.109375" style="59" customWidth="1"/>
    <col min="16" max="16384" width="9.109375" style="59"/>
  </cols>
  <sheetData>
    <row r="1" spans="1:10" ht="12.75" x14ac:dyDescent="0.2">
      <c r="A1" s="77" t="s">
        <v>502</v>
      </c>
      <c r="C1" s="1167">
        <v>12345</v>
      </c>
      <c r="D1" s="1045"/>
      <c r="I1" s="59" t="s">
        <v>502</v>
      </c>
      <c r="J1" s="59">
        <v>12345</v>
      </c>
    </row>
    <row r="2" spans="1:10" ht="12.75" x14ac:dyDescent="0.2">
      <c r="A2" s="1046" t="s">
        <v>116</v>
      </c>
      <c r="B2" s="1046"/>
      <c r="C2" s="1046" t="s">
        <v>117</v>
      </c>
      <c r="D2" s="77">
        <v>6</v>
      </c>
      <c r="E2" s="77">
        <v>6</v>
      </c>
      <c r="I2" s="59" t="s">
        <v>116</v>
      </c>
      <c r="J2" s="59" t="s">
        <v>117</v>
      </c>
    </row>
    <row r="3" spans="1:10" ht="12.75" x14ac:dyDescent="0.2">
      <c r="A3" s="1047" t="s">
        <v>238</v>
      </c>
      <c r="B3" s="77" t="s">
        <v>239</v>
      </c>
      <c r="C3" s="77">
        <v>206189</v>
      </c>
      <c r="D3" s="77" t="s">
        <v>240</v>
      </c>
      <c r="E3" s="77">
        <v>4</v>
      </c>
      <c r="I3" s="1047" t="s">
        <v>238</v>
      </c>
      <c r="J3" s="59">
        <v>206189</v>
      </c>
    </row>
    <row r="4" spans="1:10" ht="12.75" x14ac:dyDescent="0.2">
      <c r="A4" s="1133" t="s">
        <v>1301</v>
      </c>
      <c r="B4" s="1133"/>
      <c r="C4" s="1168">
        <v>2014</v>
      </c>
      <c r="D4" s="1134"/>
      <c r="E4" s="1134"/>
      <c r="I4" s="1133" t="s">
        <v>1301</v>
      </c>
      <c r="J4" s="59">
        <v>2014</v>
      </c>
    </row>
    <row r="5" spans="1:10" ht="12.75" x14ac:dyDescent="0.2">
      <c r="A5" s="1047" t="s">
        <v>10</v>
      </c>
      <c r="C5" s="1169">
        <v>2012</v>
      </c>
      <c r="I5" s="1047" t="s">
        <v>10</v>
      </c>
      <c r="J5" s="59">
        <v>2012</v>
      </c>
    </row>
    <row r="6" spans="1:10" ht="12.75" x14ac:dyDescent="0.2">
      <c r="A6" s="1047" t="s">
        <v>73</v>
      </c>
      <c r="C6" s="1167">
        <v>5414</v>
      </c>
      <c r="I6" s="1047" t="s">
        <v>73</v>
      </c>
      <c r="J6" s="59">
        <v>5414</v>
      </c>
    </row>
    <row r="7" spans="1:10" ht="12.75" x14ac:dyDescent="0.2">
      <c r="A7" s="1047" t="s">
        <v>846</v>
      </c>
      <c r="C7" s="1167">
        <v>4000</v>
      </c>
      <c r="I7" s="1047" t="s">
        <v>846</v>
      </c>
      <c r="J7" s="59">
        <v>4000</v>
      </c>
    </row>
    <row r="8" spans="1:10" ht="12.75" x14ac:dyDescent="0.2">
      <c r="A8" s="1047" t="s">
        <v>11</v>
      </c>
      <c r="B8" s="77" t="s">
        <v>191</v>
      </c>
      <c r="C8" s="77">
        <v>2443</v>
      </c>
      <c r="D8" s="77" t="s">
        <v>195</v>
      </c>
      <c r="E8" s="77">
        <v>1</v>
      </c>
      <c r="I8" s="1047" t="s">
        <v>11</v>
      </c>
      <c r="J8" s="59">
        <v>2443</v>
      </c>
    </row>
    <row r="9" spans="1:10" ht="12.75" x14ac:dyDescent="0.2">
      <c r="A9" s="1047" t="s">
        <v>94</v>
      </c>
      <c r="C9" s="1167">
        <v>2442</v>
      </c>
      <c r="I9" s="1047" t="s">
        <v>94</v>
      </c>
      <c r="J9" s="59">
        <v>2442</v>
      </c>
    </row>
    <row r="10" spans="1:10" ht="12.75" x14ac:dyDescent="0.2">
      <c r="A10" s="1047" t="s">
        <v>241</v>
      </c>
      <c r="C10" s="77" t="s">
        <v>242</v>
      </c>
      <c r="D10" s="77" t="s">
        <v>240</v>
      </c>
      <c r="E10" s="77">
        <v>4</v>
      </c>
      <c r="I10" s="1047" t="s">
        <v>241</v>
      </c>
      <c r="J10" s="59" t="s">
        <v>242</v>
      </c>
    </row>
    <row r="11" spans="1:10" ht="12.75" x14ac:dyDescent="0.2">
      <c r="A11" s="1047" t="s">
        <v>13</v>
      </c>
      <c r="B11" s="77" t="s">
        <v>193</v>
      </c>
      <c r="C11" s="77">
        <v>2629</v>
      </c>
      <c r="D11" s="77" t="s">
        <v>195</v>
      </c>
      <c r="E11" s="77">
        <v>1</v>
      </c>
      <c r="I11" s="1047" t="s">
        <v>13</v>
      </c>
      <c r="J11" s="59">
        <v>2629</v>
      </c>
    </row>
    <row r="12" spans="1:10" ht="12.75" x14ac:dyDescent="0.2">
      <c r="A12" s="1047" t="s">
        <v>14</v>
      </c>
      <c r="C12" s="1167">
        <v>2509</v>
      </c>
      <c r="I12" s="1047" t="s">
        <v>14</v>
      </c>
      <c r="J12" s="59">
        <v>2509</v>
      </c>
    </row>
    <row r="13" spans="1:10" ht="12.75" x14ac:dyDescent="0.2">
      <c r="A13" s="1047" t="s">
        <v>2</v>
      </c>
      <c r="B13" s="77" t="s">
        <v>194</v>
      </c>
      <c r="C13" s="77">
        <v>1014</v>
      </c>
      <c r="D13" s="77" t="s">
        <v>192</v>
      </c>
      <c r="E13" s="77">
        <v>2</v>
      </c>
      <c r="I13" s="1047" t="s">
        <v>2</v>
      </c>
      <c r="J13" s="59">
        <v>1014</v>
      </c>
    </row>
    <row r="14" spans="1:10" ht="12.75" x14ac:dyDescent="0.2">
      <c r="A14" s="1047" t="s">
        <v>15</v>
      </c>
      <c r="C14" s="1167">
        <v>2005</v>
      </c>
      <c r="I14" s="1047" t="s">
        <v>15</v>
      </c>
      <c r="J14" s="59">
        <v>2005</v>
      </c>
    </row>
    <row r="15" spans="1:10" ht="12.75" x14ac:dyDescent="0.2">
      <c r="A15" s="1047" t="s">
        <v>16</v>
      </c>
      <c r="B15" s="77" t="s">
        <v>196</v>
      </c>
      <c r="C15" s="77">
        <v>2464</v>
      </c>
      <c r="D15" s="77" t="s">
        <v>195</v>
      </c>
      <c r="E15" s="77">
        <v>1</v>
      </c>
      <c r="I15" s="1047" t="s">
        <v>16</v>
      </c>
      <c r="J15" s="59">
        <v>2464</v>
      </c>
    </row>
    <row r="16" spans="1:10" ht="12.75" x14ac:dyDescent="0.2">
      <c r="A16" s="1047" t="s">
        <v>706</v>
      </c>
      <c r="C16" s="77" t="s">
        <v>708</v>
      </c>
      <c r="D16" s="77" t="s">
        <v>240</v>
      </c>
      <c r="E16" s="77">
        <v>4</v>
      </c>
      <c r="I16" s="1047" t="s">
        <v>706</v>
      </c>
      <c r="J16" s="59" t="s">
        <v>708</v>
      </c>
    </row>
    <row r="17" spans="1:10" ht="12.75" x14ac:dyDescent="0.2">
      <c r="A17" s="1047" t="s">
        <v>17</v>
      </c>
      <c r="B17" s="77" t="s">
        <v>197</v>
      </c>
      <c r="C17" s="77">
        <v>2004</v>
      </c>
      <c r="D17" s="77" t="s">
        <v>195</v>
      </c>
      <c r="E17" s="77">
        <v>1</v>
      </c>
      <c r="I17" s="1047" t="s">
        <v>17</v>
      </c>
      <c r="J17" s="59">
        <v>2004</v>
      </c>
    </row>
    <row r="18" spans="1:10" ht="12.75" x14ac:dyDescent="0.2">
      <c r="A18" s="1047" t="s">
        <v>18</v>
      </c>
      <c r="B18" s="77" t="s">
        <v>198</v>
      </c>
      <c r="C18" s="77">
        <v>2405</v>
      </c>
      <c r="D18" s="77" t="s">
        <v>195</v>
      </c>
      <c r="E18" s="77">
        <v>1</v>
      </c>
      <c r="I18" s="1047" t="s">
        <v>18</v>
      </c>
      <c r="J18" s="59">
        <v>2405</v>
      </c>
    </row>
    <row r="19" spans="1:10" ht="12.75" x14ac:dyDescent="0.2">
      <c r="A19" s="1047" t="s">
        <v>243</v>
      </c>
      <c r="B19" s="77" t="s">
        <v>244</v>
      </c>
      <c r="C19" s="77" t="s">
        <v>245</v>
      </c>
      <c r="D19" s="77" t="s">
        <v>240</v>
      </c>
      <c r="E19" s="77">
        <v>4</v>
      </c>
      <c r="I19" s="1047" t="s">
        <v>243</v>
      </c>
      <c r="J19" s="59" t="s">
        <v>245</v>
      </c>
    </row>
    <row r="20" spans="1:10" ht="12.75" x14ac:dyDescent="0.2">
      <c r="A20" s="1047" t="s">
        <v>250</v>
      </c>
      <c r="C20" s="77" t="s">
        <v>709</v>
      </c>
      <c r="D20" s="77" t="s">
        <v>240</v>
      </c>
      <c r="E20" s="77">
        <v>4</v>
      </c>
      <c r="I20" s="1047" t="s">
        <v>250</v>
      </c>
      <c r="J20" s="59" t="s">
        <v>709</v>
      </c>
    </row>
    <row r="21" spans="1:10" ht="12.75" x14ac:dyDescent="0.2">
      <c r="A21" s="1047" t="s">
        <v>246</v>
      </c>
      <c r="C21" s="77" t="s">
        <v>247</v>
      </c>
      <c r="D21" s="77" t="s">
        <v>240</v>
      </c>
      <c r="E21" s="77">
        <v>4</v>
      </c>
      <c r="I21" s="1047" t="s">
        <v>246</v>
      </c>
      <c r="J21" s="59" t="s">
        <v>247</v>
      </c>
    </row>
    <row r="22" spans="1:10" ht="12" customHeight="1" x14ac:dyDescent="0.2">
      <c r="A22" s="1047" t="s">
        <v>248</v>
      </c>
      <c r="C22" s="77" t="s">
        <v>249</v>
      </c>
      <c r="D22" s="77" t="s">
        <v>240</v>
      </c>
      <c r="E22" s="77">
        <v>4</v>
      </c>
      <c r="I22" s="1047" t="s">
        <v>248</v>
      </c>
      <c r="J22" s="59" t="s">
        <v>249</v>
      </c>
    </row>
    <row r="23" spans="1:10" x14ac:dyDescent="0.25">
      <c r="A23" s="1047" t="s">
        <v>19</v>
      </c>
      <c r="B23" s="77" t="s">
        <v>199</v>
      </c>
      <c r="C23" s="1134">
        <v>2011</v>
      </c>
      <c r="D23" s="77" t="s">
        <v>195</v>
      </c>
      <c r="E23" s="77">
        <v>1</v>
      </c>
      <c r="I23" s="1047" t="s">
        <v>19</v>
      </c>
      <c r="J23" s="59">
        <v>2011</v>
      </c>
    </row>
    <row r="24" spans="1:10" x14ac:dyDescent="0.25">
      <c r="A24" s="1047" t="s">
        <v>251</v>
      </c>
      <c r="C24" s="77" t="s">
        <v>252</v>
      </c>
      <c r="D24" s="77" t="s">
        <v>240</v>
      </c>
      <c r="E24" s="77">
        <v>4</v>
      </c>
      <c r="I24" s="1047" t="s">
        <v>251</v>
      </c>
      <c r="J24" s="59" t="s">
        <v>252</v>
      </c>
    </row>
    <row r="25" spans="1:10" x14ac:dyDescent="0.25">
      <c r="A25" s="1047" t="s">
        <v>20</v>
      </c>
      <c r="B25" s="77" t="s">
        <v>200</v>
      </c>
      <c r="C25" s="77">
        <v>5201</v>
      </c>
      <c r="D25" s="77" t="s">
        <v>195</v>
      </c>
      <c r="E25" s="77">
        <v>1</v>
      </c>
      <c r="I25" s="1047" t="s">
        <v>20</v>
      </c>
      <c r="J25" s="59">
        <v>5201</v>
      </c>
    </row>
    <row r="26" spans="1:10" x14ac:dyDescent="0.25">
      <c r="A26" s="1047" t="s">
        <v>253</v>
      </c>
      <c r="B26" s="77" t="s">
        <v>254</v>
      </c>
      <c r="C26" s="77">
        <v>206124</v>
      </c>
      <c r="D26" s="77" t="s">
        <v>255</v>
      </c>
      <c r="E26" s="77">
        <v>3</v>
      </c>
      <c r="I26" s="1047" t="s">
        <v>253</v>
      </c>
      <c r="J26" s="59">
        <v>206124</v>
      </c>
    </row>
    <row r="27" spans="1:10" x14ac:dyDescent="0.25">
      <c r="A27" s="1047" t="s">
        <v>21</v>
      </c>
      <c r="B27" s="77" t="s">
        <v>201</v>
      </c>
      <c r="C27" s="77">
        <v>2433</v>
      </c>
      <c r="D27" s="77" t="s">
        <v>195</v>
      </c>
      <c r="E27" s="77">
        <v>1</v>
      </c>
      <c r="I27" s="1047" t="s">
        <v>21</v>
      </c>
      <c r="J27" s="59">
        <v>2433</v>
      </c>
    </row>
    <row r="28" spans="1:10" x14ac:dyDescent="0.25">
      <c r="A28" s="1047" t="s">
        <v>22</v>
      </c>
      <c r="C28" s="1167">
        <v>2432</v>
      </c>
      <c r="I28" s="1047" t="s">
        <v>22</v>
      </c>
      <c r="J28" s="59">
        <v>2432</v>
      </c>
    </row>
    <row r="29" spans="1:10" x14ac:dyDescent="0.25">
      <c r="A29" s="1047" t="s">
        <v>256</v>
      </c>
      <c r="B29" s="77" t="s">
        <v>257</v>
      </c>
      <c r="C29" s="77" t="s">
        <v>258</v>
      </c>
      <c r="D29" s="77" t="s">
        <v>255</v>
      </c>
      <c r="E29" s="77">
        <v>3</v>
      </c>
      <c r="I29" s="1047" t="s">
        <v>256</v>
      </c>
      <c r="J29" s="59" t="s">
        <v>258</v>
      </c>
    </row>
    <row r="30" spans="1:10" x14ac:dyDescent="0.25">
      <c r="A30" s="1047" t="s">
        <v>188</v>
      </c>
      <c r="B30" s="77" t="s">
        <v>202</v>
      </c>
      <c r="C30" s="77">
        <v>2447</v>
      </c>
      <c r="D30" s="77" t="s">
        <v>195</v>
      </c>
      <c r="E30" s="77">
        <v>1</v>
      </c>
      <c r="I30" s="1047" t="s">
        <v>188</v>
      </c>
      <c r="J30" s="59">
        <v>2447</v>
      </c>
    </row>
    <row r="31" spans="1:10" x14ac:dyDescent="0.25">
      <c r="A31" s="1047" t="s">
        <v>23</v>
      </c>
      <c r="B31" s="77" t="s">
        <v>203</v>
      </c>
      <c r="C31" s="77">
        <v>2512</v>
      </c>
      <c r="D31" s="77" t="s">
        <v>195</v>
      </c>
      <c r="E31" s="77">
        <v>1</v>
      </c>
      <c r="I31" s="1047" t="s">
        <v>23</v>
      </c>
      <c r="J31" s="59">
        <v>2512</v>
      </c>
    </row>
    <row r="32" spans="1:10" x14ac:dyDescent="0.25">
      <c r="A32" s="1047" t="s">
        <v>259</v>
      </c>
      <c r="B32" s="77" t="s">
        <v>260</v>
      </c>
      <c r="C32" s="77">
        <v>206126</v>
      </c>
      <c r="D32" s="77" t="s">
        <v>255</v>
      </c>
      <c r="E32" s="77">
        <v>3</v>
      </c>
      <c r="I32" s="1047" t="s">
        <v>259</v>
      </c>
      <c r="J32" s="59">
        <v>206126</v>
      </c>
    </row>
    <row r="33" spans="1:10" x14ac:dyDescent="0.25">
      <c r="A33" s="1047" t="s">
        <v>261</v>
      </c>
      <c r="B33" s="77" t="s">
        <v>262</v>
      </c>
      <c r="C33" s="77">
        <v>206111</v>
      </c>
      <c r="D33" s="77" t="s">
        <v>240</v>
      </c>
      <c r="E33" s="77">
        <v>4</v>
      </c>
      <c r="I33" s="1047" t="s">
        <v>261</v>
      </c>
      <c r="J33" s="59">
        <v>206111</v>
      </c>
    </row>
    <row r="34" spans="1:10" x14ac:dyDescent="0.25">
      <c r="A34" s="1047" t="s">
        <v>263</v>
      </c>
      <c r="B34" s="77" t="s">
        <v>264</v>
      </c>
      <c r="C34" s="77">
        <v>206091</v>
      </c>
      <c r="D34" s="77" t="s">
        <v>240</v>
      </c>
      <c r="E34" s="77">
        <v>4</v>
      </c>
      <c r="I34" s="1047" t="s">
        <v>263</v>
      </c>
      <c r="J34" s="59">
        <v>206091</v>
      </c>
    </row>
    <row r="35" spans="1:10" x14ac:dyDescent="0.25">
      <c r="A35" s="1047" t="s">
        <v>24</v>
      </c>
      <c r="B35" s="77" t="s">
        <v>204</v>
      </c>
      <c r="C35" s="77">
        <v>2456</v>
      </c>
      <c r="D35" s="77" t="s">
        <v>195</v>
      </c>
      <c r="E35" s="77">
        <v>1</v>
      </c>
      <c r="I35" s="1047" t="s">
        <v>24</v>
      </c>
      <c r="J35" s="59">
        <v>2456</v>
      </c>
    </row>
    <row r="36" spans="1:10" x14ac:dyDescent="0.25">
      <c r="A36" s="1047" t="s">
        <v>25</v>
      </c>
      <c r="B36" s="77" t="s">
        <v>206</v>
      </c>
      <c r="C36" s="77">
        <v>2449</v>
      </c>
      <c r="D36" s="77" t="s">
        <v>195</v>
      </c>
      <c r="E36" s="77">
        <v>1</v>
      </c>
      <c r="I36" s="1047" t="s">
        <v>25</v>
      </c>
      <c r="J36" s="59">
        <v>2449</v>
      </c>
    </row>
    <row r="37" spans="1:10" x14ac:dyDescent="0.25">
      <c r="A37" s="1047" t="s">
        <v>26</v>
      </c>
      <c r="B37" s="77" t="s">
        <v>568</v>
      </c>
      <c r="C37" s="1167">
        <v>2448</v>
      </c>
      <c r="I37" s="1047" t="s">
        <v>26</v>
      </c>
      <c r="J37" s="59">
        <v>2448</v>
      </c>
    </row>
    <row r="38" spans="1:10" x14ac:dyDescent="0.25">
      <c r="A38" s="1047" t="s">
        <v>4</v>
      </c>
      <c r="B38" s="77" t="s">
        <v>207</v>
      </c>
      <c r="C38" s="77">
        <v>1006</v>
      </c>
      <c r="D38" s="77" t="s">
        <v>192</v>
      </c>
      <c r="E38" s="77">
        <v>2</v>
      </c>
      <c r="I38" s="1047" t="s">
        <v>4</v>
      </c>
      <c r="J38" s="59">
        <v>1006</v>
      </c>
    </row>
    <row r="39" spans="1:10" x14ac:dyDescent="0.25">
      <c r="A39" s="1047" t="s">
        <v>27</v>
      </c>
      <c r="B39" s="77" t="s">
        <v>208</v>
      </c>
      <c r="C39" s="77">
        <v>2467</v>
      </c>
      <c r="D39" s="77" t="s">
        <v>195</v>
      </c>
      <c r="E39" s="77">
        <v>1</v>
      </c>
      <c r="I39" s="1047" t="s">
        <v>27</v>
      </c>
      <c r="J39" s="59">
        <v>2467</v>
      </c>
    </row>
    <row r="40" spans="1:10" x14ac:dyDescent="0.25">
      <c r="A40" s="1134" t="s">
        <v>1373</v>
      </c>
      <c r="B40" s="1134"/>
      <c r="C40" s="1134">
        <v>484300</v>
      </c>
      <c r="D40" s="1142" t="s">
        <v>255</v>
      </c>
      <c r="E40" s="77">
        <v>3</v>
      </c>
      <c r="I40" s="1134" t="s">
        <v>1373</v>
      </c>
      <c r="J40" s="59">
        <v>484300</v>
      </c>
    </row>
    <row r="41" spans="1:10" x14ac:dyDescent="0.25">
      <c r="A41" s="1047" t="s">
        <v>75</v>
      </c>
      <c r="C41" s="1167">
        <v>5402</v>
      </c>
      <c r="I41" s="1047" t="s">
        <v>75</v>
      </c>
      <c r="J41" s="59">
        <v>5402</v>
      </c>
    </row>
    <row r="42" spans="1:10" x14ac:dyDescent="0.25">
      <c r="A42" s="1047" t="s">
        <v>28</v>
      </c>
      <c r="C42" s="1167">
        <v>2455</v>
      </c>
      <c r="I42" s="1047" t="s">
        <v>28</v>
      </c>
      <c r="J42" s="59">
        <v>2455</v>
      </c>
    </row>
    <row r="43" spans="1:10" x14ac:dyDescent="0.25">
      <c r="A43" s="1047" t="s">
        <v>29</v>
      </c>
      <c r="C43" s="1167">
        <v>5203</v>
      </c>
      <c r="I43" s="1047" t="s">
        <v>29</v>
      </c>
      <c r="J43" s="59">
        <v>5203</v>
      </c>
    </row>
    <row r="44" spans="1:10" x14ac:dyDescent="0.25">
      <c r="A44" s="1047" t="s">
        <v>30</v>
      </c>
      <c r="B44" s="77" t="s">
        <v>209</v>
      </c>
      <c r="C44" s="77">
        <v>2451</v>
      </c>
      <c r="D44" s="77" t="s">
        <v>195</v>
      </c>
      <c r="E44" s="77">
        <v>1</v>
      </c>
      <c r="I44" s="1047" t="s">
        <v>30</v>
      </c>
      <c r="J44" s="59">
        <v>2451</v>
      </c>
    </row>
    <row r="45" spans="1:10" x14ac:dyDescent="0.25">
      <c r="A45" s="1047" t="s">
        <v>265</v>
      </c>
      <c r="C45" s="77" t="s">
        <v>266</v>
      </c>
      <c r="D45" s="77" t="s">
        <v>240</v>
      </c>
      <c r="E45" s="77">
        <v>4</v>
      </c>
      <c r="I45" s="1047" t="s">
        <v>265</v>
      </c>
      <c r="J45" s="59" t="s">
        <v>266</v>
      </c>
    </row>
    <row r="46" spans="1:10" x14ac:dyDescent="0.25">
      <c r="A46" s="1047" t="s">
        <v>267</v>
      </c>
      <c r="B46" s="77" t="s">
        <v>268</v>
      </c>
      <c r="C46" s="77">
        <v>206128</v>
      </c>
      <c r="D46" s="77" t="s">
        <v>255</v>
      </c>
      <c r="E46" s="77">
        <v>3</v>
      </c>
      <c r="I46" s="1047" t="s">
        <v>267</v>
      </c>
      <c r="J46" s="59">
        <v>206128</v>
      </c>
    </row>
    <row r="47" spans="1:10" x14ac:dyDescent="0.25">
      <c r="A47" s="1047" t="s">
        <v>438</v>
      </c>
      <c r="C47" s="1167">
        <v>4002</v>
      </c>
      <c r="I47" s="1047" t="s">
        <v>438</v>
      </c>
      <c r="J47" s="59">
        <v>4002</v>
      </c>
    </row>
    <row r="48" spans="1:10" x14ac:dyDescent="0.25">
      <c r="A48" s="1047" t="s">
        <v>441</v>
      </c>
      <c r="B48" s="77" t="s">
        <v>228</v>
      </c>
      <c r="C48" s="77">
        <v>2430</v>
      </c>
      <c r="D48" s="77" t="s">
        <v>195</v>
      </c>
      <c r="E48" s="77">
        <v>1</v>
      </c>
      <c r="I48" s="1047" t="s">
        <v>441</v>
      </c>
      <c r="J48" s="59">
        <v>2430</v>
      </c>
    </row>
    <row r="49" spans="1:10" x14ac:dyDescent="0.25">
      <c r="A49" s="1047" t="s">
        <v>711</v>
      </c>
      <c r="C49" s="77" t="s">
        <v>712</v>
      </c>
      <c r="D49" s="77" t="s">
        <v>255</v>
      </c>
      <c r="E49" s="77">
        <v>3</v>
      </c>
      <c r="I49" s="1047" t="s">
        <v>711</v>
      </c>
      <c r="J49" s="59" t="s">
        <v>712</v>
      </c>
    </row>
    <row r="50" spans="1:10" x14ac:dyDescent="0.25">
      <c r="A50" s="1047" t="s">
        <v>68</v>
      </c>
      <c r="C50" s="1167">
        <v>4608</v>
      </c>
      <c r="I50" s="1047" t="s">
        <v>68</v>
      </c>
      <c r="J50" s="59">
        <v>4608</v>
      </c>
    </row>
    <row r="51" spans="1:10" x14ac:dyDescent="0.25">
      <c r="A51" s="1047" t="s">
        <v>31</v>
      </c>
      <c r="C51" s="1167">
        <v>2409</v>
      </c>
      <c r="I51" s="1047" t="s">
        <v>31</v>
      </c>
      <c r="J51" s="59">
        <v>2409</v>
      </c>
    </row>
    <row r="52" spans="1:10" x14ac:dyDescent="0.25">
      <c r="A52" s="1047" t="s">
        <v>270</v>
      </c>
      <c r="C52" s="77" t="s">
        <v>271</v>
      </c>
      <c r="D52" s="77" t="s">
        <v>240</v>
      </c>
      <c r="E52" s="77">
        <v>4</v>
      </c>
      <c r="I52" s="1047" t="s">
        <v>270</v>
      </c>
      <c r="J52" s="59" t="s">
        <v>271</v>
      </c>
    </row>
    <row r="53" spans="1:10" x14ac:dyDescent="0.25">
      <c r="A53" s="1047" t="s">
        <v>1283</v>
      </c>
      <c r="C53" s="77" t="s">
        <v>714</v>
      </c>
      <c r="D53" s="77" t="s">
        <v>255</v>
      </c>
      <c r="E53" s="77">
        <v>3</v>
      </c>
      <c r="I53" s="1047" t="s">
        <v>1283</v>
      </c>
      <c r="J53" s="59" t="s">
        <v>714</v>
      </c>
    </row>
    <row r="54" spans="1:10" x14ac:dyDescent="0.25">
      <c r="A54" s="1047" t="s">
        <v>525</v>
      </c>
      <c r="C54" s="77">
        <v>205921</v>
      </c>
      <c r="D54" s="77" t="s">
        <v>255</v>
      </c>
      <c r="E54" s="77">
        <v>3</v>
      </c>
      <c r="I54" s="1047" t="s">
        <v>525</v>
      </c>
      <c r="J54" s="59">
        <v>205921</v>
      </c>
    </row>
    <row r="55" spans="1:10" x14ac:dyDescent="0.25">
      <c r="A55" s="1047" t="s">
        <v>1256</v>
      </c>
      <c r="B55" s="77" t="s">
        <v>718</v>
      </c>
      <c r="C55" s="77" t="s">
        <v>719</v>
      </c>
      <c r="D55" s="77" t="s">
        <v>255</v>
      </c>
      <c r="E55" s="77">
        <v>3</v>
      </c>
      <c r="I55" s="1047" t="s">
        <v>1256</v>
      </c>
      <c r="J55" s="59" t="s">
        <v>719</v>
      </c>
    </row>
    <row r="56" spans="1:10" x14ac:dyDescent="0.25">
      <c r="A56" s="1134" t="s">
        <v>1375</v>
      </c>
      <c r="B56" s="1134"/>
      <c r="C56" s="1134">
        <v>398922</v>
      </c>
      <c r="D56" s="77" t="s">
        <v>255</v>
      </c>
      <c r="E56" s="77">
        <v>3</v>
      </c>
      <c r="I56" s="1134" t="s">
        <v>1375</v>
      </c>
      <c r="J56" s="59">
        <v>398922</v>
      </c>
    </row>
    <row r="57" spans="1:10" x14ac:dyDescent="0.25">
      <c r="A57" s="1134" t="s">
        <v>1374</v>
      </c>
      <c r="B57" s="1134"/>
      <c r="C57" s="1134">
        <v>479804</v>
      </c>
      <c r="D57" s="77" t="s">
        <v>255</v>
      </c>
      <c r="E57" s="77">
        <v>3</v>
      </c>
      <c r="I57" s="1134" t="s">
        <v>1374</v>
      </c>
      <c r="J57" s="59">
        <v>479804</v>
      </c>
    </row>
    <row r="58" spans="1:10" x14ac:dyDescent="0.25">
      <c r="A58" s="1047" t="s">
        <v>524</v>
      </c>
      <c r="C58" s="77">
        <v>205999</v>
      </c>
      <c r="D58" s="77" t="s">
        <v>255</v>
      </c>
      <c r="E58" s="77">
        <v>3</v>
      </c>
      <c r="I58" s="1047" t="s">
        <v>524</v>
      </c>
      <c r="J58" s="59">
        <v>205999</v>
      </c>
    </row>
    <row r="59" spans="1:10" x14ac:dyDescent="0.25">
      <c r="A59" s="1047" t="s">
        <v>523</v>
      </c>
      <c r="C59" s="77" t="s">
        <v>272</v>
      </c>
      <c r="D59" s="77" t="s">
        <v>255</v>
      </c>
      <c r="E59" s="77">
        <v>3</v>
      </c>
      <c r="I59" s="1047" t="s">
        <v>523</v>
      </c>
      <c r="J59" s="59" t="s">
        <v>272</v>
      </c>
    </row>
    <row r="60" spans="1:10" x14ac:dyDescent="0.25">
      <c r="A60" s="1047" t="s">
        <v>1257</v>
      </c>
      <c r="B60" s="77" t="s">
        <v>722</v>
      </c>
      <c r="C60" s="77">
        <v>206065</v>
      </c>
      <c r="D60" s="77" t="s">
        <v>255</v>
      </c>
      <c r="E60" s="77">
        <v>3</v>
      </c>
      <c r="I60" s="1047" t="s">
        <v>1257</v>
      </c>
      <c r="J60" s="59">
        <v>206065</v>
      </c>
    </row>
    <row r="61" spans="1:10" x14ac:dyDescent="0.25">
      <c r="A61" s="1134" t="s">
        <v>1376</v>
      </c>
      <c r="B61" s="1134"/>
      <c r="C61" s="1134">
        <v>314105</v>
      </c>
      <c r="D61" s="77" t="s">
        <v>255</v>
      </c>
      <c r="E61" s="77">
        <v>3</v>
      </c>
      <c r="I61" s="1134" t="s">
        <v>1376</v>
      </c>
      <c r="J61" s="59">
        <v>314105</v>
      </c>
    </row>
    <row r="62" spans="1:10" x14ac:dyDescent="0.25">
      <c r="A62" s="1135" t="s">
        <v>1400</v>
      </c>
      <c r="C62" s="77" t="s">
        <v>277</v>
      </c>
      <c r="D62" s="77" t="s">
        <v>255</v>
      </c>
      <c r="E62" s="77">
        <v>3</v>
      </c>
      <c r="I62" s="1135" t="s">
        <v>1400</v>
      </c>
      <c r="J62" s="59" t="s">
        <v>277</v>
      </c>
    </row>
    <row r="63" spans="1:10" x14ac:dyDescent="0.25">
      <c r="A63" s="1134" t="s">
        <v>1377</v>
      </c>
      <c r="B63" s="1134"/>
      <c r="C63" s="1134">
        <v>206076</v>
      </c>
      <c r="D63" s="77" t="s">
        <v>255</v>
      </c>
      <c r="E63" s="77">
        <v>3</v>
      </c>
      <c r="I63" s="1134" t="s">
        <v>1377</v>
      </c>
      <c r="J63" s="59">
        <v>206076</v>
      </c>
    </row>
    <row r="64" spans="1:10" x14ac:dyDescent="0.25">
      <c r="A64" s="1047" t="s">
        <v>561</v>
      </c>
      <c r="C64" s="77" t="s">
        <v>727</v>
      </c>
      <c r="D64" s="77" t="s">
        <v>255</v>
      </c>
      <c r="E64" s="77">
        <v>3</v>
      </c>
      <c r="I64" s="1047" t="s">
        <v>561</v>
      </c>
      <c r="J64" s="59" t="s">
        <v>727</v>
      </c>
    </row>
    <row r="65" spans="1:10" x14ac:dyDescent="0.25">
      <c r="A65" s="1135" t="s">
        <v>1399</v>
      </c>
      <c r="C65" s="77" t="s">
        <v>730</v>
      </c>
      <c r="D65" s="77" t="s">
        <v>255</v>
      </c>
      <c r="E65" s="77">
        <v>3</v>
      </c>
      <c r="I65" s="1135" t="s">
        <v>1399</v>
      </c>
      <c r="J65" s="59" t="s">
        <v>730</v>
      </c>
    </row>
    <row r="66" spans="1:10" x14ac:dyDescent="0.25">
      <c r="A66" s="1134" t="s">
        <v>562</v>
      </c>
      <c r="B66" s="1134"/>
      <c r="C66" s="1134" t="s">
        <v>275</v>
      </c>
      <c r="D66" s="77" t="s">
        <v>255</v>
      </c>
      <c r="E66" s="77">
        <v>3</v>
      </c>
      <c r="I66" s="1134" t="s">
        <v>562</v>
      </c>
      <c r="J66" s="59" t="s">
        <v>275</v>
      </c>
    </row>
    <row r="67" spans="1:10" x14ac:dyDescent="0.25">
      <c r="A67" s="1047" t="s">
        <v>1258</v>
      </c>
      <c r="C67" s="77" t="s">
        <v>724</v>
      </c>
      <c r="D67" s="77" t="s">
        <v>255</v>
      </c>
      <c r="E67" s="77">
        <v>3</v>
      </c>
      <c r="I67" s="1047" t="s">
        <v>1258</v>
      </c>
      <c r="J67" s="59" t="s">
        <v>724</v>
      </c>
    </row>
    <row r="68" spans="1:10" x14ac:dyDescent="0.25">
      <c r="A68" s="1047" t="s">
        <v>1259</v>
      </c>
      <c r="C68" s="77">
        <v>205919</v>
      </c>
      <c r="D68" s="77" t="s">
        <v>255</v>
      </c>
      <c r="E68" s="77">
        <v>3</v>
      </c>
      <c r="I68" s="1047" t="s">
        <v>1259</v>
      </c>
      <c r="J68" s="59">
        <v>205919</v>
      </c>
    </row>
    <row r="69" spans="1:10" x14ac:dyDescent="0.25">
      <c r="A69" s="1047" t="s">
        <v>526</v>
      </c>
      <c r="C69" s="77" t="s">
        <v>276</v>
      </c>
      <c r="D69" s="77" t="s">
        <v>255</v>
      </c>
      <c r="E69" s="77">
        <v>3</v>
      </c>
      <c r="I69" s="1047" t="s">
        <v>526</v>
      </c>
      <c r="J69" s="59" t="s">
        <v>276</v>
      </c>
    </row>
    <row r="70" spans="1:10" x14ac:dyDescent="0.25">
      <c r="A70" s="1134" t="s">
        <v>1378</v>
      </c>
      <c r="B70" s="1134"/>
      <c r="C70" s="1134">
        <v>477405</v>
      </c>
      <c r="D70" s="77" t="s">
        <v>255</v>
      </c>
      <c r="E70" s="77">
        <v>3</v>
      </c>
      <c r="I70" s="1134" t="s">
        <v>1378</v>
      </c>
      <c r="J70" s="59">
        <v>477405</v>
      </c>
    </row>
    <row r="71" spans="1:10" x14ac:dyDescent="0.25">
      <c r="A71" s="1047" t="s">
        <v>1260</v>
      </c>
      <c r="C71" s="77" t="s">
        <v>734</v>
      </c>
      <c r="D71" s="77" t="s">
        <v>255</v>
      </c>
      <c r="E71" s="77">
        <v>3</v>
      </c>
      <c r="I71" s="1047" t="s">
        <v>1260</v>
      </c>
      <c r="J71" s="59" t="s">
        <v>734</v>
      </c>
    </row>
    <row r="72" spans="1:10" x14ac:dyDescent="0.25">
      <c r="A72" s="1134" t="s">
        <v>1379</v>
      </c>
      <c r="B72" s="1134"/>
      <c r="C72" s="1134">
        <v>401536</v>
      </c>
      <c r="D72" s="77" t="s">
        <v>255</v>
      </c>
      <c r="E72" s="77">
        <v>3</v>
      </c>
      <c r="I72" s="1134" t="s">
        <v>1379</v>
      </c>
      <c r="J72" s="59">
        <v>401536</v>
      </c>
    </row>
    <row r="73" spans="1:10" x14ac:dyDescent="0.25">
      <c r="A73" s="1047" t="s">
        <v>1261</v>
      </c>
      <c r="C73" s="77" t="s">
        <v>736</v>
      </c>
      <c r="D73" s="77" t="s">
        <v>255</v>
      </c>
      <c r="E73" s="77">
        <v>3</v>
      </c>
      <c r="I73" s="1047" t="s">
        <v>1261</v>
      </c>
      <c r="J73" s="59" t="s">
        <v>736</v>
      </c>
    </row>
    <row r="74" spans="1:10" x14ac:dyDescent="0.25">
      <c r="A74" s="1047" t="s">
        <v>1263</v>
      </c>
      <c r="C74" s="77" t="s">
        <v>739</v>
      </c>
      <c r="D74" s="77" t="s">
        <v>255</v>
      </c>
      <c r="E74" s="77">
        <v>3</v>
      </c>
      <c r="I74" s="1047" t="s">
        <v>1263</v>
      </c>
      <c r="J74" s="59" t="s">
        <v>739</v>
      </c>
    </row>
    <row r="75" spans="1:10" x14ac:dyDescent="0.25">
      <c r="A75" s="1047" t="s">
        <v>1262</v>
      </c>
      <c r="C75" s="77">
        <v>205849</v>
      </c>
      <c r="D75" s="77" t="s">
        <v>255</v>
      </c>
      <c r="E75" s="77">
        <v>3</v>
      </c>
      <c r="I75" s="1047" t="s">
        <v>1262</v>
      </c>
      <c r="J75" s="59">
        <v>205849</v>
      </c>
    </row>
    <row r="76" spans="1:10" x14ac:dyDescent="0.25">
      <c r="A76" s="1047" t="s">
        <v>566</v>
      </c>
      <c r="C76" s="77" t="s">
        <v>273</v>
      </c>
      <c r="D76" s="77" t="s">
        <v>255</v>
      </c>
      <c r="E76" s="77">
        <v>3</v>
      </c>
      <c r="I76" s="1047" t="s">
        <v>566</v>
      </c>
      <c r="J76" s="59" t="s">
        <v>273</v>
      </c>
    </row>
    <row r="77" spans="1:10" x14ac:dyDescent="0.25">
      <c r="A77" s="1047" t="s">
        <v>1264</v>
      </c>
      <c r="C77" s="77" t="s">
        <v>741</v>
      </c>
      <c r="D77" s="77" t="s">
        <v>255</v>
      </c>
      <c r="E77" s="77">
        <v>3</v>
      </c>
      <c r="I77" s="1047" t="s">
        <v>1264</v>
      </c>
      <c r="J77" s="59" t="s">
        <v>741</v>
      </c>
    </row>
    <row r="78" spans="1:10" x14ac:dyDescent="0.25">
      <c r="A78" s="1047" t="s">
        <v>1268</v>
      </c>
      <c r="C78" s="77">
        <v>205922</v>
      </c>
      <c r="D78" s="77" t="s">
        <v>255</v>
      </c>
      <c r="E78" s="77">
        <v>3</v>
      </c>
      <c r="I78" s="1047" t="s">
        <v>1268</v>
      </c>
      <c r="J78" s="59">
        <v>205922</v>
      </c>
    </row>
    <row r="79" spans="1:10" x14ac:dyDescent="0.25">
      <c r="A79" s="1047" t="s">
        <v>1267</v>
      </c>
      <c r="C79" s="77">
        <v>205881</v>
      </c>
      <c r="D79" s="77" t="s">
        <v>255</v>
      </c>
      <c r="E79" s="77">
        <v>3</v>
      </c>
      <c r="I79" s="1047" t="s">
        <v>1267</v>
      </c>
      <c r="J79" s="59">
        <v>205881</v>
      </c>
    </row>
    <row r="80" spans="1:10" x14ac:dyDescent="0.25">
      <c r="A80" s="1047" t="s">
        <v>1265</v>
      </c>
      <c r="C80" s="77" t="s">
        <v>744</v>
      </c>
      <c r="D80" s="77" t="s">
        <v>255</v>
      </c>
      <c r="E80" s="77">
        <v>3</v>
      </c>
      <c r="I80" s="1047" t="s">
        <v>1265</v>
      </c>
      <c r="J80" s="59" t="s">
        <v>744</v>
      </c>
    </row>
    <row r="81" spans="1:10" x14ac:dyDescent="0.25">
      <c r="A81" s="1047" t="s">
        <v>527</v>
      </c>
      <c r="C81" s="77" t="s">
        <v>278</v>
      </c>
      <c r="D81" s="77" t="s">
        <v>255</v>
      </c>
      <c r="E81" s="77">
        <v>3</v>
      </c>
      <c r="I81" s="1047" t="s">
        <v>527</v>
      </c>
      <c r="J81" s="59" t="s">
        <v>278</v>
      </c>
    </row>
    <row r="82" spans="1:10" x14ac:dyDescent="0.25">
      <c r="A82" s="1047" t="s">
        <v>1266</v>
      </c>
      <c r="C82" s="77" t="s">
        <v>749</v>
      </c>
      <c r="D82" s="77" t="s">
        <v>255</v>
      </c>
      <c r="E82" s="77">
        <v>3</v>
      </c>
      <c r="I82" s="1047" t="s">
        <v>1266</v>
      </c>
      <c r="J82" s="59" t="s">
        <v>749</v>
      </c>
    </row>
    <row r="83" spans="1:10" x14ac:dyDescent="0.25">
      <c r="A83" s="1134" t="s">
        <v>1380</v>
      </c>
      <c r="B83" s="1134"/>
      <c r="C83" s="1134">
        <v>462623</v>
      </c>
      <c r="D83" s="77" t="s">
        <v>255</v>
      </c>
      <c r="E83" s="77">
        <v>3</v>
      </c>
      <c r="I83" s="1134" t="s">
        <v>1380</v>
      </c>
      <c r="J83" s="59">
        <v>462623</v>
      </c>
    </row>
    <row r="84" spans="1:10" x14ac:dyDescent="0.25">
      <c r="A84" s="1047" t="s">
        <v>750</v>
      </c>
      <c r="C84" s="77" t="s">
        <v>751</v>
      </c>
      <c r="D84" s="77" t="s">
        <v>255</v>
      </c>
      <c r="E84" s="77">
        <v>3</v>
      </c>
      <c r="I84" s="1047" t="s">
        <v>750</v>
      </c>
      <c r="J84" s="59" t="s">
        <v>751</v>
      </c>
    </row>
    <row r="85" spans="1:10" x14ac:dyDescent="0.25">
      <c r="A85" s="1047" t="s">
        <v>1269</v>
      </c>
      <c r="C85" s="77" t="s">
        <v>754</v>
      </c>
      <c r="D85" s="77" t="s">
        <v>255</v>
      </c>
      <c r="E85" s="77">
        <v>3</v>
      </c>
      <c r="I85" s="1047" t="s">
        <v>1269</v>
      </c>
      <c r="J85" s="59" t="s">
        <v>754</v>
      </c>
    </row>
    <row r="86" spans="1:10" x14ac:dyDescent="0.25">
      <c r="A86" s="1047" t="s">
        <v>528</v>
      </c>
      <c r="C86" s="77">
        <v>2</v>
      </c>
      <c r="D86" s="77" t="s">
        <v>255</v>
      </c>
      <c r="E86" s="77">
        <v>3</v>
      </c>
      <c r="I86" s="1047" t="s">
        <v>528</v>
      </c>
      <c r="J86" s="59">
        <v>2</v>
      </c>
    </row>
    <row r="87" spans="1:10" x14ac:dyDescent="0.25">
      <c r="A87" s="1047" t="s">
        <v>1270</v>
      </c>
      <c r="C87" s="77" t="s">
        <v>621</v>
      </c>
      <c r="D87" s="77" t="s">
        <v>255</v>
      </c>
      <c r="E87" s="77">
        <v>3</v>
      </c>
      <c r="I87" s="1047" t="s">
        <v>1270</v>
      </c>
      <c r="J87" s="59" t="s">
        <v>621</v>
      </c>
    </row>
    <row r="88" spans="1:10" x14ac:dyDescent="0.25">
      <c r="A88" s="1134" t="s">
        <v>1271</v>
      </c>
      <c r="B88" s="1134"/>
      <c r="C88" s="1134">
        <v>205878</v>
      </c>
      <c r="D88" s="77" t="s">
        <v>255</v>
      </c>
      <c r="E88" s="77">
        <v>3</v>
      </c>
      <c r="I88" s="1134" t="s">
        <v>1271</v>
      </c>
      <c r="J88" s="59">
        <v>205878</v>
      </c>
    </row>
    <row r="89" spans="1:10" x14ac:dyDescent="0.25">
      <c r="A89" s="1047" t="s">
        <v>529</v>
      </c>
      <c r="C89" s="77">
        <v>205956</v>
      </c>
      <c r="D89" s="77" t="s">
        <v>255</v>
      </c>
      <c r="E89" s="77">
        <v>3</v>
      </c>
      <c r="I89" s="1047" t="s">
        <v>529</v>
      </c>
      <c r="J89" s="59">
        <v>205956</v>
      </c>
    </row>
    <row r="90" spans="1:10" x14ac:dyDescent="0.25">
      <c r="A90" s="1047" t="s">
        <v>1273</v>
      </c>
      <c r="C90" s="77" t="s">
        <v>759</v>
      </c>
      <c r="D90" s="77" t="s">
        <v>255</v>
      </c>
      <c r="E90" s="77">
        <v>3</v>
      </c>
      <c r="I90" s="1047" t="s">
        <v>1273</v>
      </c>
      <c r="J90" s="59" t="s">
        <v>759</v>
      </c>
    </row>
    <row r="91" spans="1:10" x14ac:dyDescent="0.25">
      <c r="A91" s="1134" t="s">
        <v>1382</v>
      </c>
      <c r="B91" s="1134"/>
      <c r="C91" s="1134">
        <v>472319</v>
      </c>
      <c r="D91" s="77" t="s">
        <v>255</v>
      </c>
      <c r="E91" s="77">
        <v>3</v>
      </c>
      <c r="I91" s="1134" t="s">
        <v>1382</v>
      </c>
      <c r="J91" s="59">
        <v>472319</v>
      </c>
    </row>
    <row r="92" spans="1:10" x14ac:dyDescent="0.25">
      <c r="A92" s="1047" t="s">
        <v>1272</v>
      </c>
      <c r="C92" s="77">
        <v>260849</v>
      </c>
      <c r="D92" s="77" t="s">
        <v>255</v>
      </c>
      <c r="E92" s="77">
        <v>3</v>
      </c>
      <c r="I92" s="1047" t="s">
        <v>1272</v>
      </c>
      <c r="J92" s="59">
        <v>260849</v>
      </c>
    </row>
    <row r="93" spans="1:10" x14ac:dyDescent="0.25">
      <c r="A93" s="1134" t="s">
        <v>1383</v>
      </c>
      <c r="B93" s="1134"/>
      <c r="C93" s="1134">
        <v>482805</v>
      </c>
      <c r="D93" s="77" t="s">
        <v>255</v>
      </c>
      <c r="E93" s="77">
        <v>3</v>
      </c>
      <c r="I93" s="1134" t="s">
        <v>1383</v>
      </c>
      <c r="J93" s="59">
        <v>482805</v>
      </c>
    </row>
    <row r="94" spans="1:10" x14ac:dyDescent="0.25">
      <c r="A94" s="1134" t="s">
        <v>1381</v>
      </c>
      <c r="B94" s="1134"/>
      <c r="C94" s="1134">
        <v>447579</v>
      </c>
      <c r="D94" s="77" t="s">
        <v>255</v>
      </c>
      <c r="E94" s="77">
        <v>3</v>
      </c>
      <c r="I94" s="1134" t="s">
        <v>1381</v>
      </c>
      <c r="J94" s="59">
        <v>447579</v>
      </c>
    </row>
    <row r="95" spans="1:10" x14ac:dyDescent="0.25">
      <c r="A95" s="1047" t="s">
        <v>1274</v>
      </c>
      <c r="C95" s="77" t="s">
        <v>280</v>
      </c>
      <c r="D95" s="77" t="s">
        <v>255</v>
      </c>
      <c r="E95" s="77">
        <v>3</v>
      </c>
      <c r="I95" s="1047" t="s">
        <v>1274</v>
      </c>
      <c r="J95" s="59" t="s">
        <v>280</v>
      </c>
    </row>
    <row r="96" spans="1:10" x14ac:dyDescent="0.25">
      <c r="A96" s="1047" t="s">
        <v>1275</v>
      </c>
      <c r="C96" s="77" t="s">
        <v>762</v>
      </c>
      <c r="D96" s="77" t="s">
        <v>255</v>
      </c>
      <c r="E96" s="77">
        <v>3</v>
      </c>
      <c r="I96" s="1047" t="s">
        <v>1275</v>
      </c>
      <c r="J96" s="59" t="s">
        <v>762</v>
      </c>
    </row>
    <row r="97" spans="1:10" x14ac:dyDescent="0.25">
      <c r="A97" s="1047" t="s">
        <v>1277</v>
      </c>
      <c r="C97" s="77" t="s">
        <v>766</v>
      </c>
      <c r="D97" s="77" t="s">
        <v>255</v>
      </c>
      <c r="E97" s="77">
        <v>3</v>
      </c>
      <c r="I97" s="1047" t="s">
        <v>1277</v>
      </c>
      <c r="J97" s="59" t="s">
        <v>766</v>
      </c>
    </row>
    <row r="98" spans="1:10" x14ac:dyDescent="0.25">
      <c r="A98" s="1047" t="s">
        <v>1276</v>
      </c>
      <c r="C98" s="77" t="s">
        <v>764</v>
      </c>
      <c r="D98" s="77" t="s">
        <v>255</v>
      </c>
      <c r="E98" s="77">
        <v>3</v>
      </c>
      <c r="I98" s="1047" t="s">
        <v>1276</v>
      </c>
      <c r="J98" s="59" t="s">
        <v>764</v>
      </c>
    </row>
    <row r="99" spans="1:10" x14ac:dyDescent="0.25">
      <c r="A99" s="1047" t="s">
        <v>1279</v>
      </c>
      <c r="C99" s="77" t="s">
        <v>771</v>
      </c>
      <c r="D99" s="77" t="s">
        <v>255</v>
      </c>
      <c r="E99" s="77">
        <v>3</v>
      </c>
      <c r="I99" s="1047" t="s">
        <v>1279</v>
      </c>
      <c r="J99" s="59" t="s">
        <v>771</v>
      </c>
    </row>
    <row r="100" spans="1:10" x14ac:dyDescent="0.25">
      <c r="A100" s="1047" t="s">
        <v>1278</v>
      </c>
      <c r="C100" s="77" t="s">
        <v>768</v>
      </c>
      <c r="D100" s="77" t="s">
        <v>255</v>
      </c>
      <c r="E100" s="77">
        <v>3</v>
      </c>
      <c r="I100" s="1047" t="s">
        <v>1278</v>
      </c>
      <c r="J100" s="529" t="s">
        <v>768</v>
      </c>
    </row>
    <row r="101" spans="1:10" x14ac:dyDescent="0.25">
      <c r="A101" s="1047" t="s">
        <v>564</v>
      </c>
      <c r="C101" s="77" t="s">
        <v>281</v>
      </c>
      <c r="D101" s="77" t="s">
        <v>255</v>
      </c>
      <c r="E101" s="77">
        <v>3</v>
      </c>
      <c r="I101" s="1047" t="s">
        <v>564</v>
      </c>
      <c r="J101" s="529" t="s">
        <v>281</v>
      </c>
    </row>
    <row r="102" spans="1:10" x14ac:dyDescent="0.25">
      <c r="A102" s="1047" t="s">
        <v>1284</v>
      </c>
      <c r="C102" s="77" t="s">
        <v>774</v>
      </c>
      <c r="D102" s="77" t="s">
        <v>255</v>
      </c>
      <c r="E102" s="77">
        <v>3</v>
      </c>
      <c r="I102" s="1047" t="s">
        <v>1284</v>
      </c>
      <c r="J102" s="59" t="s">
        <v>774</v>
      </c>
    </row>
    <row r="103" spans="1:10" x14ac:dyDescent="0.25">
      <c r="A103" s="1134" t="s">
        <v>1384</v>
      </c>
      <c r="B103" s="1134"/>
      <c r="C103" s="1134">
        <v>484039</v>
      </c>
      <c r="D103" s="77" t="s">
        <v>255</v>
      </c>
      <c r="E103" s="77">
        <v>3</v>
      </c>
      <c r="I103" s="1134" t="s">
        <v>1384</v>
      </c>
      <c r="J103" s="59">
        <v>484039</v>
      </c>
    </row>
    <row r="104" spans="1:10" x14ac:dyDescent="0.25">
      <c r="A104" s="1047" t="s">
        <v>1285</v>
      </c>
      <c r="C104" s="77" t="s">
        <v>776</v>
      </c>
      <c r="D104" s="77" t="s">
        <v>255</v>
      </c>
      <c r="E104" s="77">
        <v>3</v>
      </c>
      <c r="I104" s="1047" t="s">
        <v>1285</v>
      </c>
      <c r="J104" s="59" t="s">
        <v>776</v>
      </c>
    </row>
    <row r="105" spans="1:10" x14ac:dyDescent="0.25">
      <c r="A105" s="1134" t="s">
        <v>1385</v>
      </c>
      <c r="B105" s="1134"/>
      <c r="C105" s="1134">
        <v>343478</v>
      </c>
      <c r="D105" s="77" t="s">
        <v>255</v>
      </c>
      <c r="E105" s="77">
        <v>3</v>
      </c>
      <c r="I105" s="1134" t="s">
        <v>1385</v>
      </c>
      <c r="J105" s="59">
        <v>343478</v>
      </c>
    </row>
    <row r="106" spans="1:10" x14ac:dyDescent="0.25">
      <c r="A106" s="1047" t="s">
        <v>532</v>
      </c>
      <c r="C106" s="77" t="s">
        <v>283</v>
      </c>
      <c r="D106" s="77" t="s">
        <v>255</v>
      </c>
      <c r="E106" s="77">
        <v>3</v>
      </c>
      <c r="I106" s="1047" t="s">
        <v>532</v>
      </c>
      <c r="J106" s="59" t="s">
        <v>283</v>
      </c>
    </row>
    <row r="107" spans="1:10" x14ac:dyDescent="0.25">
      <c r="A107" s="1047" t="s">
        <v>1280</v>
      </c>
      <c r="C107" s="1134">
        <v>206031</v>
      </c>
      <c r="D107" s="77" t="s">
        <v>255</v>
      </c>
      <c r="E107" s="77">
        <v>3</v>
      </c>
      <c r="I107" s="1047" t="s">
        <v>1280</v>
      </c>
      <c r="J107" s="59">
        <v>206031</v>
      </c>
    </row>
    <row r="108" spans="1:10" x14ac:dyDescent="0.25">
      <c r="A108" s="1047" t="s">
        <v>531</v>
      </c>
      <c r="C108" s="77" t="s">
        <v>284</v>
      </c>
      <c r="D108" s="77" t="s">
        <v>255</v>
      </c>
      <c r="E108" s="77">
        <v>3</v>
      </c>
      <c r="I108" s="1047" t="s">
        <v>531</v>
      </c>
      <c r="J108" s="59" t="s">
        <v>284</v>
      </c>
    </row>
    <row r="109" spans="1:10" x14ac:dyDescent="0.25">
      <c r="A109" s="1047" t="s">
        <v>530</v>
      </c>
      <c r="C109" s="77" t="s">
        <v>282</v>
      </c>
      <c r="D109" s="77" t="s">
        <v>255</v>
      </c>
      <c r="E109" s="77">
        <v>3</v>
      </c>
      <c r="I109" s="1047" t="s">
        <v>530</v>
      </c>
      <c r="J109" s="59" t="s">
        <v>282</v>
      </c>
    </row>
    <row r="110" spans="1:10" x14ac:dyDescent="0.25">
      <c r="A110" s="1047" t="s">
        <v>1281</v>
      </c>
      <c r="C110" s="77" t="s">
        <v>781</v>
      </c>
      <c r="D110" s="77" t="s">
        <v>255</v>
      </c>
      <c r="E110" s="77">
        <v>3</v>
      </c>
      <c r="I110" s="1047" t="s">
        <v>1281</v>
      </c>
      <c r="J110" s="59" t="s">
        <v>781</v>
      </c>
    </row>
    <row r="111" spans="1:10" x14ac:dyDescent="0.25">
      <c r="A111" s="1047" t="s">
        <v>1255</v>
      </c>
      <c r="C111" s="77" t="s">
        <v>285</v>
      </c>
      <c r="D111" s="77" t="s">
        <v>255</v>
      </c>
      <c r="E111" s="77">
        <v>3</v>
      </c>
      <c r="I111" s="1047" t="s">
        <v>1255</v>
      </c>
      <c r="J111" s="59" t="s">
        <v>285</v>
      </c>
    </row>
    <row r="112" spans="1:10" x14ac:dyDescent="0.25">
      <c r="A112" s="1047" t="s">
        <v>1289</v>
      </c>
      <c r="C112" s="1134">
        <v>260848</v>
      </c>
      <c r="D112" s="77" t="s">
        <v>255</v>
      </c>
      <c r="E112" s="77">
        <v>3</v>
      </c>
      <c r="I112" s="1047" t="s">
        <v>1289</v>
      </c>
      <c r="J112" s="59">
        <v>260848</v>
      </c>
    </row>
    <row r="113" spans="1:10" x14ac:dyDescent="0.25">
      <c r="A113" s="1047" t="s">
        <v>565</v>
      </c>
      <c r="C113" s="77">
        <v>206043</v>
      </c>
      <c r="D113" s="77" t="s">
        <v>255</v>
      </c>
      <c r="E113" s="77">
        <v>3</v>
      </c>
      <c r="I113" s="1047" t="s">
        <v>565</v>
      </c>
      <c r="J113" s="59">
        <v>206043</v>
      </c>
    </row>
    <row r="114" spans="1:10" x14ac:dyDescent="0.25">
      <c r="A114" s="1134" t="s">
        <v>533</v>
      </c>
      <c r="B114" s="1134"/>
      <c r="C114" s="1134">
        <v>505502</v>
      </c>
      <c r="D114" s="77" t="s">
        <v>255</v>
      </c>
      <c r="E114" s="77">
        <v>3</v>
      </c>
      <c r="I114" s="1134" t="s">
        <v>533</v>
      </c>
      <c r="J114" s="59">
        <v>505502</v>
      </c>
    </row>
    <row r="115" spans="1:10" x14ac:dyDescent="0.25">
      <c r="A115" s="1047" t="s">
        <v>563</v>
      </c>
      <c r="C115" s="1134">
        <v>205978</v>
      </c>
      <c r="D115" s="77" t="s">
        <v>255</v>
      </c>
      <c r="E115" s="77">
        <v>3</v>
      </c>
      <c r="I115" s="1047" t="s">
        <v>563</v>
      </c>
      <c r="J115" s="59">
        <v>205978</v>
      </c>
    </row>
    <row r="116" spans="1:10" x14ac:dyDescent="0.25">
      <c r="A116" s="1134" t="s">
        <v>1296</v>
      </c>
      <c r="B116" s="1134"/>
      <c r="C116" s="1134">
        <v>435150</v>
      </c>
      <c r="D116" s="77" t="s">
        <v>255</v>
      </c>
      <c r="E116" s="77">
        <v>3</v>
      </c>
      <c r="I116" s="1134" t="s">
        <v>1296</v>
      </c>
      <c r="J116" s="59">
        <v>435150</v>
      </c>
    </row>
    <row r="117" spans="1:10" x14ac:dyDescent="0.25">
      <c r="A117" s="1047" t="s">
        <v>1288</v>
      </c>
      <c r="C117" s="77">
        <v>206067</v>
      </c>
      <c r="D117" s="77" t="s">
        <v>255</v>
      </c>
      <c r="E117" s="77">
        <v>3</v>
      </c>
      <c r="I117" s="1047" t="s">
        <v>1288</v>
      </c>
      <c r="J117" s="59">
        <v>206067</v>
      </c>
    </row>
    <row r="118" spans="1:10" x14ac:dyDescent="0.25">
      <c r="A118" s="1047" t="s">
        <v>534</v>
      </c>
      <c r="C118" s="77" t="s">
        <v>287</v>
      </c>
      <c r="D118" s="77" t="s">
        <v>255</v>
      </c>
      <c r="E118" s="77">
        <v>3</v>
      </c>
      <c r="I118" s="1047" t="s">
        <v>534</v>
      </c>
      <c r="J118" s="59" t="s">
        <v>287</v>
      </c>
    </row>
    <row r="119" spans="1:10" x14ac:dyDescent="0.25">
      <c r="A119" s="1047" t="s">
        <v>1282</v>
      </c>
      <c r="C119" s="77" t="s">
        <v>279</v>
      </c>
      <c r="D119" s="77" t="s">
        <v>255</v>
      </c>
      <c r="E119" s="77">
        <v>3</v>
      </c>
      <c r="I119" s="1047" t="s">
        <v>1282</v>
      </c>
      <c r="J119" s="59" t="s">
        <v>279</v>
      </c>
    </row>
    <row r="120" spans="1:10" x14ac:dyDescent="0.25">
      <c r="A120" s="1047" t="s">
        <v>535</v>
      </c>
      <c r="C120" s="77" t="s">
        <v>288</v>
      </c>
      <c r="D120" s="77" t="s">
        <v>255</v>
      </c>
      <c r="E120" s="77">
        <v>3</v>
      </c>
      <c r="I120" s="1047" t="s">
        <v>535</v>
      </c>
      <c r="J120" s="59" t="s">
        <v>288</v>
      </c>
    </row>
    <row r="121" spans="1:10" x14ac:dyDescent="0.25">
      <c r="A121" s="1047" t="s">
        <v>1286</v>
      </c>
      <c r="C121" s="77" t="s">
        <v>793</v>
      </c>
      <c r="D121" s="77" t="s">
        <v>255</v>
      </c>
      <c r="E121" s="77">
        <v>3</v>
      </c>
      <c r="I121" s="1047" t="s">
        <v>1286</v>
      </c>
      <c r="J121" s="59" t="s">
        <v>793</v>
      </c>
    </row>
    <row r="122" spans="1:10" x14ac:dyDescent="0.25">
      <c r="A122" s="1134" t="s">
        <v>1386</v>
      </c>
      <c r="B122" s="1134"/>
      <c r="C122" s="1134">
        <v>414019</v>
      </c>
      <c r="D122" s="77" t="s">
        <v>255</v>
      </c>
      <c r="E122" s="77">
        <v>3</v>
      </c>
      <c r="I122" s="1134" t="s">
        <v>1386</v>
      </c>
      <c r="J122" s="59">
        <v>414019</v>
      </c>
    </row>
    <row r="123" spans="1:10" x14ac:dyDescent="0.25">
      <c r="A123" s="1047" t="s">
        <v>567</v>
      </c>
      <c r="C123" s="77" t="s">
        <v>274</v>
      </c>
      <c r="D123" s="77" t="s">
        <v>255</v>
      </c>
      <c r="E123" s="77">
        <v>3</v>
      </c>
      <c r="I123" s="1047" t="s">
        <v>567</v>
      </c>
      <c r="J123" s="59" t="s">
        <v>274</v>
      </c>
    </row>
    <row r="124" spans="1:10" x14ac:dyDescent="0.25">
      <c r="A124" s="1134" t="s">
        <v>1387</v>
      </c>
      <c r="B124" s="1134"/>
      <c r="C124" s="1134">
        <v>458078</v>
      </c>
      <c r="D124" s="77" t="s">
        <v>255</v>
      </c>
      <c r="E124" s="77">
        <v>3</v>
      </c>
      <c r="I124" s="1134" t="s">
        <v>1387</v>
      </c>
      <c r="J124" s="59">
        <v>458078</v>
      </c>
    </row>
    <row r="125" spans="1:10" x14ac:dyDescent="0.25">
      <c r="A125" s="1047" t="s">
        <v>1287</v>
      </c>
      <c r="C125" s="77" t="s">
        <v>795</v>
      </c>
      <c r="D125" s="77" t="s">
        <v>255</v>
      </c>
      <c r="E125" s="77">
        <v>3</v>
      </c>
      <c r="I125" s="1047" t="s">
        <v>1287</v>
      </c>
      <c r="J125" s="59" t="s">
        <v>795</v>
      </c>
    </row>
    <row r="126" spans="1:10" x14ac:dyDescent="0.25">
      <c r="A126" s="1047" t="s">
        <v>289</v>
      </c>
      <c r="C126" s="77" t="s">
        <v>290</v>
      </c>
      <c r="D126" s="77" t="s">
        <v>255</v>
      </c>
      <c r="E126" s="77">
        <v>3</v>
      </c>
      <c r="I126" s="1047" t="s">
        <v>289</v>
      </c>
      <c r="J126" s="59" t="s">
        <v>290</v>
      </c>
    </row>
    <row r="127" spans="1:10" x14ac:dyDescent="0.25">
      <c r="A127" s="1133" t="s">
        <v>1306</v>
      </c>
      <c r="B127" s="1133"/>
      <c r="C127" s="1168">
        <v>4003</v>
      </c>
      <c r="D127" s="1134"/>
      <c r="E127" s="1134"/>
      <c r="I127" s="1133" t="s">
        <v>1306</v>
      </c>
      <c r="J127" s="59">
        <v>4003</v>
      </c>
    </row>
    <row r="128" spans="1:10" x14ac:dyDescent="0.25">
      <c r="A128" s="1047" t="s">
        <v>797</v>
      </c>
      <c r="C128" s="77" t="s">
        <v>798</v>
      </c>
      <c r="D128" s="77" t="s">
        <v>255</v>
      </c>
      <c r="E128" s="77">
        <v>3</v>
      </c>
      <c r="I128" s="1047" t="s">
        <v>797</v>
      </c>
      <c r="J128" s="59" t="s">
        <v>798</v>
      </c>
    </row>
    <row r="129" spans="1:10" x14ac:dyDescent="0.25">
      <c r="A129" s="1047" t="s">
        <v>111</v>
      </c>
      <c r="C129" s="1167">
        <v>4178</v>
      </c>
      <c r="I129" s="1047" t="s">
        <v>111</v>
      </c>
      <c r="J129" s="59">
        <v>4178</v>
      </c>
    </row>
    <row r="130" spans="1:10" x14ac:dyDescent="0.25">
      <c r="A130" s="1047" t="s">
        <v>98</v>
      </c>
      <c r="B130" s="77" t="s">
        <v>230</v>
      </c>
      <c r="C130" s="77">
        <v>3158</v>
      </c>
      <c r="D130" s="77" t="s">
        <v>195</v>
      </c>
      <c r="E130" s="77">
        <v>1</v>
      </c>
      <c r="I130" s="1047" t="s">
        <v>98</v>
      </c>
      <c r="J130" s="59">
        <v>3158</v>
      </c>
    </row>
    <row r="131" spans="1:10" x14ac:dyDescent="0.25">
      <c r="A131" s="1047" t="s">
        <v>32</v>
      </c>
      <c r="B131" s="77" t="s">
        <v>210</v>
      </c>
      <c r="C131" s="77">
        <v>2619</v>
      </c>
      <c r="D131" s="77" t="s">
        <v>195</v>
      </c>
      <c r="E131" s="77">
        <v>1</v>
      </c>
      <c r="I131" s="1047" t="s">
        <v>32</v>
      </c>
      <c r="J131" s="59">
        <v>2619</v>
      </c>
    </row>
    <row r="132" spans="1:10" x14ac:dyDescent="0.25">
      <c r="A132" s="1134" t="s">
        <v>1389</v>
      </c>
      <c r="B132" s="1134"/>
      <c r="C132" s="1134" t="s">
        <v>1390</v>
      </c>
      <c r="D132" s="1170" t="s">
        <v>240</v>
      </c>
      <c r="E132" s="1134">
        <v>4</v>
      </c>
      <c r="I132" s="1134" t="s">
        <v>1389</v>
      </c>
      <c r="J132" s="59" t="s">
        <v>1390</v>
      </c>
    </row>
    <row r="133" spans="1:10" x14ac:dyDescent="0.25">
      <c r="A133" s="1047" t="s">
        <v>799</v>
      </c>
      <c r="C133" s="77" t="s">
        <v>800</v>
      </c>
      <c r="D133" s="77" t="s">
        <v>240</v>
      </c>
      <c r="E133" s="77">
        <v>4</v>
      </c>
      <c r="I133" s="1047" t="s">
        <v>799</v>
      </c>
      <c r="J133" s="59" t="s">
        <v>800</v>
      </c>
    </row>
    <row r="134" spans="1:10" x14ac:dyDescent="0.25">
      <c r="A134" s="1134" t="s">
        <v>1391</v>
      </c>
      <c r="B134" s="1134"/>
      <c r="C134" s="1134">
        <v>487369</v>
      </c>
      <c r="D134" s="1170" t="s">
        <v>240</v>
      </c>
      <c r="E134" s="1134">
        <v>4</v>
      </c>
      <c r="I134" s="1134" t="s">
        <v>1391</v>
      </c>
      <c r="J134" s="59">
        <v>487369</v>
      </c>
    </row>
    <row r="135" spans="1:10" x14ac:dyDescent="0.25">
      <c r="A135" s="1134" t="s">
        <v>1392</v>
      </c>
      <c r="B135" s="1134"/>
      <c r="C135" s="1134">
        <v>477763</v>
      </c>
      <c r="D135" s="1170" t="s">
        <v>240</v>
      </c>
      <c r="E135" s="1134">
        <v>4</v>
      </c>
      <c r="I135" s="1134" t="s">
        <v>1392</v>
      </c>
      <c r="J135" s="59">
        <v>477763</v>
      </c>
    </row>
    <row r="136" spans="1:10" x14ac:dyDescent="0.25">
      <c r="A136" s="1047" t="s">
        <v>294</v>
      </c>
      <c r="C136" s="77" t="s">
        <v>295</v>
      </c>
      <c r="D136" s="77" t="s">
        <v>255</v>
      </c>
      <c r="E136" s="77">
        <v>3</v>
      </c>
      <c r="I136" s="1047" t="s">
        <v>294</v>
      </c>
      <c r="J136" s="59" t="s">
        <v>295</v>
      </c>
    </row>
    <row r="137" spans="1:10" x14ac:dyDescent="0.25">
      <c r="A137" s="1047" t="s">
        <v>296</v>
      </c>
      <c r="B137" s="77" t="s">
        <v>297</v>
      </c>
      <c r="C137" s="77">
        <v>258417</v>
      </c>
      <c r="D137" s="77" t="s">
        <v>255</v>
      </c>
      <c r="E137" s="77">
        <v>3</v>
      </c>
      <c r="I137" s="1047" t="s">
        <v>296</v>
      </c>
      <c r="J137" s="59">
        <v>258417</v>
      </c>
    </row>
    <row r="138" spans="1:10" x14ac:dyDescent="0.25">
      <c r="A138" s="1047" t="s">
        <v>298</v>
      </c>
      <c r="B138" s="77" t="s">
        <v>299</v>
      </c>
      <c r="C138" s="77" t="s">
        <v>300</v>
      </c>
      <c r="D138" s="77" t="s">
        <v>240</v>
      </c>
      <c r="E138" s="77">
        <v>4</v>
      </c>
      <c r="I138" s="1047" t="s">
        <v>298</v>
      </c>
      <c r="J138" s="59" t="s">
        <v>300</v>
      </c>
    </row>
    <row r="139" spans="1:10" x14ac:dyDescent="0.25">
      <c r="A139" s="1047" t="s">
        <v>301</v>
      </c>
      <c r="B139" s="77" t="s">
        <v>302</v>
      </c>
      <c r="C139" s="77" t="s">
        <v>303</v>
      </c>
      <c r="D139" s="77" t="s">
        <v>255</v>
      </c>
      <c r="E139" s="77">
        <v>3</v>
      </c>
      <c r="I139" s="1047" t="s">
        <v>301</v>
      </c>
      <c r="J139" s="59" t="s">
        <v>303</v>
      </c>
    </row>
    <row r="140" spans="1:10" x14ac:dyDescent="0.25">
      <c r="A140" s="1047" t="s">
        <v>33</v>
      </c>
      <c r="B140" s="77" t="s">
        <v>211</v>
      </c>
      <c r="C140" s="77">
        <v>2518</v>
      </c>
      <c r="D140" s="77" t="s">
        <v>195</v>
      </c>
      <c r="E140" s="77">
        <v>1</v>
      </c>
      <c r="I140" s="1047" t="s">
        <v>33</v>
      </c>
      <c r="J140" s="59">
        <v>2518</v>
      </c>
    </row>
    <row r="141" spans="1:10" x14ac:dyDescent="0.25">
      <c r="A141" s="1047" t="s">
        <v>801</v>
      </c>
      <c r="C141" s="77" t="s">
        <v>802</v>
      </c>
      <c r="D141" s="77" t="s">
        <v>255</v>
      </c>
      <c r="E141" s="77">
        <v>3</v>
      </c>
      <c r="I141" s="1047" t="s">
        <v>801</v>
      </c>
      <c r="J141" s="59" t="s">
        <v>802</v>
      </c>
    </row>
    <row r="142" spans="1:10" x14ac:dyDescent="0.25">
      <c r="A142" s="1047" t="s">
        <v>304</v>
      </c>
      <c r="B142" s="77" t="s">
        <v>305</v>
      </c>
      <c r="C142" s="77">
        <v>206106</v>
      </c>
      <c r="D142" s="77" t="s">
        <v>240</v>
      </c>
      <c r="E142" s="77">
        <v>4</v>
      </c>
      <c r="I142" s="1047" t="s">
        <v>304</v>
      </c>
      <c r="J142" s="59">
        <v>206106</v>
      </c>
    </row>
    <row r="143" spans="1:10" x14ac:dyDescent="0.25">
      <c r="A143" s="1047" t="s">
        <v>306</v>
      </c>
      <c r="C143" s="77" t="s">
        <v>307</v>
      </c>
      <c r="D143" s="77" t="s">
        <v>240</v>
      </c>
      <c r="E143" s="77">
        <v>4</v>
      </c>
      <c r="I143" s="1047" t="s">
        <v>306</v>
      </c>
      <c r="J143" s="59" t="s">
        <v>307</v>
      </c>
    </row>
    <row r="144" spans="1:10" x14ac:dyDescent="0.25">
      <c r="A144" s="1047" t="s">
        <v>803</v>
      </c>
      <c r="C144" s="77" t="s">
        <v>804</v>
      </c>
      <c r="D144" s="77" t="s">
        <v>240</v>
      </c>
      <c r="E144" s="77">
        <v>4</v>
      </c>
      <c r="I144" s="1047" t="s">
        <v>803</v>
      </c>
      <c r="J144" s="59" t="s">
        <v>804</v>
      </c>
    </row>
    <row r="145" spans="1:10" x14ac:dyDescent="0.25">
      <c r="A145" s="1047" t="s">
        <v>34</v>
      </c>
      <c r="C145" s="1167">
        <v>2457</v>
      </c>
      <c r="I145" s="1047" t="s">
        <v>34</v>
      </c>
      <c r="J145" s="59">
        <v>2457</v>
      </c>
    </row>
    <row r="146" spans="1:10" x14ac:dyDescent="0.25">
      <c r="A146" s="1047" t="s">
        <v>99</v>
      </c>
      <c r="C146" s="77">
        <v>2010</v>
      </c>
      <c r="D146" s="77" t="s">
        <v>195</v>
      </c>
      <c r="E146" s="77">
        <v>1</v>
      </c>
      <c r="I146" s="1047" t="s">
        <v>99</v>
      </c>
      <c r="J146" s="59">
        <v>2010</v>
      </c>
    </row>
    <row r="147" spans="1:10" x14ac:dyDescent="0.25">
      <c r="A147" s="1047" t="s">
        <v>35</v>
      </c>
      <c r="B147" s="77" t="s">
        <v>212</v>
      </c>
      <c r="C147" s="77">
        <v>2002</v>
      </c>
      <c r="D147" s="77" t="s">
        <v>195</v>
      </c>
      <c r="E147" s="77">
        <v>1</v>
      </c>
      <c r="I147" s="1047" t="s">
        <v>35</v>
      </c>
      <c r="J147" s="59">
        <v>2002</v>
      </c>
    </row>
    <row r="148" spans="1:10" x14ac:dyDescent="0.25">
      <c r="A148" s="1047" t="s">
        <v>36</v>
      </c>
      <c r="B148" s="77" t="s">
        <v>213</v>
      </c>
      <c r="C148" s="77">
        <v>3544</v>
      </c>
      <c r="D148" s="77" t="s">
        <v>195</v>
      </c>
      <c r="E148" s="77">
        <v>1</v>
      </c>
      <c r="I148" s="1047" t="s">
        <v>36</v>
      </c>
      <c r="J148" s="59">
        <v>3544</v>
      </c>
    </row>
    <row r="149" spans="1:10" x14ac:dyDescent="0.25">
      <c r="A149" s="1047" t="s">
        <v>5</v>
      </c>
      <c r="B149" s="77" t="s">
        <v>214</v>
      </c>
      <c r="C149" s="77">
        <v>1008</v>
      </c>
      <c r="D149" s="77" t="s">
        <v>192</v>
      </c>
      <c r="E149" s="77">
        <v>2</v>
      </c>
      <c r="I149" s="1047" t="s">
        <v>5</v>
      </c>
      <c r="J149" s="59">
        <v>1008</v>
      </c>
    </row>
    <row r="150" spans="1:10" x14ac:dyDescent="0.25">
      <c r="A150" s="1047" t="s">
        <v>308</v>
      </c>
      <c r="B150" s="77" t="s">
        <v>262</v>
      </c>
      <c r="C150" s="77" t="s">
        <v>309</v>
      </c>
      <c r="D150" s="77" t="s">
        <v>255</v>
      </c>
      <c r="E150" s="77">
        <v>3</v>
      </c>
      <c r="I150" s="1047" t="s">
        <v>308</v>
      </c>
      <c r="J150" s="59" t="s">
        <v>309</v>
      </c>
    </row>
    <row r="151" spans="1:10" x14ac:dyDescent="0.25">
      <c r="A151" s="1047" t="s">
        <v>100</v>
      </c>
      <c r="B151" s="77" t="s">
        <v>215</v>
      </c>
      <c r="C151" s="77">
        <v>2006</v>
      </c>
      <c r="D151" s="77" t="s">
        <v>195</v>
      </c>
      <c r="E151" s="77">
        <v>1</v>
      </c>
      <c r="I151" s="1047" t="s">
        <v>100</v>
      </c>
      <c r="J151" s="59">
        <v>2006</v>
      </c>
    </row>
    <row r="152" spans="1:10" x14ac:dyDescent="0.25">
      <c r="A152" s="1047" t="s">
        <v>310</v>
      </c>
      <c r="C152" s="77" t="s">
        <v>311</v>
      </c>
      <c r="D152" s="77" t="s">
        <v>240</v>
      </c>
      <c r="E152" s="77">
        <v>4</v>
      </c>
      <c r="I152" s="1047" t="s">
        <v>310</v>
      </c>
      <c r="J152" s="59" t="s">
        <v>311</v>
      </c>
    </row>
    <row r="153" spans="1:10" x14ac:dyDescent="0.25">
      <c r="A153" s="1047" t="s">
        <v>312</v>
      </c>
      <c r="B153" s="77" t="s">
        <v>313</v>
      </c>
      <c r="C153" s="77">
        <v>206133</v>
      </c>
      <c r="D153" s="77" t="s">
        <v>255</v>
      </c>
      <c r="E153" s="77">
        <v>3</v>
      </c>
      <c r="H153" s="55"/>
      <c r="I153" s="1047" t="s">
        <v>312</v>
      </c>
      <c r="J153" s="59">
        <v>206133</v>
      </c>
    </row>
    <row r="154" spans="1:10" x14ac:dyDescent="0.25">
      <c r="A154" s="1047" t="s">
        <v>806</v>
      </c>
      <c r="C154" s="77" t="s">
        <v>807</v>
      </c>
      <c r="D154" s="77" t="s">
        <v>240</v>
      </c>
      <c r="E154" s="77">
        <v>4</v>
      </c>
      <c r="H154" s="55"/>
      <c r="I154" s="1047" t="s">
        <v>806</v>
      </c>
      <c r="J154" s="59" t="s">
        <v>807</v>
      </c>
    </row>
    <row r="155" spans="1:10" x14ac:dyDescent="0.25">
      <c r="A155" s="1047" t="s">
        <v>314</v>
      </c>
      <c r="B155" s="77" t="s">
        <v>315</v>
      </c>
      <c r="C155" s="77" t="s">
        <v>316</v>
      </c>
      <c r="D155" s="77" t="s">
        <v>240</v>
      </c>
      <c r="E155" s="77">
        <v>4</v>
      </c>
      <c r="I155" s="1047" t="s">
        <v>314</v>
      </c>
      <c r="J155" s="59" t="s">
        <v>316</v>
      </c>
    </row>
    <row r="156" spans="1:10" x14ac:dyDescent="0.25">
      <c r="A156" s="1047" t="s">
        <v>317</v>
      </c>
      <c r="B156" s="77" t="s">
        <v>318</v>
      </c>
      <c r="C156" s="77">
        <v>206134</v>
      </c>
      <c r="D156" s="77" t="s">
        <v>255</v>
      </c>
      <c r="E156" s="77">
        <v>3</v>
      </c>
      <c r="I156" s="1047" t="s">
        <v>317</v>
      </c>
      <c r="J156" s="59">
        <v>206134</v>
      </c>
    </row>
    <row r="157" spans="1:10" x14ac:dyDescent="0.25">
      <c r="A157" s="1047" t="s">
        <v>321</v>
      </c>
      <c r="C157" s="77" t="s">
        <v>322</v>
      </c>
      <c r="D157" s="77" t="s">
        <v>240</v>
      </c>
      <c r="E157" s="77">
        <v>4</v>
      </c>
      <c r="I157" s="1047" t="s">
        <v>321</v>
      </c>
      <c r="J157" s="59" t="s">
        <v>322</v>
      </c>
    </row>
    <row r="158" spans="1:10" x14ac:dyDescent="0.25">
      <c r="A158" s="1047" t="s">
        <v>319</v>
      </c>
      <c r="C158" s="77" t="s">
        <v>320</v>
      </c>
      <c r="D158" s="77" t="s">
        <v>240</v>
      </c>
      <c r="E158" s="77">
        <v>4</v>
      </c>
      <c r="I158" s="1047" t="s">
        <v>319</v>
      </c>
      <c r="J158" s="59" t="s">
        <v>320</v>
      </c>
    </row>
    <row r="159" spans="1:10" x14ac:dyDescent="0.25">
      <c r="A159" s="1047" t="s">
        <v>323</v>
      </c>
      <c r="C159" s="77" t="s">
        <v>324</v>
      </c>
      <c r="D159" s="77" t="s">
        <v>240</v>
      </c>
      <c r="E159" s="77">
        <v>4</v>
      </c>
      <c r="I159" s="1047" t="s">
        <v>323</v>
      </c>
      <c r="J159" s="59" t="s">
        <v>324</v>
      </c>
    </row>
    <row r="160" spans="1:10" x14ac:dyDescent="0.25">
      <c r="A160" s="1047" t="s">
        <v>325</v>
      </c>
      <c r="B160" s="77" t="s">
        <v>326</v>
      </c>
      <c r="C160" s="77">
        <v>206109</v>
      </c>
      <c r="D160" s="77" t="s">
        <v>240</v>
      </c>
      <c r="E160" s="77">
        <v>4</v>
      </c>
      <c r="I160" s="1047" t="s">
        <v>325</v>
      </c>
      <c r="J160" s="59">
        <v>206109</v>
      </c>
    </row>
    <row r="161" spans="1:10" x14ac:dyDescent="0.25">
      <c r="A161" s="1047" t="s">
        <v>37</v>
      </c>
      <c r="B161" s="77" t="s">
        <v>216</v>
      </c>
      <c r="C161" s="77">
        <v>2434</v>
      </c>
      <c r="D161" s="77" t="s">
        <v>195</v>
      </c>
      <c r="E161" s="77">
        <v>1</v>
      </c>
      <c r="I161" s="1047" t="s">
        <v>37</v>
      </c>
      <c r="J161" s="59">
        <v>2434</v>
      </c>
    </row>
    <row r="162" spans="1:10" x14ac:dyDescent="0.25">
      <c r="A162" s="1047" t="s">
        <v>42</v>
      </c>
      <c r="C162" s="1167">
        <v>2009</v>
      </c>
      <c r="I162" s="1047" t="s">
        <v>42</v>
      </c>
      <c r="J162" s="59">
        <v>2009</v>
      </c>
    </row>
    <row r="163" spans="1:10" x14ac:dyDescent="0.25">
      <c r="A163" s="1047" t="s">
        <v>569</v>
      </c>
      <c r="C163" s="1167">
        <v>6905</v>
      </c>
      <c r="I163" s="1047" t="s">
        <v>569</v>
      </c>
      <c r="J163" s="59">
        <v>6905</v>
      </c>
    </row>
    <row r="164" spans="1:10" x14ac:dyDescent="0.25">
      <c r="A164" s="1047" t="s">
        <v>38</v>
      </c>
      <c r="C164" s="1167">
        <v>2522</v>
      </c>
      <c r="I164" s="1047" t="s">
        <v>38</v>
      </c>
      <c r="J164" s="59">
        <v>2522</v>
      </c>
    </row>
    <row r="165" spans="1:10" x14ac:dyDescent="0.25">
      <c r="A165" s="1047" t="s">
        <v>327</v>
      </c>
      <c r="B165" s="77" t="s">
        <v>328</v>
      </c>
      <c r="C165" s="77">
        <v>206110</v>
      </c>
      <c r="D165" s="77" t="s">
        <v>240</v>
      </c>
      <c r="E165" s="77">
        <v>4</v>
      </c>
      <c r="I165" s="1047" t="s">
        <v>327</v>
      </c>
      <c r="J165" s="59">
        <v>206110</v>
      </c>
    </row>
    <row r="166" spans="1:10" x14ac:dyDescent="0.25">
      <c r="A166" s="1047" t="s">
        <v>329</v>
      </c>
      <c r="B166" s="77" t="s">
        <v>330</v>
      </c>
      <c r="C166" s="77">
        <v>206135</v>
      </c>
      <c r="D166" s="77" t="s">
        <v>255</v>
      </c>
      <c r="E166" s="77">
        <v>3</v>
      </c>
      <c r="I166" s="1047" t="s">
        <v>329</v>
      </c>
      <c r="J166" s="59">
        <v>206135</v>
      </c>
    </row>
    <row r="167" spans="1:10" x14ac:dyDescent="0.25">
      <c r="A167" s="1047" t="s">
        <v>69</v>
      </c>
      <c r="C167" s="1167">
        <v>4181</v>
      </c>
      <c r="I167" s="1047" t="s">
        <v>69</v>
      </c>
      <c r="J167" s="59">
        <v>4181</v>
      </c>
    </row>
    <row r="168" spans="1:10" x14ac:dyDescent="0.25">
      <c r="A168" s="1047" t="s">
        <v>331</v>
      </c>
      <c r="B168" s="77" t="s">
        <v>332</v>
      </c>
      <c r="C168" s="77">
        <v>509195</v>
      </c>
      <c r="D168" s="77" t="s">
        <v>240</v>
      </c>
      <c r="E168" s="77">
        <v>4</v>
      </c>
      <c r="I168" s="1047" t="s">
        <v>331</v>
      </c>
      <c r="J168" s="59">
        <v>509195</v>
      </c>
    </row>
    <row r="169" spans="1:10" x14ac:dyDescent="0.25">
      <c r="A169" s="1047" t="s">
        <v>333</v>
      </c>
      <c r="C169" s="77" t="s">
        <v>334</v>
      </c>
      <c r="D169" s="77" t="s">
        <v>240</v>
      </c>
      <c r="E169" s="77">
        <v>4</v>
      </c>
      <c r="I169" s="1047" t="s">
        <v>333</v>
      </c>
      <c r="J169" s="59" t="s">
        <v>334</v>
      </c>
    </row>
    <row r="170" spans="1:10" x14ac:dyDescent="0.25">
      <c r="A170" s="1047" t="s">
        <v>335</v>
      </c>
      <c r="C170" s="77" t="s">
        <v>336</v>
      </c>
      <c r="D170" s="77" t="s">
        <v>240</v>
      </c>
      <c r="E170" s="77">
        <v>4</v>
      </c>
      <c r="I170" s="1047" t="s">
        <v>335</v>
      </c>
      <c r="J170" s="59" t="s">
        <v>336</v>
      </c>
    </row>
    <row r="171" spans="1:10" x14ac:dyDescent="0.25">
      <c r="A171" s="1134" t="s">
        <v>1394</v>
      </c>
      <c r="B171" s="1134"/>
      <c r="C171" s="1134">
        <v>492973</v>
      </c>
      <c r="D171" s="1170" t="s">
        <v>255</v>
      </c>
      <c r="E171" s="1134">
        <v>3</v>
      </c>
      <c r="I171" s="1134" t="s">
        <v>1394</v>
      </c>
      <c r="J171" s="59">
        <v>492973</v>
      </c>
    </row>
    <row r="172" spans="1:10" x14ac:dyDescent="0.25">
      <c r="A172" s="1047" t="s">
        <v>337</v>
      </c>
      <c r="B172" s="77" t="s">
        <v>338</v>
      </c>
      <c r="C172" s="77" t="s">
        <v>339</v>
      </c>
      <c r="D172" s="77" t="s">
        <v>255</v>
      </c>
      <c r="E172" s="77">
        <v>3</v>
      </c>
      <c r="I172" s="1047" t="s">
        <v>337</v>
      </c>
      <c r="J172" s="59" t="s">
        <v>339</v>
      </c>
    </row>
    <row r="173" spans="1:10" x14ac:dyDescent="0.25">
      <c r="A173" s="1047" t="s">
        <v>340</v>
      </c>
      <c r="B173" s="77" t="s">
        <v>341</v>
      </c>
      <c r="C173" s="77">
        <v>509199</v>
      </c>
      <c r="D173" s="77" t="s">
        <v>240</v>
      </c>
      <c r="E173" s="77">
        <v>4</v>
      </c>
      <c r="I173" s="1047" t="s">
        <v>340</v>
      </c>
      <c r="J173" s="59">
        <v>509199</v>
      </c>
    </row>
    <row r="174" spans="1:10" x14ac:dyDescent="0.25">
      <c r="A174" s="1047" t="s">
        <v>342</v>
      </c>
      <c r="B174" s="77" t="s">
        <v>343</v>
      </c>
      <c r="C174" s="77">
        <v>509197</v>
      </c>
      <c r="D174" s="77" t="s">
        <v>240</v>
      </c>
      <c r="E174" s="77">
        <v>4</v>
      </c>
      <c r="I174" s="1047" t="s">
        <v>342</v>
      </c>
      <c r="J174" s="59">
        <v>509197</v>
      </c>
    </row>
    <row r="175" spans="1:10" x14ac:dyDescent="0.25">
      <c r="A175" s="1047" t="s">
        <v>808</v>
      </c>
      <c r="C175" s="77">
        <v>479383</v>
      </c>
      <c r="D175" s="77" t="s">
        <v>255</v>
      </c>
      <c r="E175" s="77">
        <v>3</v>
      </c>
      <c r="I175" s="1047" t="s">
        <v>808</v>
      </c>
      <c r="J175" s="59">
        <v>479383</v>
      </c>
    </row>
    <row r="176" spans="1:10" x14ac:dyDescent="0.25">
      <c r="A176" s="1047" t="s">
        <v>347</v>
      </c>
      <c r="C176" s="77" t="s">
        <v>348</v>
      </c>
      <c r="D176" s="77" t="s">
        <v>255</v>
      </c>
      <c r="E176" s="77">
        <v>3</v>
      </c>
      <c r="I176" s="1047" t="s">
        <v>347</v>
      </c>
      <c r="J176" s="59" t="s">
        <v>348</v>
      </c>
    </row>
    <row r="177" spans="1:10" x14ac:dyDescent="0.25">
      <c r="A177" s="1047" t="s">
        <v>70</v>
      </c>
      <c r="C177" s="1167">
        <v>4182</v>
      </c>
      <c r="I177" s="1047" t="s">
        <v>70</v>
      </c>
      <c r="J177" s="59">
        <v>4182</v>
      </c>
    </row>
    <row r="178" spans="1:10" x14ac:dyDescent="0.25">
      <c r="A178" s="1047" t="s">
        <v>344</v>
      </c>
      <c r="B178" s="77" t="s">
        <v>345</v>
      </c>
      <c r="C178" s="77" t="s">
        <v>346</v>
      </c>
      <c r="D178" s="77" t="s">
        <v>255</v>
      </c>
      <c r="E178" s="77">
        <v>3</v>
      </c>
      <c r="I178" s="1047" t="s">
        <v>344</v>
      </c>
      <c r="J178" s="59" t="s">
        <v>346</v>
      </c>
    </row>
    <row r="179" spans="1:10" x14ac:dyDescent="0.25">
      <c r="A179" s="1047" t="s">
        <v>6</v>
      </c>
      <c r="B179" s="77" t="s">
        <v>217</v>
      </c>
      <c r="C179" s="77">
        <v>1005</v>
      </c>
      <c r="D179" s="77" t="s">
        <v>192</v>
      </c>
      <c r="E179" s="77">
        <v>2</v>
      </c>
      <c r="I179" s="1047" t="s">
        <v>6</v>
      </c>
      <c r="J179" s="59">
        <v>1005</v>
      </c>
    </row>
    <row r="180" spans="1:10" x14ac:dyDescent="0.25">
      <c r="A180" s="1047" t="s">
        <v>39</v>
      </c>
      <c r="C180" s="1167">
        <v>2436</v>
      </c>
      <c r="I180" s="1047" t="s">
        <v>39</v>
      </c>
      <c r="J180" s="59">
        <v>2436</v>
      </c>
    </row>
    <row r="181" spans="1:10" x14ac:dyDescent="0.25">
      <c r="A181" s="1047" t="s">
        <v>349</v>
      </c>
      <c r="B181" s="77" t="s">
        <v>350</v>
      </c>
      <c r="C181" s="77">
        <v>206117</v>
      </c>
      <c r="D181" s="77" t="s">
        <v>240</v>
      </c>
      <c r="E181" s="77">
        <v>4</v>
      </c>
      <c r="I181" s="1047" t="s">
        <v>349</v>
      </c>
      <c r="J181" s="59">
        <v>206117</v>
      </c>
    </row>
    <row r="182" spans="1:10" x14ac:dyDescent="0.25">
      <c r="A182" s="1047" t="s">
        <v>40</v>
      </c>
      <c r="B182" s="77" t="s">
        <v>218</v>
      </c>
      <c r="C182" s="77">
        <v>2452</v>
      </c>
      <c r="D182" s="77" t="s">
        <v>195</v>
      </c>
      <c r="E182" s="77">
        <v>1</v>
      </c>
      <c r="I182" s="1047" t="s">
        <v>40</v>
      </c>
      <c r="J182" s="59">
        <v>2452</v>
      </c>
    </row>
    <row r="183" spans="1:10" x14ac:dyDescent="0.25">
      <c r="A183" s="1047" t="s">
        <v>71</v>
      </c>
      <c r="C183" s="1167">
        <v>4001</v>
      </c>
      <c r="I183" s="1047" t="s">
        <v>71</v>
      </c>
      <c r="J183" s="59">
        <v>4001</v>
      </c>
    </row>
    <row r="184" spans="1:10" x14ac:dyDescent="0.25">
      <c r="A184" s="1047" t="s">
        <v>351</v>
      </c>
      <c r="B184" s="77" t="s">
        <v>352</v>
      </c>
      <c r="C184" s="77">
        <v>206141</v>
      </c>
      <c r="D184" s="77" t="s">
        <v>255</v>
      </c>
      <c r="E184" s="77">
        <v>3</v>
      </c>
      <c r="I184" s="1047" t="s">
        <v>351</v>
      </c>
      <c r="J184" s="59">
        <v>206141</v>
      </c>
    </row>
    <row r="185" spans="1:10" x14ac:dyDescent="0.25">
      <c r="A185" s="1047" t="s">
        <v>41</v>
      </c>
      <c r="C185" s="1167">
        <v>2627</v>
      </c>
      <c r="I185" s="1047" t="s">
        <v>41</v>
      </c>
      <c r="J185" s="59">
        <v>2627</v>
      </c>
    </row>
    <row r="186" spans="1:10" x14ac:dyDescent="0.25">
      <c r="A186" s="1047" t="s">
        <v>112</v>
      </c>
      <c r="C186" s="1167">
        <v>5406</v>
      </c>
      <c r="I186" s="1047" t="s">
        <v>112</v>
      </c>
      <c r="J186" s="59">
        <v>5406</v>
      </c>
    </row>
    <row r="187" spans="1:10" x14ac:dyDescent="0.25">
      <c r="A187" s="1047" t="s">
        <v>113</v>
      </c>
      <c r="C187" s="1167">
        <v>5407</v>
      </c>
      <c r="I187" s="1047" t="s">
        <v>113</v>
      </c>
      <c r="J187" s="59">
        <v>5407</v>
      </c>
    </row>
    <row r="188" spans="1:10" x14ac:dyDescent="0.25">
      <c r="A188" s="1047" t="s">
        <v>353</v>
      </c>
      <c r="B188" s="77" t="s">
        <v>354</v>
      </c>
      <c r="C188" s="77" t="s">
        <v>355</v>
      </c>
      <c r="D188" s="77" t="s">
        <v>240</v>
      </c>
      <c r="E188" s="77">
        <v>4</v>
      </c>
      <c r="I188" s="1047" t="s">
        <v>353</v>
      </c>
      <c r="J188" s="59" t="s">
        <v>355</v>
      </c>
    </row>
    <row r="189" spans="1:10" x14ac:dyDescent="0.25">
      <c r="A189" s="1047" t="s">
        <v>356</v>
      </c>
      <c r="B189" s="77" t="s">
        <v>357</v>
      </c>
      <c r="C189" s="77">
        <v>258404</v>
      </c>
      <c r="D189" s="77" t="s">
        <v>240</v>
      </c>
      <c r="E189" s="77">
        <v>4</v>
      </c>
      <c r="I189" s="1047" t="s">
        <v>356</v>
      </c>
      <c r="J189" s="59">
        <v>258404</v>
      </c>
    </row>
    <row r="190" spans="1:10" x14ac:dyDescent="0.25">
      <c r="A190" s="1047" t="s">
        <v>101</v>
      </c>
      <c r="B190" s="77" t="s">
        <v>220</v>
      </c>
      <c r="C190" s="77">
        <v>2473</v>
      </c>
      <c r="D190" s="77" t="s">
        <v>195</v>
      </c>
      <c r="E190" s="77">
        <v>1</v>
      </c>
      <c r="I190" s="1047" t="s">
        <v>101</v>
      </c>
      <c r="J190" s="59">
        <v>2473</v>
      </c>
    </row>
    <row r="191" spans="1:10" x14ac:dyDescent="0.25">
      <c r="A191" s="1047" t="s">
        <v>44</v>
      </c>
      <c r="C191" s="1167">
        <v>2471</v>
      </c>
      <c r="I191" s="1047" t="s">
        <v>44</v>
      </c>
      <c r="J191" s="59">
        <v>2471</v>
      </c>
    </row>
    <row r="192" spans="1:10" x14ac:dyDescent="0.25">
      <c r="A192" s="1047" t="s">
        <v>358</v>
      </c>
      <c r="B192" s="77" t="s">
        <v>359</v>
      </c>
      <c r="C192" s="77">
        <v>258405</v>
      </c>
      <c r="D192" s="77" t="s">
        <v>240</v>
      </c>
      <c r="E192" s="77">
        <v>4</v>
      </c>
      <c r="I192" s="1047" t="s">
        <v>358</v>
      </c>
      <c r="J192" s="59">
        <v>258405</v>
      </c>
    </row>
    <row r="193" spans="1:10" x14ac:dyDescent="0.25">
      <c r="A193" s="1047" t="s">
        <v>360</v>
      </c>
      <c r="B193" s="77" t="s">
        <v>361</v>
      </c>
      <c r="C193" s="77">
        <v>258406</v>
      </c>
      <c r="D193" s="77" t="s">
        <v>240</v>
      </c>
      <c r="E193" s="77">
        <v>4</v>
      </c>
      <c r="I193" s="1047" t="s">
        <v>360</v>
      </c>
      <c r="J193" s="59">
        <v>258406</v>
      </c>
    </row>
    <row r="194" spans="1:10" x14ac:dyDescent="0.25">
      <c r="A194" s="1047" t="s">
        <v>43</v>
      </c>
      <c r="B194" s="77" t="s">
        <v>219</v>
      </c>
      <c r="C194" s="77">
        <v>2420</v>
      </c>
      <c r="D194" s="77" t="s">
        <v>195</v>
      </c>
      <c r="E194" s="77">
        <v>1</v>
      </c>
      <c r="I194" s="1047" t="s">
        <v>43</v>
      </c>
      <c r="J194" s="59">
        <v>2420</v>
      </c>
    </row>
    <row r="195" spans="1:10" x14ac:dyDescent="0.25">
      <c r="A195" s="1047" t="s">
        <v>362</v>
      </c>
      <c r="B195" s="77" t="s">
        <v>363</v>
      </c>
      <c r="C195" s="77">
        <v>206160</v>
      </c>
      <c r="D195" s="77" t="s">
        <v>255</v>
      </c>
      <c r="E195" s="77">
        <v>3</v>
      </c>
      <c r="I195" s="1047" t="s">
        <v>362</v>
      </c>
      <c r="J195" s="59">
        <v>206160</v>
      </c>
    </row>
    <row r="196" spans="1:10" x14ac:dyDescent="0.25">
      <c r="A196" s="1047" t="s">
        <v>45</v>
      </c>
      <c r="B196" s="77" t="s">
        <v>221</v>
      </c>
      <c r="C196" s="77">
        <v>2003</v>
      </c>
      <c r="D196" s="77" t="s">
        <v>195</v>
      </c>
      <c r="E196" s="77">
        <v>1</v>
      </c>
      <c r="I196" s="1047" t="s">
        <v>45</v>
      </c>
      <c r="J196" s="59">
        <v>2003</v>
      </c>
    </row>
    <row r="197" spans="1:10" x14ac:dyDescent="0.25">
      <c r="A197" s="1047" t="s">
        <v>46</v>
      </c>
      <c r="C197" s="1167">
        <v>2423</v>
      </c>
      <c r="I197" s="1047" t="s">
        <v>46</v>
      </c>
      <c r="J197" s="59">
        <v>2423</v>
      </c>
    </row>
    <row r="198" spans="1:10" x14ac:dyDescent="0.25">
      <c r="A198" s="1047" t="s">
        <v>47</v>
      </c>
      <c r="C198" s="1167">
        <v>2424</v>
      </c>
      <c r="I198" s="1047" t="s">
        <v>47</v>
      </c>
      <c r="J198" s="59">
        <v>2424</v>
      </c>
    </row>
    <row r="199" spans="1:10" x14ac:dyDescent="0.25">
      <c r="A199" s="1047" t="s">
        <v>364</v>
      </c>
      <c r="B199" s="77" t="s">
        <v>365</v>
      </c>
      <c r="C199" s="77" t="s">
        <v>366</v>
      </c>
      <c r="D199" s="77" t="s">
        <v>240</v>
      </c>
      <c r="E199" s="77">
        <v>4</v>
      </c>
      <c r="I199" s="1047" t="s">
        <v>364</v>
      </c>
      <c r="J199" s="59" t="s">
        <v>366</v>
      </c>
    </row>
    <row r="200" spans="1:10" x14ac:dyDescent="0.25">
      <c r="A200" s="1047" t="s">
        <v>369</v>
      </c>
      <c r="B200" s="77" t="s">
        <v>370</v>
      </c>
      <c r="C200" s="77" t="s">
        <v>371</v>
      </c>
      <c r="D200" s="77" t="s">
        <v>240</v>
      </c>
      <c r="E200" s="77">
        <v>4</v>
      </c>
      <c r="I200" s="1047" t="s">
        <v>369</v>
      </c>
      <c r="J200" s="59" t="s">
        <v>371</v>
      </c>
    </row>
    <row r="201" spans="1:10" x14ac:dyDescent="0.25">
      <c r="A201" s="1047" t="s">
        <v>811</v>
      </c>
      <c r="C201" s="77" t="s">
        <v>812</v>
      </c>
      <c r="D201" s="77" t="s">
        <v>240</v>
      </c>
      <c r="E201" s="77">
        <v>4</v>
      </c>
      <c r="I201" s="1047" t="s">
        <v>811</v>
      </c>
      <c r="J201" s="59" t="s">
        <v>812</v>
      </c>
    </row>
    <row r="202" spans="1:10" x14ac:dyDescent="0.25">
      <c r="A202" s="1047" t="s">
        <v>372</v>
      </c>
      <c r="B202" s="77" t="s">
        <v>373</v>
      </c>
      <c r="C202" s="77">
        <v>206146</v>
      </c>
      <c r="D202" s="77" t="s">
        <v>255</v>
      </c>
      <c r="E202" s="77">
        <v>3</v>
      </c>
      <c r="I202" s="1047" t="s">
        <v>372</v>
      </c>
      <c r="J202" s="59">
        <v>206146</v>
      </c>
    </row>
    <row r="203" spans="1:10" x14ac:dyDescent="0.25">
      <c r="A203" s="1047" t="s">
        <v>48</v>
      </c>
      <c r="C203" s="1167">
        <v>2439</v>
      </c>
      <c r="I203" s="1047" t="s">
        <v>48</v>
      </c>
      <c r="J203" s="59">
        <v>2439</v>
      </c>
    </row>
    <row r="204" spans="1:10" x14ac:dyDescent="0.25">
      <c r="A204" s="1047" t="s">
        <v>49</v>
      </c>
      <c r="C204" s="1167">
        <v>2440</v>
      </c>
      <c r="I204" s="1047" t="s">
        <v>49</v>
      </c>
      <c r="J204" s="59">
        <v>2440</v>
      </c>
    </row>
    <row r="205" spans="1:10" x14ac:dyDescent="0.25">
      <c r="A205" s="1047" t="s">
        <v>374</v>
      </c>
      <c r="C205" s="77" t="s">
        <v>375</v>
      </c>
      <c r="D205" s="77" t="s">
        <v>240</v>
      </c>
      <c r="E205" s="77">
        <v>4</v>
      </c>
      <c r="I205" s="1047" t="s">
        <v>374</v>
      </c>
      <c r="J205" s="59" t="s">
        <v>375</v>
      </c>
    </row>
    <row r="206" spans="1:10" x14ac:dyDescent="0.25">
      <c r="A206" s="1047" t="s">
        <v>102</v>
      </c>
      <c r="B206" s="77" t="s">
        <v>222</v>
      </c>
      <c r="C206" s="77">
        <v>2462</v>
      </c>
      <c r="D206" s="77" t="s">
        <v>195</v>
      </c>
      <c r="E206" s="77">
        <v>1</v>
      </c>
      <c r="I206" s="1047" t="s">
        <v>102</v>
      </c>
      <c r="J206" s="59">
        <v>2462</v>
      </c>
    </row>
    <row r="207" spans="1:10" x14ac:dyDescent="0.25">
      <c r="A207" s="1047" t="s">
        <v>50</v>
      </c>
      <c r="C207" s="1167">
        <v>2463</v>
      </c>
      <c r="I207" s="1047" t="s">
        <v>50</v>
      </c>
      <c r="J207" s="59">
        <v>2463</v>
      </c>
    </row>
    <row r="208" spans="1:10" x14ac:dyDescent="0.25">
      <c r="A208" s="1047" t="s">
        <v>51</v>
      </c>
      <c r="B208" s="77" t="s">
        <v>223</v>
      </c>
      <c r="C208" s="77">
        <v>2505</v>
      </c>
      <c r="D208" s="77" t="s">
        <v>195</v>
      </c>
      <c r="E208" s="77">
        <v>1</v>
      </c>
      <c r="I208" s="1047" t="s">
        <v>51</v>
      </c>
      <c r="J208" s="59">
        <v>2505</v>
      </c>
    </row>
    <row r="209" spans="1:10" x14ac:dyDescent="0.25">
      <c r="A209" s="1135" t="s">
        <v>1304</v>
      </c>
      <c r="B209" s="77" t="s">
        <v>224</v>
      </c>
      <c r="C209" s="77">
        <v>2000</v>
      </c>
      <c r="D209" s="77" t="s">
        <v>195</v>
      </c>
      <c r="E209" s="77">
        <v>1</v>
      </c>
      <c r="I209" s="1135" t="s">
        <v>1304</v>
      </c>
      <c r="J209" s="59">
        <v>2000</v>
      </c>
    </row>
    <row r="210" spans="1:10" x14ac:dyDescent="0.25">
      <c r="A210" s="1047" t="s">
        <v>53</v>
      </c>
      <c r="C210" s="1167">
        <v>2458</v>
      </c>
      <c r="I210" s="1047" t="s">
        <v>53</v>
      </c>
      <c r="J210" s="59">
        <v>2458</v>
      </c>
    </row>
    <row r="211" spans="1:10" x14ac:dyDescent="0.25">
      <c r="A211" s="1047" t="s">
        <v>379</v>
      </c>
      <c r="B211" s="77" t="s">
        <v>380</v>
      </c>
      <c r="C211" s="77" t="s">
        <v>381</v>
      </c>
      <c r="D211" s="77" t="s">
        <v>240</v>
      </c>
      <c r="E211" s="77">
        <v>4</v>
      </c>
      <c r="I211" s="1047" t="s">
        <v>379</v>
      </c>
      <c r="J211" s="59" t="s">
        <v>381</v>
      </c>
    </row>
    <row r="212" spans="1:10" x14ac:dyDescent="0.25">
      <c r="A212" s="1047" t="s">
        <v>54</v>
      </c>
      <c r="B212" s="77" t="s">
        <v>225</v>
      </c>
      <c r="C212" s="77">
        <v>2001</v>
      </c>
      <c r="D212" s="77" t="s">
        <v>195</v>
      </c>
      <c r="E212" s="77">
        <v>1</v>
      </c>
      <c r="I212" s="1047" t="s">
        <v>54</v>
      </c>
      <c r="J212" s="67">
        <v>2001</v>
      </c>
    </row>
    <row r="213" spans="1:10" x14ac:dyDescent="0.25">
      <c r="A213" s="1047" t="s">
        <v>382</v>
      </c>
      <c r="C213" s="77" t="s">
        <v>383</v>
      </c>
      <c r="D213" s="77" t="s">
        <v>240</v>
      </c>
      <c r="E213" s="77">
        <v>4</v>
      </c>
      <c r="I213" s="1047" t="s">
        <v>382</v>
      </c>
      <c r="J213" s="110" t="s">
        <v>383</v>
      </c>
    </row>
    <row r="214" spans="1:10" x14ac:dyDescent="0.25">
      <c r="A214" s="1047" t="s">
        <v>55</v>
      </c>
      <c r="B214" s="77" t="s">
        <v>226</v>
      </c>
      <c r="C214" s="77">
        <v>2429</v>
      </c>
      <c r="D214" s="77" t="s">
        <v>195</v>
      </c>
      <c r="E214" s="77">
        <v>1</v>
      </c>
      <c r="I214" s="1047" t="s">
        <v>55</v>
      </c>
      <c r="J214" s="110">
        <v>2429</v>
      </c>
    </row>
    <row r="215" spans="1:10" x14ac:dyDescent="0.25">
      <c r="A215" s="1047" t="s">
        <v>384</v>
      </c>
      <c r="B215" s="77" t="s">
        <v>385</v>
      </c>
      <c r="C215" s="77">
        <v>113044</v>
      </c>
      <c r="D215" s="77" t="s">
        <v>255</v>
      </c>
      <c r="E215" s="77">
        <v>3</v>
      </c>
      <c r="I215" s="1047" t="s">
        <v>384</v>
      </c>
      <c r="J215" s="110">
        <v>113044</v>
      </c>
    </row>
    <row r="216" spans="1:10" x14ac:dyDescent="0.25">
      <c r="A216" s="1047" t="s">
        <v>386</v>
      </c>
      <c r="B216" s="77" t="s">
        <v>387</v>
      </c>
      <c r="C216" s="77" t="s">
        <v>388</v>
      </c>
      <c r="D216" s="77" t="s">
        <v>240</v>
      </c>
      <c r="E216" s="77">
        <v>4</v>
      </c>
      <c r="I216" s="1047" t="s">
        <v>386</v>
      </c>
      <c r="J216" s="67" t="s">
        <v>388</v>
      </c>
    </row>
    <row r="217" spans="1:10" x14ac:dyDescent="0.25">
      <c r="A217" s="1047" t="s">
        <v>72</v>
      </c>
      <c r="C217" s="1167">
        <v>4607</v>
      </c>
      <c r="I217" s="1047" t="s">
        <v>72</v>
      </c>
      <c r="J217" s="110">
        <v>4607</v>
      </c>
    </row>
    <row r="218" spans="1:10" x14ac:dyDescent="0.25">
      <c r="A218" s="1047" t="s">
        <v>818</v>
      </c>
      <c r="C218" s="77" t="s">
        <v>819</v>
      </c>
      <c r="D218" s="77" t="s">
        <v>255</v>
      </c>
      <c r="E218" s="77">
        <v>3</v>
      </c>
      <c r="I218" s="1047" t="s">
        <v>818</v>
      </c>
      <c r="J218" s="67" t="s">
        <v>819</v>
      </c>
    </row>
    <row r="219" spans="1:10" x14ac:dyDescent="0.25">
      <c r="A219" s="1047" t="s">
        <v>820</v>
      </c>
      <c r="C219" s="77" t="s">
        <v>821</v>
      </c>
      <c r="D219" s="77" t="s">
        <v>255</v>
      </c>
      <c r="E219" s="77">
        <v>3</v>
      </c>
      <c r="I219" s="1047" t="s">
        <v>820</v>
      </c>
      <c r="J219" s="67" t="s">
        <v>821</v>
      </c>
    </row>
    <row r="220" spans="1:10" x14ac:dyDescent="0.25">
      <c r="A220" s="1047" t="s">
        <v>56</v>
      </c>
      <c r="B220" s="77" t="s">
        <v>227</v>
      </c>
      <c r="C220" s="77">
        <v>2444</v>
      </c>
      <c r="D220" s="77" t="s">
        <v>195</v>
      </c>
      <c r="E220" s="77">
        <v>1</v>
      </c>
      <c r="I220" s="1047" t="s">
        <v>56</v>
      </c>
      <c r="J220" s="67">
        <v>2444</v>
      </c>
    </row>
    <row r="221" spans="1:10" x14ac:dyDescent="0.25">
      <c r="A221" s="1047" t="s">
        <v>57</v>
      </c>
      <c r="C221" s="1167">
        <v>5209</v>
      </c>
      <c r="I221" s="1047" t="s">
        <v>57</v>
      </c>
      <c r="J221" s="67">
        <v>5209</v>
      </c>
    </row>
    <row r="222" spans="1:10" x14ac:dyDescent="0.25">
      <c r="A222" s="1047" t="s">
        <v>389</v>
      </c>
      <c r="B222" s="77" t="s">
        <v>390</v>
      </c>
      <c r="C222" s="77" t="s">
        <v>391</v>
      </c>
      <c r="D222" s="77" t="s">
        <v>255</v>
      </c>
      <c r="E222" s="77">
        <v>3</v>
      </c>
      <c r="I222" s="1047" t="s">
        <v>389</v>
      </c>
      <c r="J222" s="67" t="s">
        <v>391</v>
      </c>
    </row>
    <row r="223" spans="1:10" x14ac:dyDescent="0.25">
      <c r="A223" s="1047" t="s">
        <v>392</v>
      </c>
      <c r="B223" s="77" t="s">
        <v>393</v>
      </c>
      <c r="C223" s="77" t="s">
        <v>394</v>
      </c>
      <c r="D223" s="77" t="s">
        <v>240</v>
      </c>
      <c r="E223" s="77">
        <v>4</v>
      </c>
      <c r="I223" s="1047" t="s">
        <v>392</v>
      </c>
      <c r="J223" s="67" t="s">
        <v>394</v>
      </c>
    </row>
    <row r="224" spans="1:10" x14ac:dyDescent="0.25">
      <c r="A224" s="1047" t="s">
        <v>58</v>
      </c>
      <c r="C224" s="1167">
        <v>2469</v>
      </c>
      <c r="I224" s="1047" t="s">
        <v>58</v>
      </c>
      <c r="J224" s="67">
        <v>2469</v>
      </c>
    </row>
    <row r="225" spans="1:10" x14ac:dyDescent="0.25">
      <c r="A225" s="1047" t="s">
        <v>395</v>
      </c>
      <c r="B225" s="77" t="s">
        <v>396</v>
      </c>
      <c r="C225" s="77" t="s">
        <v>397</v>
      </c>
      <c r="D225" s="77" t="s">
        <v>240</v>
      </c>
      <c r="E225" s="77">
        <v>4</v>
      </c>
      <c r="I225" s="1047" t="s">
        <v>395</v>
      </c>
      <c r="J225" s="67" t="s">
        <v>397</v>
      </c>
    </row>
    <row r="226" spans="1:10" x14ac:dyDescent="0.25">
      <c r="A226" s="1047" t="s">
        <v>398</v>
      </c>
      <c r="C226" s="77" t="s">
        <v>399</v>
      </c>
      <c r="D226" s="77" t="s">
        <v>240</v>
      </c>
      <c r="E226" s="77">
        <v>4</v>
      </c>
      <c r="I226" s="1047" t="s">
        <v>398</v>
      </c>
      <c r="J226" s="67" t="s">
        <v>399</v>
      </c>
    </row>
    <row r="227" spans="1:10" x14ac:dyDescent="0.25">
      <c r="A227" s="1047" t="s">
        <v>59</v>
      </c>
      <c r="C227" s="1167">
        <v>2466</v>
      </c>
      <c r="I227" s="1047" t="s">
        <v>59</v>
      </c>
      <c r="J227" s="67">
        <v>2466</v>
      </c>
    </row>
    <row r="228" spans="1:10" x14ac:dyDescent="0.25">
      <c r="A228" s="1047" t="s">
        <v>60</v>
      </c>
      <c r="B228" s="77" t="s">
        <v>229</v>
      </c>
      <c r="C228" s="77">
        <v>3543</v>
      </c>
      <c r="D228" s="77" t="s">
        <v>195</v>
      </c>
      <c r="E228" s="77">
        <v>1</v>
      </c>
      <c r="I228" s="1047" t="s">
        <v>60</v>
      </c>
      <c r="J228" s="67">
        <v>3543</v>
      </c>
    </row>
    <row r="229" spans="1:10" x14ac:dyDescent="0.25">
      <c r="A229" s="1047" t="s">
        <v>400</v>
      </c>
      <c r="B229" s="77" t="s">
        <v>401</v>
      </c>
      <c r="C229" s="77">
        <v>206152</v>
      </c>
      <c r="D229" s="77" t="s">
        <v>255</v>
      </c>
      <c r="E229" s="77">
        <v>3</v>
      </c>
      <c r="I229" s="1047" t="s">
        <v>400</v>
      </c>
      <c r="J229" s="67">
        <v>206152</v>
      </c>
    </row>
    <row r="230" spans="1:10" x14ac:dyDescent="0.25">
      <c r="A230" s="1047" t="s">
        <v>402</v>
      </c>
      <c r="B230" s="77" t="s">
        <v>403</v>
      </c>
      <c r="C230" s="77">
        <v>206153</v>
      </c>
      <c r="D230" s="77" t="s">
        <v>255</v>
      </c>
      <c r="E230" s="77">
        <v>3</v>
      </c>
      <c r="I230" s="1047" t="s">
        <v>402</v>
      </c>
      <c r="J230" s="67">
        <v>206153</v>
      </c>
    </row>
    <row r="231" spans="1:10" x14ac:dyDescent="0.25">
      <c r="A231" s="1047" t="s">
        <v>62</v>
      </c>
      <c r="C231" s="1167">
        <v>3531</v>
      </c>
      <c r="I231" s="1047" t="s">
        <v>62</v>
      </c>
      <c r="J231" s="67">
        <v>3531</v>
      </c>
    </row>
    <row r="232" spans="1:10" x14ac:dyDescent="0.25">
      <c r="A232" s="1047" t="s">
        <v>63</v>
      </c>
      <c r="B232" s="77" t="s">
        <v>231</v>
      </c>
      <c r="C232" s="77">
        <v>3526</v>
      </c>
      <c r="D232" s="77" t="s">
        <v>195</v>
      </c>
      <c r="E232" s="77">
        <v>1</v>
      </c>
      <c r="I232" s="1047" t="s">
        <v>63</v>
      </c>
      <c r="J232" s="67">
        <v>3526</v>
      </c>
    </row>
    <row r="233" spans="1:10" x14ac:dyDescent="0.25">
      <c r="A233" s="1047" t="s">
        <v>104</v>
      </c>
      <c r="C233" s="1167">
        <v>3535</v>
      </c>
      <c r="I233" s="1047" t="s">
        <v>104</v>
      </c>
      <c r="J233" s="110">
        <v>3535</v>
      </c>
    </row>
    <row r="234" spans="1:10" x14ac:dyDescent="0.25">
      <c r="A234" s="1047" t="s">
        <v>64</v>
      </c>
      <c r="C234" s="1167">
        <v>2008</v>
      </c>
      <c r="I234" s="1047" t="s">
        <v>64</v>
      </c>
      <c r="J234" s="67">
        <v>2008</v>
      </c>
    </row>
    <row r="235" spans="1:10" x14ac:dyDescent="0.25">
      <c r="A235" s="1047" t="s">
        <v>105</v>
      </c>
      <c r="C235" s="1167">
        <v>3542</v>
      </c>
      <c r="I235" s="1047" t="s">
        <v>105</v>
      </c>
      <c r="J235" s="59">
        <v>3542</v>
      </c>
    </row>
    <row r="236" spans="1:10" x14ac:dyDescent="0.25">
      <c r="A236" s="1047" t="s">
        <v>404</v>
      </c>
      <c r="B236" s="77" t="s">
        <v>405</v>
      </c>
      <c r="C236" s="77">
        <v>206154</v>
      </c>
      <c r="D236" s="77" t="s">
        <v>255</v>
      </c>
      <c r="E236" s="77">
        <v>3</v>
      </c>
      <c r="I236" s="1047" t="s">
        <v>404</v>
      </c>
      <c r="J236" s="59">
        <v>206154</v>
      </c>
    </row>
    <row r="237" spans="1:10" x14ac:dyDescent="0.25">
      <c r="A237" s="1047" t="s">
        <v>106</v>
      </c>
      <c r="B237" s="77" t="s">
        <v>232</v>
      </c>
      <c r="C237" s="77">
        <v>3528</v>
      </c>
      <c r="D237" s="77" t="s">
        <v>195</v>
      </c>
      <c r="E237" s="77">
        <v>1</v>
      </c>
      <c r="I237" s="1047" t="s">
        <v>106</v>
      </c>
      <c r="J237" s="59">
        <v>3528</v>
      </c>
    </row>
    <row r="238" spans="1:10" x14ac:dyDescent="0.25">
      <c r="A238" s="1047" t="s">
        <v>406</v>
      </c>
      <c r="C238" s="77" t="s">
        <v>407</v>
      </c>
      <c r="D238" s="77" t="s">
        <v>255</v>
      </c>
      <c r="E238" s="77">
        <v>3</v>
      </c>
      <c r="I238" s="1047" t="s">
        <v>406</v>
      </c>
      <c r="J238" s="59" t="s">
        <v>407</v>
      </c>
    </row>
    <row r="239" spans="1:10" x14ac:dyDescent="0.25">
      <c r="A239" s="1047" t="s">
        <v>107</v>
      </c>
      <c r="C239" s="1167">
        <v>3534</v>
      </c>
      <c r="I239" s="1047" t="s">
        <v>107</v>
      </c>
      <c r="J239" s="59">
        <v>3534</v>
      </c>
    </row>
    <row r="240" spans="1:10" x14ac:dyDescent="0.25">
      <c r="A240" s="1047" t="s">
        <v>108</v>
      </c>
      <c r="C240" s="1167">
        <v>3532</v>
      </c>
      <c r="I240" s="1047" t="s">
        <v>108</v>
      </c>
      <c r="J240" s="59">
        <v>3532</v>
      </c>
    </row>
    <row r="241" spans="1:10" x14ac:dyDescent="0.25">
      <c r="A241" s="1047" t="s">
        <v>7</v>
      </c>
      <c r="B241" s="77" t="s">
        <v>233</v>
      </c>
      <c r="C241" s="77">
        <v>1010</v>
      </c>
      <c r="D241" s="77" t="s">
        <v>192</v>
      </c>
      <c r="E241" s="77">
        <v>2</v>
      </c>
      <c r="I241" s="1047" t="s">
        <v>7</v>
      </c>
      <c r="J241" s="59">
        <v>1010</v>
      </c>
    </row>
    <row r="242" spans="1:10" x14ac:dyDescent="0.25">
      <c r="A242" s="1134" t="s">
        <v>1396</v>
      </c>
      <c r="B242" s="1134"/>
      <c r="C242" s="1134">
        <v>484523</v>
      </c>
      <c r="D242" s="1170" t="s">
        <v>240</v>
      </c>
      <c r="E242" s="1134">
        <v>4</v>
      </c>
      <c r="I242" s="1134" t="s">
        <v>1396</v>
      </c>
      <c r="J242" s="59">
        <v>484523</v>
      </c>
    </row>
    <row r="243" spans="1:10" x14ac:dyDescent="0.25">
      <c r="A243" s="1047" t="s">
        <v>408</v>
      </c>
      <c r="B243" s="77" t="s">
        <v>409</v>
      </c>
      <c r="C243" s="77" t="s">
        <v>410</v>
      </c>
      <c r="D243" s="77" t="s">
        <v>240</v>
      </c>
      <c r="E243" s="77">
        <v>4</v>
      </c>
      <c r="I243" s="1047" t="s">
        <v>408</v>
      </c>
      <c r="J243" s="59" t="s">
        <v>410</v>
      </c>
    </row>
    <row r="244" spans="1:10" x14ac:dyDescent="0.25">
      <c r="A244" s="1047" t="s">
        <v>114</v>
      </c>
      <c r="B244" s="77" t="s">
        <v>636</v>
      </c>
      <c r="C244" s="77">
        <v>4177</v>
      </c>
      <c r="D244" s="77" t="s">
        <v>195</v>
      </c>
      <c r="E244" s="77">
        <v>1</v>
      </c>
      <c r="I244" s="1047" t="s">
        <v>114</v>
      </c>
      <c r="J244" s="59">
        <v>4177</v>
      </c>
    </row>
    <row r="245" spans="1:10" x14ac:dyDescent="0.25">
      <c r="A245" s="1133" t="s">
        <v>822</v>
      </c>
      <c r="B245" s="1133" t="s">
        <v>823</v>
      </c>
      <c r="C245" s="1133" t="s">
        <v>824</v>
      </c>
      <c r="D245" s="77" t="s">
        <v>240</v>
      </c>
      <c r="E245" s="77">
        <v>4</v>
      </c>
      <c r="I245" s="1133" t="s">
        <v>822</v>
      </c>
      <c r="J245" s="59" t="s">
        <v>824</v>
      </c>
    </row>
    <row r="246" spans="1:10" x14ac:dyDescent="0.25">
      <c r="A246" s="1047" t="s">
        <v>411</v>
      </c>
      <c r="B246" s="77" t="s">
        <v>412</v>
      </c>
      <c r="C246" s="77" t="s">
        <v>413</v>
      </c>
      <c r="D246" s="77" t="s">
        <v>240</v>
      </c>
      <c r="E246" s="77">
        <v>4</v>
      </c>
      <c r="I246" s="1047" t="s">
        <v>411</v>
      </c>
      <c r="J246" s="59" t="s">
        <v>413</v>
      </c>
    </row>
    <row r="247" spans="1:10" x14ac:dyDescent="0.25">
      <c r="A247" s="1047" t="s">
        <v>414</v>
      </c>
      <c r="B247" s="77" t="s">
        <v>412</v>
      </c>
      <c r="C247" s="77">
        <v>206103</v>
      </c>
      <c r="D247" s="77" t="s">
        <v>240</v>
      </c>
      <c r="E247" s="77">
        <v>4</v>
      </c>
      <c r="I247" s="1047" t="s">
        <v>414</v>
      </c>
      <c r="J247" s="59">
        <v>206103</v>
      </c>
    </row>
    <row r="248" spans="1:10" x14ac:dyDescent="0.25">
      <c r="A248" s="1047" t="s">
        <v>418</v>
      </c>
      <c r="B248" s="77" t="s">
        <v>419</v>
      </c>
      <c r="C248" s="77" t="s">
        <v>420</v>
      </c>
      <c r="D248" s="77" t="s">
        <v>240</v>
      </c>
      <c r="E248" s="77">
        <v>4</v>
      </c>
      <c r="I248" s="1047" t="s">
        <v>418</v>
      </c>
      <c r="J248" s="59" t="s">
        <v>420</v>
      </c>
    </row>
    <row r="249" spans="1:10" x14ac:dyDescent="0.25">
      <c r="A249" s="1047" t="s">
        <v>421</v>
      </c>
      <c r="B249" s="77" t="s">
        <v>422</v>
      </c>
      <c r="C249" s="77">
        <v>258420</v>
      </c>
      <c r="D249" s="77" t="s">
        <v>240</v>
      </c>
      <c r="E249" s="77">
        <v>4</v>
      </c>
      <c r="I249" s="1047" t="s">
        <v>421</v>
      </c>
      <c r="J249" s="59">
        <v>258420</v>
      </c>
    </row>
    <row r="250" spans="1:10" x14ac:dyDescent="0.25">
      <c r="A250" s="1047" t="s">
        <v>423</v>
      </c>
      <c r="B250" s="77" t="s">
        <v>424</v>
      </c>
      <c r="C250" s="77">
        <v>258424</v>
      </c>
      <c r="D250" s="77" t="s">
        <v>240</v>
      </c>
      <c r="E250" s="77">
        <v>4</v>
      </c>
      <c r="I250" s="1047" t="s">
        <v>423</v>
      </c>
      <c r="J250" s="59">
        <v>258424</v>
      </c>
    </row>
    <row r="251" spans="1:10" x14ac:dyDescent="0.25">
      <c r="A251" s="1047" t="s">
        <v>425</v>
      </c>
      <c r="C251" s="77" t="s">
        <v>426</v>
      </c>
      <c r="D251" s="77" t="s">
        <v>255</v>
      </c>
      <c r="E251" s="77">
        <v>3</v>
      </c>
      <c r="I251" s="1047" t="s">
        <v>425</v>
      </c>
      <c r="J251" s="59" t="s">
        <v>426</v>
      </c>
    </row>
    <row r="252" spans="1:10" x14ac:dyDescent="0.25">
      <c r="A252" s="1047" t="s">
        <v>65</v>
      </c>
      <c r="B252" s="77" t="s">
        <v>234</v>
      </c>
      <c r="C252" s="77">
        <v>3546</v>
      </c>
      <c r="D252" s="77" t="s">
        <v>195</v>
      </c>
      <c r="E252" s="77">
        <v>1</v>
      </c>
      <c r="I252" s="1047" t="s">
        <v>65</v>
      </c>
      <c r="J252" s="59">
        <v>3546</v>
      </c>
    </row>
    <row r="253" spans="1:10" x14ac:dyDescent="0.25">
      <c r="A253" s="1047" t="s">
        <v>8</v>
      </c>
      <c r="B253" s="77" t="s">
        <v>235</v>
      </c>
      <c r="C253" s="77">
        <v>1009</v>
      </c>
      <c r="D253" s="77" t="s">
        <v>192</v>
      </c>
      <c r="E253" s="77">
        <v>2</v>
      </c>
      <c r="I253" s="1047" t="s">
        <v>8</v>
      </c>
      <c r="J253" s="59">
        <v>1009</v>
      </c>
    </row>
    <row r="254" spans="1:10" x14ac:dyDescent="0.25">
      <c r="A254" s="1047" t="s">
        <v>66</v>
      </c>
      <c r="B254" s="77" t="s">
        <v>236</v>
      </c>
      <c r="C254" s="77">
        <v>3530</v>
      </c>
      <c r="D254" s="77" t="s">
        <v>195</v>
      </c>
      <c r="E254" s="77">
        <v>1</v>
      </c>
      <c r="I254" s="1047" t="s">
        <v>66</v>
      </c>
      <c r="J254" s="59">
        <v>3530</v>
      </c>
    </row>
    <row r="255" spans="1:10" x14ac:dyDescent="0.25">
      <c r="A255" s="1047" t="s">
        <v>74</v>
      </c>
      <c r="C255" s="1167">
        <v>5412</v>
      </c>
      <c r="I255" s="1047" t="s">
        <v>74</v>
      </c>
      <c r="J255" s="59">
        <v>5412</v>
      </c>
    </row>
    <row r="256" spans="1:10" x14ac:dyDescent="0.25">
      <c r="A256" s="1047" t="s">
        <v>432</v>
      </c>
      <c r="B256" s="77" t="s">
        <v>433</v>
      </c>
      <c r="C256" s="77" t="s">
        <v>433</v>
      </c>
      <c r="D256" s="77" t="s">
        <v>240</v>
      </c>
      <c r="E256" s="77">
        <v>4</v>
      </c>
      <c r="I256" s="1047" t="s">
        <v>432</v>
      </c>
      <c r="J256" s="59" t="s">
        <v>433</v>
      </c>
    </row>
    <row r="257" spans="1:10" x14ac:dyDescent="0.25">
      <c r="A257" s="1047" t="s">
        <v>427</v>
      </c>
      <c r="B257" s="77" t="s">
        <v>428</v>
      </c>
      <c r="C257" s="77" t="s">
        <v>429</v>
      </c>
      <c r="D257" s="77" t="s">
        <v>255</v>
      </c>
      <c r="E257" s="77">
        <v>3</v>
      </c>
      <c r="I257" s="1047" t="s">
        <v>427</v>
      </c>
      <c r="J257" s="59" t="s">
        <v>429</v>
      </c>
    </row>
    <row r="258" spans="1:10" x14ac:dyDescent="0.25">
      <c r="A258" s="1047" t="s">
        <v>9</v>
      </c>
      <c r="B258" s="77" t="s">
        <v>237</v>
      </c>
      <c r="C258" s="77">
        <v>1015</v>
      </c>
      <c r="D258" s="77" t="s">
        <v>192</v>
      </c>
      <c r="E258" s="77">
        <v>2</v>
      </c>
      <c r="I258" s="1047" t="s">
        <v>9</v>
      </c>
      <c r="J258" s="59">
        <v>1015</v>
      </c>
    </row>
    <row r="259" spans="1:10" x14ac:dyDescent="0.25">
      <c r="A259" s="1047" t="s">
        <v>430</v>
      </c>
      <c r="C259" s="77" t="s">
        <v>431</v>
      </c>
      <c r="D259" s="77" t="s">
        <v>240</v>
      </c>
      <c r="E259" s="77">
        <v>4</v>
      </c>
      <c r="I259" s="1047" t="s">
        <v>430</v>
      </c>
      <c r="J259" s="59" t="s">
        <v>431</v>
      </c>
    </row>
    <row r="260" spans="1:10" x14ac:dyDescent="0.25">
      <c r="A260" s="1047" t="s">
        <v>434</v>
      </c>
      <c r="B260" s="77" t="s">
        <v>435</v>
      </c>
      <c r="C260" s="77">
        <v>509204</v>
      </c>
      <c r="D260" s="77" t="s">
        <v>240</v>
      </c>
      <c r="E260" s="77">
        <v>4</v>
      </c>
      <c r="I260" s="1047" t="s">
        <v>434</v>
      </c>
      <c r="J260" s="59">
        <v>509204</v>
      </c>
    </row>
    <row r="261" spans="1:10" x14ac:dyDescent="0.25">
      <c r="A261" s="1047" t="s">
        <v>67</v>
      </c>
      <c r="C261" s="1167">
        <v>2459</v>
      </c>
      <c r="I261" s="1047" t="s">
        <v>67</v>
      </c>
      <c r="J261" s="59">
        <v>2459</v>
      </c>
    </row>
    <row r="262" spans="1:10" x14ac:dyDescent="0.25">
      <c r="A262" s="1047" t="s">
        <v>96</v>
      </c>
      <c r="C262" s="77">
        <v>2007</v>
      </c>
      <c r="D262" s="77" t="s">
        <v>195</v>
      </c>
      <c r="E262" s="77">
        <v>1</v>
      </c>
      <c r="I262" s="1047" t="s">
        <v>96</v>
      </c>
      <c r="J262" s="59">
        <v>2007</v>
      </c>
    </row>
  </sheetData>
  <sheetProtection password="EF5C" sheet="1" objects="1" scenarios="1" selectLockedCells="1" selectUnlockedCells="1"/>
  <autoFilter ref="A1:O274"/>
  <sortState ref="A3:E277">
    <sortCondition ref="A3:A277"/>
  </sortState>
  <pageMargins left="0.7" right="0.7" top="0.75" bottom="0.75" header="0.3" footer="0.3"/>
  <pageSetup paperSize="9" orientation="portrait"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sheetPr>
  <dimension ref="A1:H10"/>
  <sheetViews>
    <sheetView workbookViewId="0">
      <selection activeCell="A24" sqref="A24:A25"/>
    </sheetView>
  </sheetViews>
  <sheetFormatPr defaultColWidth="9.109375" defaultRowHeight="13.2" x14ac:dyDescent="0.25"/>
  <cols>
    <col min="1" max="1" width="23.33203125" style="50" customWidth="1"/>
    <col min="2" max="7" width="9.109375" style="50" customWidth="1"/>
    <col min="8" max="8" width="11.44140625" style="50" customWidth="1"/>
    <col min="9" max="12" width="9.109375" style="50" customWidth="1"/>
    <col min="13" max="16384" width="9.109375" style="50"/>
  </cols>
  <sheetData>
    <row r="1" spans="1:8" x14ac:dyDescent="0.2">
      <c r="A1" s="50" t="s">
        <v>502</v>
      </c>
      <c r="C1" s="76" t="s">
        <v>117</v>
      </c>
      <c r="H1" s="75"/>
    </row>
    <row r="2" spans="1:8" x14ac:dyDescent="0.2">
      <c r="A2" s="50" t="s">
        <v>506</v>
      </c>
      <c r="B2" s="50" t="s">
        <v>507</v>
      </c>
      <c r="C2" s="75">
        <v>7026</v>
      </c>
    </row>
    <row r="3" spans="1:8" x14ac:dyDescent="0.2">
      <c r="A3" s="50" t="s">
        <v>508</v>
      </c>
      <c r="B3" s="50" t="s">
        <v>509</v>
      </c>
      <c r="C3" s="50">
        <v>7027</v>
      </c>
    </row>
    <row r="4" spans="1:8" x14ac:dyDescent="0.2">
      <c r="A4" s="50" t="s">
        <v>510</v>
      </c>
      <c r="B4" s="50" t="s">
        <v>511</v>
      </c>
      <c r="C4" s="50">
        <v>7025</v>
      </c>
    </row>
    <row r="5" spans="1:8" x14ac:dyDescent="0.2">
      <c r="A5" s="50" t="s">
        <v>512</v>
      </c>
      <c r="B5" s="50" t="s">
        <v>513</v>
      </c>
      <c r="C5" s="50">
        <v>7024</v>
      </c>
    </row>
    <row r="6" spans="1:8" x14ac:dyDescent="0.2">
      <c r="A6" s="50" t="s">
        <v>557</v>
      </c>
      <c r="B6" s="50" t="s">
        <v>514</v>
      </c>
      <c r="C6" s="50">
        <v>7021</v>
      </c>
    </row>
    <row r="7" spans="1:8" x14ac:dyDescent="0.2">
      <c r="A7" s="50" t="s">
        <v>148</v>
      </c>
      <c r="B7" s="50" t="s">
        <v>519</v>
      </c>
      <c r="C7" s="50">
        <v>7029</v>
      </c>
    </row>
    <row r="8" spans="1:8" x14ac:dyDescent="0.2">
      <c r="A8" s="75" t="s">
        <v>516</v>
      </c>
      <c r="B8" s="50" t="s">
        <v>517</v>
      </c>
      <c r="C8" s="50">
        <v>1104</v>
      </c>
    </row>
    <row r="9" spans="1:8" x14ac:dyDescent="0.2">
      <c r="A9" s="75" t="s">
        <v>515</v>
      </c>
      <c r="B9" s="50" t="s">
        <v>518</v>
      </c>
      <c r="C9" s="50">
        <v>1103</v>
      </c>
    </row>
    <row r="10" spans="1:8" x14ac:dyDescent="0.2">
      <c r="A10" s="75" t="s">
        <v>497</v>
      </c>
      <c r="C10" s="76" t="s">
        <v>117</v>
      </c>
    </row>
  </sheetData>
  <sheetProtection password="EF5C" sheet="1" objects="1" scenarios="1" selectLockedCells="1" selectUnlockedCells="1"/>
  <pageMargins left="0.7" right="0.7" top="0.75" bottom="0.75" header="0.3" footer="0.3"/>
  <pageSetup paperSize="9" orientation="portrait"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6" tint="0.39997558519241921"/>
  </sheetPr>
  <dimension ref="A1:AF325"/>
  <sheetViews>
    <sheetView zoomScaleNormal="100" workbookViewId="0">
      <pane xSplit="1" ySplit="4" topLeftCell="B14" activePane="bottomRight" state="frozen"/>
      <selection pane="topRight" activeCell="B1" sqref="B1"/>
      <selection pane="bottomLeft" activeCell="A5" sqref="A5"/>
      <selection pane="bottomRight" activeCell="F35" sqref="F35"/>
    </sheetView>
  </sheetViews>
  <sheetFormatPr defaultRowHeight="14.4" x14ac:dyDescent="0.3"/>
  <cols>
    <col min="1" max="1" width="34.6640625" style="44" customWidth="1"/>
    <col min="2" max="2" width="7.88671875" style="44" customWidth="1"/>
    <col min="3" max="3" width="2.44140625" style="46" customWidth="1"/>
    <col min="4" max="9" width="9.109375" style="44" customWidth="1"/>
    <col min="10" max="10" width="2.44140625" style="46" customWidth="1"/>
    <col min="11" max="16" width="9.109375" style="44" customWidth="1"/>
    <col min="17" max="17" width="2.44140625" style="46" customWidth="1"/>
    <col min="18" max="23" width="9.109375" style="44" customWidth="1"/>
    <col min="24" max="24" width="4.88671875" style="46" customWidth="1"/>
    <col min="25" max="25" width="13.44140625" style="45" customWidth="1"/>
    <col min="26" max="29" width="14.88671875" style="45" customWidth="1"/>
    <col min="30" max="30" width="10.88671875" style="45" customWidth="1"/>
    <col min="31" max="31" width="9.109375" style="44" customWidth="1"/>
    <col min="32" max="32" width="108.33203125" style="44" customWidth="1"/>
    <col min="33" max="251" width="9.109375" style="44"/>
    <col min="252" max="252" width="52.5546875" style="44" bestFit="1" customWidth="1"/>
    <col min="253" max="253" width="7.88671875" style="44" customWidth="1"/>
    <col min="254" max="258" width="9.109375" style="44" customWidth="1"/>
    <col min="259" max="259" width="2.44140625" style="44" customWidth="1"/>
    <col min="260" max="265" width="9.109375" style="44" customWidth="1"/>
    <col min="266" max="266" width="2.44140625" style="44" customWidth="1"/>
    <col min="267" max="272" width="9.109375" style="44" customWidth="1"/>
    <col min="273" max="273" width="2.44140625" style="44" customWidth="1"/>
    <col min="274" max="279" width="9.109375" style="44"/>
    <col min="280" max="280" width="4.88671875" style="44" customWidth="1"/>
    <col min="281" max="281" width="13.44140625" style="44" bestFit="1" customWidth="1"/>
    <col min="282" max="282" width="14.88671875" style="44" bestFit="1" customWidth="1"/>
    <col min="283" max="285" width="14.88671875" style="44" customWidth="1"/>
    <col min="286" max="286" width="10.88671875" style="44" bestFit="1" customWidth="1"/>
    <col min="287" max="287" width="9.109375" style="44"/>
    <col min="288" max="288" width="108.33203125" style="44" customWidth="1"/>
    <col min="289" max="507" width="9.109375" style="44"/>
    <col min="508" max="508" width="52.5546875" style="44" bestFit="1" customWidth="1"/>
    <col min="509" max="509" width="7.88671875" style="44" customWidth="1"/>
    <col min="510" max="514" width="9.109375" style="44" customWidth="1"/>
    <col min="515" max="515" width="2.44140625" style="44" customWidth="1"/>
    <col min="516" max="521" width="9.109375" style="44" customWidth="1"/>
    <col min="522" max="522" width="2.44140625" style="44" customWidth="1"/>
    <col min="523" max="528" width="9.109375" style="44" customWidth="1"/>
    <col min="529" max="529" width="2.44140625" style="44" customWidth="1"/>
    <col min="530" max="535" width="9.109375" style="44"/>
    <col min="536" max="536" width="4.88671875" style="44" customWidth="1"/>
    <col min="537" max="537" width="13.44140625" style="44" bestFit="1" customWidth="1"/>
    <col min="538" max="538" width="14.88671875" style="44" bestFit="1" customWidth="1"/>
    <col min="539" max="541" width="14.88671875" style="44" customWidth="1"/>
    <col min="542" max="542" width="10.88671875" style="44" bestFit="1" customWidth="1"/>
    <col min="543" max="543" width="9.109375" style="44"/>
    <col min="544" max="544" width="108.33203125" style="44" customWidth="1"/>
    <col min="545" max="763" width="9.109375" style="44"/>
    <col min="764" max="764" width="52.5546875" style="44" bestFit="1" customWidth="1"/>
    <col min="765" max="765" width="7.88671875" style="44" customWidth="1"/>
    <col min="766" max="770" width="9.109375" style="44" customWidth="1"/>
    <col min="771" max="771" width="2.44140625" style="44" customWidth="1"/>
    <col min="772" max="777" width="9.109375" style="44" customWidth="1"/>
    <col min="778" max="778" width="2.44140625" style="44" customWidth="1"/>
    <col min="779" max="784" width="9.109375" style="44" customWidth="1"/>
    <col min="785" max="785" width="2.44140625" style="44" customWidth="1"/>
    <col min="786" max="791" width="9.109375" style="44"/>
    <col min="792" max="792" width="4.88671875" style="44" customWidth="1"/>
    <col min="793" max="793" width="13.44140625" style="44" bestFit="1" customWidth="1"/>
    <col min="794" max="794" width="14.88671875" style="44" bestFit="1" customWidth="1"/>
    <col min="795" max="797" width="14.88671875" style="44" customWidth="1"/>
    <col min="798" max="798" width="10.88671875" style="44" bestFit="1" customWidth="1"/>
    <col min="799" max="799" width="9.109375" style="44"/>
    <col min="800" max="800" width="108.33203125" style="44" customWidth="1"/>
    <col min="801" max="1019" width="9.109375" style="44"/>
    <col min="1020" max="1020" width="52.5546875" style="44" bestFit="1" customWidth="1"/>
    <col min="1021" max="1021" width="7.88671875" style="44" customWidth="1"/>
    <col min="1022" max="1026" width="9.109375" style="44" customWidth="1"/>
    <col min="1027" max="1027" width="2.44140625" style="44" customWidth="1"/>
    <col min="1028" max="1033" width="9.109375" style="44" customWidth="1"/>
    <col min="1034" max="1034" width="2.44140625" style="44" customWidth="1"/>
    <col min="1035" max="1040" width="9.109375" style="44" customWidth="1"/>
    <col min="1041" max="1041" width="2.44140625" style="44" customWidth="1"/>
    <col min="1042" max="1047" width="9.109375" style="44"/>
    <col min="1048" max="1048" width="4.88671875" style="44" customWidth="1"/>
    <col min="1049" max="1049" width="13.44140625" style="44" bestFit="1" customWidth="1"/>
    <col min="1050" max="1050" width="14.88671875" style="44" bestFit="1" customWidth="1"/>
    <col min="1051" max="1053" width="14.88671875" style="44" customWidth="1"/>
    <col min="1054" max="1054" width="10.88671875" style="44" bestFit="1" customWidth="1"/>
    <col min="1055" max="1055" width="9.109375" style="44"/>
    <col min="1056" max="1056" width="108.33203125" style="44" customWidth="1"/>
    <col min="1057" max="1275" width="9.109375" style="44"/>
    <col min="1276" max="1276" width="52.5546875" style="44" bestFit="1" customWidth="1"/>
    <col min="1277" max="1277" width="7.88671875" style="44" customWidth="1"/>
    <col min="1278" max="1282" width="9.109375" style="44" customWidth="1"/>
    <col min="1283" max="1283" width="2.44140625" style="44" customWidth="1"/>
    <col min="1284" max="1289" width="9.109375" style="44" customWidth="1"/>
    <col min="1290" max="1290" width="2.44140625" style="44" customWidth="1"/>
    <col min="1291" max="1296" width="9.109375" style="44" customWidth="1"/>
    <col min="1297" max="1297" width="2.44140625" style="44" customWidth="1"/>
    <col min="1298" max="1303" width="9.109375" style="44"/>
    <col min="1304" max="1304" width="4.88671875" style="44" customWidth="1"/>
    <col min="1305" max="1305" width="13.44140625" style="44" bestFit="1" customWidth="1"/>
    <col min="1306" max="1306" width="14.88671875" style="44" bestFit="1" customWidth="1"/>
    <col min="1307" max="1309" width="14.88671875" style="44" customWidth="1"/>
    <col min="1310" max="1310" width="10.88671875" style="44" bestFit="1" customWidth="1"/>
    <col min="1311" max="1311" width="9.109375" style="44"/>
    <col min="1312" max="1312" width="108.33203125" style="44" customWidth="1"/>
    <col min="1313" max="1531" width="9.109375" style="44"/>
    <col min="1532" max="1532" width="52.5546875" style="44" bestFit="1" customWidth="1"/>
    <col min="1533" max="1533" width="7.88671875" style="44" customWidth="1"/>
    <col min="1534" max="1538" width="9.109375" style="44" customWidth="1"/>
    <col min="1539" max="1539" width="2.44140625" style="44" customWidth="1"/>
    <col min="1540" max="1545" width="9.109375" style="44" customWidth="1"/>
    <col min="1546" max="1546" width="2.44140625" style="44" customWidth="1"/>
    <col min="1547" max="1552" width="9.109375" style="44" customWidth="1"/>
    <col min="1553" max="1553" width="2.44140625" style="44" customWidth="1"/>
    <col min="1554" max="1559" width="9.109375" style="44"/>
    <col min="1560" max="1560" width="4.88671875" style="44" customWidth="1"/>
    <col min="1561" max="1561" width="13.44140625" style="44" bestFit="1" customWidth="1"/>
    <col min="1562" max="1562" width="14.88671875" style="44" bestFit="1" customWidth="1"/>
    <col min="1563" max="1565" width="14.88671875" style="44" customWidth="1"/>
    <col min="1566" max="1566" width="10.88671875" style="44" bestFit="1" customWidth="1"/>
    <col min="1567" max="1567" width="9.109375" style="44"/>
    <col min="1568" max="1568" width="108.33203125" style="44" customWidth="1"/>
    <col min="1569" max="1787" width="9.109375" style="44"/>
    <col min="1788" max="1788" width="52.5546875" style="44" bestFit="1" customWidth="1"/>
    <col min="1789" max="1789" width="7.88671875" style="44" customWidth="1"/>
    <col min="1790" max="1794" width="9.109375" style="44" customWidth="1"/>
    <col min="1795" max="1795" width="2.44140625" style="44" customWidth="1"/>
    <col min="1796" max="1801" width="9.109375" style="44" customWidth="1"/>
    <col min="1802" max="1802" width="2.44140625" style="44" customWidth="1"/>
    <col min="1803" max="1808" width="9.109375" style="44" customWidth="1"/>
    <col min="1809" max="1809" width="2.44140625" style="44" customWidth="1"/>
    <col min="1810" max="1815" width="9.109375" style="44"/>
    <col min="1816" max="1816" width="4.88671875" style="44" customWidth="1"/>
    <col min="1817" max="1817" width="13.44140625" style="44" bestFit="1" customWidth="1"/>
    <col min="1818" max="1818" width="14.88671875" style="44" bestFit="1" customWidth="1"/>
    <col min="1819" max="1821" width="14.88671875" style="44" customWidth="1"/>
    <col min="1822" max="1822" width="10.88671875" style="44" bestFit="1" customWidth="1"/>
    <col min="1823" max="1823" width="9.109375" style="44"/>
    <col min="1824" max="1824" width="108.33203125" style="44" customWidth="1"/>
    <col min="1825" max="2043" width="9.109375" style="44"/>
    <col min="2044" max="2044" width="52.5546875" style="44" bestFit="1" customWidth="1"/>
    <col min="2045" max="2045" width="7.88671875" style="44" customWidth="1"/>
    <col min="2046" max="2050" width="9.109375" style="44" customWidth="1"/>
    <col min="2051" max="2051" width="2.44140625" style="44" customWidth="1"/>
    <col min="2052" max="2057" width="9.109375" style="44" customWidth="1"/>
    <col min="2058" max="2058" width="2.44140625" style="44" customWidth="1"/>
    <col min="2059" max="2064" width="9.109375" style="44" customWidth="1"/>
    <col min="2065" max="2065" width="2.44140625" style="44" customWidth="1"/>
    <col min="2066" max="2071" width="9.109375" style="44"/>
    <col min="2072" max="2072" width="4.88671875" style="44" customWidth="1"/>
    <col min="2073" max="2073" width="13.44140625" style="44" bestFit="1" customWidth="1"/>
    <col min="2074" max="2074" width="14.88671875" style="44" bestFit="1" customWidth="1"/>
    <col min="2075" max="2077" width="14.88671875" style="44" customWidth="1"/>
    <col min="2078" max="2078" width="10.88671875" style="44" bestFit="1" customWidth="1"/>
    <col min="2079" max="2079" width="9.109375" style="44"/>
    <col min="2080" max="2080" width="108.33203125" style="44" customWidth="1"/>
    <col min="2081" max="2299" width="9.109375" style="44"/>
    <col min="2300" max="2300" width="52.5546875" style="44" bestFit="1" customWidth="1"/>
    <col min="2301" max="2301" width="7.88671875" style="44" customWidth="1"/>
    <col min="2302" max="2306" width="9.109375" style="44" customWidth="1"/>
    <col min="2307" max="2307" width="2.44140625" style="44" customWidth="1"/>
    <col min="2308" max="2313" width="9.109375" style="44" customWidth="1"/>
    <col min="2314" max="2314" width="2.44140625" style="44" customWidth="1"/>
    <col min="2315" max="2320" width="9.109375" style="44" customWidth="1"/>
    <col min="2321" max="2321" width="2.44140625" style="44" customWidth="1"/>
    <col min="2322" max="2327" width="9.109375" style="44"/>
    <col min="2328" max="2328" width="4.88671875" style="44" customWidth="1"/>
    <col min="2329" max="2329" width="13.44140625" style="44" bestFit="1" customWidth="1"/>
    <col min="2330" max="2330" width="14.88671875" style="44" bestFit="1" customWidth="1"/>
    <col min="2331" max="2333" width="14.88671875" style="44" customWidth="1"/>
    <col min="2334" max="2334" width="10.88671875" style="44" bestFit="1" customWidth="1"/>
    <col min="2335" max="2335" width="9.109375" style="44"/>
    <col min="2336" max="2336" width="108.33203125" style="44" customWidth="1"/>
    <col min="2337" max="2555" width="9.109375" style="44"/>
    <col min="2556" max="2556" width="52.5546875" style="44" bestFit="1" customWidth="1"/>
    <col min="2557" max="2557" width="7.88671875" style="44" customWidth="1"/>
    <col min="2558" max="2562" width="9.109375" style="44" customWidth="1"/>
    <col min="2563" max="2563" width="2.44140625" style="44" customWidth="1"/>
    <col min="2564" max="2569" width="9.109375" style="44" customWidth="1"/>
    <col min="2570" max="2570" width="2.44140625" style="44" customWidth="1"/>
    <col min="2571" max="2576" width="9.109375" style="44" customWidth="1"/>
    <col min="2577" max="2577" width="2.44140625" style="44" customWidth="1"/>
    <col min="2578" max="2583" width="9.109375" style="44"/>
    <col min="2584" max="2584" width="4.88671875" style="44" customWidth="1"/>
    <col min="2585" max="2585" width="13.44140625" style="44" bestFit="1" customWidth="1"/>
    <col min="2586" max="2586" width="14.88671875" style="44" bestFit="1" customWidth="1"/>
    <col min="2587" max="2589" width="14.88671875" style="44" customWidth="1"/>
    <col min="2590" max="2590" width="10.88671875" style="44" bestFit="1" customWidth="1"/>
    <col min="2591" max="2591" width="9.109375" style="44"/>
    <col min="2592" max="2592" width="108.33203125" style="44" customWidth="1"/>
    <col min="2593" max="2811" width="9.109375" style="44"/>
    <col min="2812" max="2812" width="52.5546875" style="44" bestFit="1" customWidth="1"/>
    <col min="2813" max="2813" width="7.88671875" style="44" customWidth="1"/>
    <col min="2814" max="2818" width="9.109375" style="44" customWidth="1"/>
    <col min="2819" max="2819" width="2.44140625" style="44" customWidth="1"/>
    <col min="2820" max="2825" width="9.109375" style="44" customWidth="1"/>
    <col min="2826" max="2826" width="2.44140625" style="44" customWidth="1"/>
    <col min="2827" max="2832" width="9.109375" style="44" customWidth="1"/>
    <col min="2833" max="2833" width="2.44140625" style="44" customWidth="1"/>
    <col min="2834" max="2839" width="9.109375" style="44"/>
    <col min="2840" max="2840" width="4.88671875" style="44" customWidth="1"/>
    <col min="2841" max="2841" width="13.44140625" style="44" bestFit="1" customWidth="1"/>
    <col min="2842" max="2842" width="14.88671875" style="44" bestFit="1" customWidth="1"/>
    <col min="2843" max="2845" width="14.88671875" style="44" customWidth="1"/>
    <col min="2846" max="2846" width="10.88671875" style="44" bestFit="1" customWidth="1"/>
    <col min="2847" max="2847" width="9.109375" style="44"/>
    <col min="2848" max="2848" width="108.33203125" style="44" customWidth="1"/>
    <col min="2849" max="3067" width="9.109375" style="44"/>
    <col min="3068" max="3068" width="52.5546875" style="44" bestFit="1" customWidth="1"/>
    <col min="3069" max="3069" width="7.88671875" style="44" customWidth="1"/>
    <col min="3070" max="3074" width="9.109375" style="44" customWidth="1"/>
    <col min="3075" max="3075" width="2.44140625" style="44" customWidth="1"/>
    <col min="3076" max="3081" width="9.109375" style="44" customWidth="1"/>
    <col min="3082" max="3082" width="2.44140625" style="44" customWidth="1"/>
    <col min="3083" max="3088" width="9.109375" style="44" customWidth="1"/>
    <col min="3089" max="3089" width="2.44140625" style="44" customWidth="1"/>
    <col min="3090" max="3095" width="9.109375" style="44"/>
    <col min="3096" max="3096" width="4.88671875" style="44" customWidth="1"/>
    <col min="3097" max="3097" width="13.44140625" style="44" bestFit="1" customWidth="1"/>
    <col min="3098" max="3098" width="14.88671875" style="44" bestFit="1" customWidth="1"/>
    <col min="3099" max="3101" width="14.88671875" style="44" customWidth="1"/>
    <col min="3102" max="3102" width="10.88671875" style="44" bestFit="1" customWidth="1"/>
    <col min="3103" max="3103" width="9.109375" style="44"/>
    <col min="3104" max="3104" width="108.33203125" style="44" customWidth="1"/>
    <col min="3105" max="3323" width="9.109375" style="44"/>
    <col min="3324" max="3324" width="52.5546875" style="44" bestFit="1" customWidth="1"/>
    <col min="3325" max="3325" width="7.88671875" style="44" customWidth="1"/>
    <col min="3326" max="3330" width="9.109375" style="44" customWidth="1"/>
    <col min="3331" max="3331" width="2.44140625" style="44" customWidth="1"/>
    <col min="3332" max="3337" width="9.109375" style="44" customWidth="1"/>
    <col min="3338" max="3338" width="2.44140625" style="44" customWidth="1"/>
    <col min="3339" max="3344" width="9.109375" style="44" customWidth="1"/>
    <col min="3345" max="3345" width="2.44140625" style="44" customWidth="1"/>
    <col min="3346" max="3351" width="9.109375" style="44"/>
    <col min="3352" max="3352" width="4.88671875" style="44" customWidth="1"/>
    <col min="3353" max="3353" width="13.44140625" style="44" bestFit="1" customWidth="1"/>
    <col min="3354" max="3354" width="14.88671875" style="44" bestFit="1" customWidth="1"/>
    <col min="3355" max="3357" width="14.88671875" style="44" customWidth="1"/>
    <col min="3358" max="3358" width="10.88671875" style="44" bestFit="1" customWidth="1"/>
    <col min="3359" max="3359" width="9.109375" style="44"/>
    <col min="3360" max="3360" width="108.33203125" style="44" customWidth="1"/>
    <col min="3361" max="3579" width="9.109375" style="44"/>
    <col min="3580" max="3580" width="52.5546875" style="44" bestFit="1" customWidth="1"/>
    <col min="3581" max="3581" width="7.88671875" style="44" customWidth="1"/>
    <col min="3582" max="3586" width="9.109375" style="44" customWidth="1"/>
    <col min="3587" max="3587" width="2.44140625" style="44" customWidth="1"/>
    <col min="3588" max="3593" width="9.109375" style="44" customWidth="1"/>
    <col min="3594" max="3594" width="2.44140625" style="44" customWidth="1"/>
    <col min="3595" max="3600" width="9.109375" style="44" customWidth="1"/>
    <col min="3601" max="3601" width="2.44140625" style="44" customWidth="1"/>
    <col min="3602" max="3607" width="9.109375" style="44"/>
    <col min="3608" max="3608" width="4.88671875" style="44" customWidth="1"/>
    <col min="3609" max="3609" width="13.44140625" style="44" bestFit="1" customWidth="1"/>
    <col min="3610" max="3610" width="14.88671875" style="44" bestFit="1" customWidth="1"/>
    <col min="3611" max="3613" width="14.88671875" style="44" customWidth="1"/>
    <col min="3614" max="3614" width="10.88671875" style="44" bestFit="1" customWidth="1"/>
    <col min="3615" max="3615" width="9.109375" style="44"/>
    <col min="3616" max="3616" width="108.33203125" style="44" customWidth="1"/>
    <col min="3617" max="3835" width="9.109375" style="44"/>
    <col min="3836" max="3836" width="52.5546875" style="44" bestFit="1" customWidth="1"/>
    <col min="3837" max="3837" width="7.88671875" style="44" customWidth="1"/>
    <col min="3838" max="3842" width="9.109375" style="44" customWidth="1"/>
    <col min="3843" max="3843" width="2.44140625" style="44" customWidth="1"/>
    <col min="3844" max="3849" width="9.109375" style="44" customWidth="1"/>
    <col min="3850" max="3850" width="2.44140625" style="44" customWidth="1"/>
    <col min="3851" max="3856" width="9.109375" style="44" customWidth="1"/>
    <col min="3857" max="3857" width="2.44140625" style="44" customWidth="1"/>
    <col min="3858" max="3863" width="9.109375" style="44"/>
    <col min="3864" max="3864" width="4.88671875" style="44" customWidth="1"/>
    <col min="3865" max="3865" width="13.44140625" style="44" bestFit="1" customWidth="1"/>
    <col min="3866" max="3866" width="14.88671875" style="44" bestFit="1" customWidth="1"/>
    <col min="3867" max="3869" width="14.88671875" style="44" customWidth="1"/>
    <col min="3870" max="3870" width="10.88671875" style="44" bestFit="1" customWidth="1"/>
    <col min="3871" max="3871" width="9.109375" style="44"/>
    <col min="3872" max="3872" width="108.33203125" style="44" customWidth="1"/>
    <col min="3873" max="4091" width="9.109375" style="44"/>
    <col min="4092" max="4092" width="52.5546875" style="44" bestFit="1" customWidth="1"/>
    <col min="4093" max="4093" width="7.88671875" style="44" customWidth="1"/>
    <col min="4094" max="4098" width="9.109375" style="44" customWidth="1"/>
    <col min="4099" max="4099" width="2.44140625" style="44" customWidth="1"/>
    <col min="4100" max="4105" width="9.109375" style="44" customWidth="1"/>
    <col min="4106" max="4106" width="2.44140625" style="44" customWidth="1"/>
    <col min="4107" max="4112" width="9.109375" style="44" customWidth="1"/>
    <col min="4113" max="4113" width="2.44140625" style="44" customWidth="1"/>
    <col min="4114" max="4119" width="9.109375" style="44"/>
    <col min="4120" max="4120" width="4.88671875" style="44" customWidth="1"/>
    <col min="4121" max="4121" width="13.44140625" style="44" bestFit="1" customWidth="1"/>
    <col min="4122" max="4122" width="14.88671875" style="44" bestFit="1" customWidth="1"/>
    <col min="4123" max="4125" width="14.88671875" style="44" customWidth="1"/>
    <col min="4126" max="4126" width="10.88671875" style="44" bestFit="1" customWidth="1"/>
    <col min="4127" max="4127" width="9.109375" style="44"/>
    <col min="4128" max="4128" width="108.33203125" style="44" customWidth="1"/>
    <col min="4129" max="4347" width="9.109375" style="44"/>
    <col min="4348" max="4348" width="52.5546875" style="44" bestFit="1" customWidth="1"/>
    <col min="4349" max="4349" width="7.88671875" style="44" customWidth="1"/>
    <col min="4350" max="4354" width="9.109375" style="44" customWidth="1"/>
    <col min="4355" max="4355" width="2.44140625" style="44" customWidth="1"/>
    <col min="4356" max="4361" width="9.109375" style="44" customWidth="1"/>
    <col min="4362" max="4362" width="2.44140625" style="44" customWidth="1"/>
    <col min="4363" max="4368" width="9.109375" style="44" customWidth="1"/>
    <col min="4369" max="4369" width="2.44140625" style="44" customWidth="1"/>
    <col min="4370" max="4375" width="9.109375" style="44"/>
    <col min="4376" max="4376" width="4.88671875" style="44" customWidth="1"/>
    <col min="4377" max="4377" width="13.44140625" style="44" bestFit="1" customWidth="1"/>
    <col min="4378" max="4378" width="14.88671875" style="44" bestFit="1" customWidth="1"/>
    <col min="4379" max="4381" width="14.88671875" style="44" customWidth="1"/>
    <col min="4382" max="4382" width="10.88671875" style="44" bestFit="1" customWidth="1"/>
    <col min="4383" max="4383" width="9.109375" style="44"/>
    <col min="4384" max="4384" width="108.33203125" style="44" customWidth="1"/>
    <col min="4385" max="4603" width="9.109375" style="44"/>
    <col min="4604" max="4604" width="52.5546875" style="44" bestFit="1" customWidth="1"/>
    <col min="4605" max="4605" width="7.88671875" style="44" customWidth="1"/>
    <col min="4606" max="4610" width="9.109375" style="44" customWidth="1"/>
    <col min="4611" max="4611" width="2.44140625" style="44" customWidth="1"/>
    <col min="4612" max="4617" width="9.109375" style="44" customWidth="1"/>
    <col min="4618" max="4618" width="2.44140625" style="44" customWidth="1"/>
    <col min="4619" max="4624" width="9.109375" style="44" customWidth="1"/>
    <col min="4625" max="4625" width="2.44140625" style="44" customWidth="1"/>
    <col min="4626" max="4631" width="9.109375" style="44"/>
    <col min="4632" max="4632" width="4.88671875" style="44" customWidth="1"/>
    <col min="4633" max="4633" width="13.44140625" style="44" bestFit="1" customWidth="1"/>
    <col min="4634" max="4634" width="14.88671875" style="44" bestFit="1" customWidth="1"/>
    <col min="4635" max="4637" width="14.88671875" style="44" customWidth="1"/>
    <col min="4638" max="4638" width="10.88671875" style="44" bestFit="1" customWidth="1"/>
    <col min="4639" max="4639" width="9.109375" style="44"/>
    <col min="4640" max="4640" width="108.33203125" style="44" customWidth="1"/>
    <col min="4641" max="4859" width="9.109375" style="44"/>
    <col min="4860" max="4860" width="52.5546875" style="44" bestFit="1" customWidth="1"/>
    <col min="4861" max="4861" width="7.88671875" style="44" customWidth="1"/>
    <col min="4862" max="4866" width="9.109375" style="44" customWidth="1"/>
    <col min="4867" max="4867" width="2.44140625" style="44" customWidth="1"/>
    <col min="4868" max="4873" width="9.109375" style="44" customWidth="1"/>
    <col min="4874" max="4874" width="2.44140625" style="44" customWidth="1"/>
    <col min="4875" max="4880" width="9.109375" style="44" customWidth="1"/>
    <col min="4881" max="4881" width="2.44140625" style="44" customWidth="1"/>
    <col min="4882" max="4887" width="9.109375" style="44"/>
    <col min="4888" max="4888" width="4.88671875" style="44" customWidth="1"/>
    <col min="4889" max="4889" width="13.44140625" style="44" bestFit="1" customWidth="1"/>
    <col min="4890" max="4890" width="14.88671875" style="44" bestFit="1" customWidth="1"/>
    <col min="4891" max="4893" width="14.88671875" style="44" customWidth="1"/>
    <col min="4894" max="4894" width="10.88671875" style="44" bestFit="1" customWidth="1"/>
    <col min="4895" max="4895" width="9.109375" style="44"/>
    <col min="4896" max="4896" width="108.33203125" style="44" customWidth="1"/>
    <col min="4897" max="5115" width="9.109375" style="44"/>
    <col min="5116" max="5116" width="52.5546875" style="44" bestFit="1" customWidth="1"/>
    <col min="5117" max="5117" width="7.88671875" style="44" customWidth="1"/>
    <col min="5118" max="5122" width="9.109375" style="44" customWidth="1"/>
    <col min="5123" max="5123" width="2.44140625" style="44" customWidth="1"/>
    <col min="5124" max="5129" width="9.109375" style="44" customWidth="1"/>
    <col min="5130" max="5130" width="2.44140625" style="44" customWidth="1"/>
    <col min="5131" max="5136" width="9.109375" style="44" customWidth="1"/>
    <col min="5137" max="5137" width="2.44140625" style="44" customWidth="1"/>
    <col min="5138" max="5143" width="9.109375" style="44"/>
    <col min="5144" max="5144" width="4.88671875" style="44" customWidth="1"/>
    <col min="5145" max="5145" width="13.44140625" style="44" bestFit="1" customWidth="1"/>
    <col min="5146" max="5146" width="14.88671875" style="44" bestFit="1" customWidth="1"/>
    <col min="5147" max="5149" width="14.88671875" style="44" customWidth="1"/>
    <col min="5150" max="5150" width="10.88671875" style="44" bestFit="1" customWidth="1"/>
    <col min="5151" max="5151" width="9.109375" style="44"/>
    <col min="5152" max="5152" width="108.33203125" style="44" customWidth="1"/>
    <col min="5153" max="5371" width="9.109375" style="44"/>
    <col min="5372" max="5372" width="52.5546875" style="44" bestFit="1" customWidth="1"/>
    <col min="5373" max="5373" width="7.88671875" style="44" customWidth="1"/>
    <col min="5374" max="5378" width="9.109375" style="44" customWidth="1"/>
    <col min="5379" max="5379" width="2.44140625" style="44" customWidth="1"/>
    <col min="5380" max="5385" width="9.109375" style="44" customWidth="1"/>
    <col min="5386" max="5386" width="2.44140625" style="44" customWidth="1"/>
    <col min="5387" max="5392" width="9.109375" style="44" customWidth="1"/>
    <col min="5393" max="5393" width="2.44140625" style="44" customWidth="1"/>
    <col min="5394" max="5399" width="9.109375" style="44"/>
    <col min="5400" max="5400" width="4.88671875" style="44" customWidth="1"/>
    <col min="5401" max="5401" width="13.44140625" style="44" bestFit="1" customWidth="1"/>
    <col min="5402" max="5402" width="14.88671875" style="44" bestFit="1" customWidth="1"/>
    <col min="5403" max="5405" width="14.88671875" style="44" customWidth="1"/>
    <col min="5406" max="5406" width="10.88671875" style="44" bestFit="1" customWidth="1"/>
    <col min="5407" max="5407" width="9.109375" style="44"/>
    <col min="5408" max="5408" width="108.33203125" style="44" customWidth="1"/>
    <col min="5409" max="5627" width="9.109375" style="44"/>
    <col min="5628" max="5628" width="52.5546875" style="44" bestFit="1" customWidth="1"/>
    <col min="5629" max="5629" width="7.88671875" style="44" customWidth="1"/>
    <col min="5630" max="5634" width="9.109375" style="44" customWidth="1"/>
    <col min="5635" max="5635" width="2.44140625" style="44" customWidth="1"/>
    <col min="5636" max="5641" width="9.109375" style="44" customWidth="1"/>
    <col min="5642" max="5642" width="2.44140625" style="44" customWidth="1"/>
    <col min="5643" max="5648" width="9.109375" style="44" customWidth="1"/>
    <col min="5649" max="5649" width="2.44140625" style="44" customWidth="1"/>
    <col min="5650" max="5655" width="9.109375" style="44"/>
    <col min="5656" max="5656" width="4.88671875" style="44" customWidth="1"/>
    <col min="5657" max="5657" width="13.44140625" style="44" bestFit="1" customWidth="1"/>
    <col min="5658" max="5658" width="14.88671875" style="44" bestFit="1" customWidth="1"/>
    <col min="5659" max="5661" width="14.88671875" style="44" customWidth="1"/>
    <col min="5662" max="5662" width="10.88671875" style="44" bestFit="1" customWidth="1"/>
    <col min="5663" max="5663" width="9.109375" style="44"/>
    <col min="5664" max="5664" width="108.33203125" style="44" customWidth="1"/>
    <col min="5665" max="5883" width="9.109375" style="44"/>
    <col min="5884" max="5884" width="52.5546875" style="44" bestFit="1" customWidth="1"/>
    <col min="5885" max="5885" width="7.88671875" style="44" customWidth="1"/>
    <col min="5886" max="5890" width="9.109375" style="44" customWidth="1"/>
    <col min="5891" max="5891" width="2.44140625" style="44" customWidth="1"/>
    <col min="5892" max="5897" width="9.109375" style="44" customWidth="1"/>
    <col min="5898" max="5898" width="2.44140625" style="44" customWidth="1"/>
    <col min="5899" max="5904" width="9.109375" style="44" customWidth="1"/>
    <col min="5905" max="5905" width="2.44140625" style="44" customWidth="1"/>
    <col min="5906" max="5911" width="9.109375" style="44"/>
    <col min="5912" max="5912" width="4.88671875" style="44" customWidth="1"/>
    <col min="5913" max="5913" width="13.44140625" style="44" bestFit="1" customWidth="1"/>
    <col min="5914" max="5914" width="14.88671875" style="44" bestFit="1" customWidth="1"/>
    <col min="5915" max="5917" width="14.88671875" style="44" customWidth="1"/>
    <col min="5918" max="5918" width="10.88671875" style="44" bestFit="1" customWidth="1"/>
    <col min="5919" max="5919" width="9.109375" style="44"/>
    <col min="5920" max="5920" width="108.33203125" style="44" customWidth="1"/>
    <col min="5921" max="6139" width="9.109375" style="44"/>
    <col min="6140" max="6140" width="52.5546875" style="44" bestFit="1" customWidth="1"/>
    <col min="6141" max="6141" width="7.88671875" style="44" customWidth="1"/>
    <col min="6142" max="6146" width="9.109375" style="44" customWidth="1"/>
    <col min="6147" max="6147" width="2.44140625" style="44" customWidth="1"/>
    <col min="6148" max="6153" width="9.109375" style="44" customWidth="1"/>
    <col min="6154" max="6154" width="2.44140625" style="44" customWidth="1"/>
    <col min="6155" max="6160" width="9.109375" style="44" customWidth="1"/>
    <col min="6161" max="6161" width="2.44140625" style="44" customWidth="1"/>
    <col min="6162" max="6167" width="9.109375" style="44"/>
    <col min="6168" max="6168" width="4.88671875" style="44" customWidth="1"/>
    <col min="6169" max="6169" width="13.44140625" style="44" bestFit="1" customWidth="1"/>
    <col min="6170" max="6170" width="14.88671875" style="44" bestFit="1" customWidth="1"/>
    <col min="6171" max="6173" width="14.88671875" style="44" customWidth="1"/>
    <col min="6174" max="6174" width="10.88671875" style="44" bestFit="1" customWidth="1"/>
    <col min="6175" max="6175" width="9.109375" style="44"/>
    <col min="6176" max="6176" width="108.33203125" style="44" customWidth="1"/>
    <col min="6177" max="6395" width="9.109375" style="44"/>
    <col min="6396" max="6396" width="52.5546875" style="44" bestFit="1" customWidth="1"/>
    <col min="6397" max="6397" width="7.88671875" style="44" customWidth="1"/>
    <col min="6398" max="6402" width="9.109375" style="44" customWidth="1"/>
    <col min="6403" max="6403" width="2.44140625" style="44" customWidth="1"/>
    <col min="6404" max="6409" width="9.109375" style="44" customWidth="1"/>
    <col min="6410" max="6410" width="2.44140625" style="44" customWidth="1"/>
    <col min="6411" max="6416" width="9.109375" style="44" customWidth="1"/>
    <col min="6417" max="6417" width="2.44140625" style="44" customWidth="1"/>
    <col min="6418" max="6423" width="9.109375" style="44"/>
    <col min="6424" max="6424" width="4.88671875" style="44" customWidth="1"/>
    <col min="6425" max="6425" width="13.44140625" style="44" bestFit="1" customWidth="1"/>
    <col min="6426" max="6426" width="14.88671875" style="44" bestFit="1" customWidth="1"/>
    <col min="6427" max="6429" width="14.88671875" style="44" customWidth="1"/>
    <col min="6430" max="6430" width="10.88671875" style="44" bestFit="1" customWidth="1"/>
    <col min="6431" max="6431" width="9.109375" style="44"/>
    <col min="6432" max="6432" width="108.33203125" style="44" customWidth="1"/>
    <col min="6433" max="6651" width="9.109375" style="44"/>
    <col min="6652" max="6652" width="52.5546875" style="44" bestFit="1" customWidth="1"/>
    <col min="6653" max="6653" width="7.88671875" style="44" customWidth="1"/>
    <col min="6654" max="6658" width="9.109375" style="44" customWidth="1"/>
    <col min="6659" max="6659" width="2.44140625" style="44" customWidth="1"/>
    <col min="6660" max="6665" width="9.109375" style="44" customWidth="1"/>
    <col min="6666" max="6666" width="2.44140625" style="44" customWidth="1"/>
    <col min="6667" max="6672" width="9.109375" style="44" customWidth="1"/>
    <col min="6673" max="6673" width="2.44140625" style="44" customWidth="1"/>
    <col min="6674" max="6679" width="9.109375" style="44"/>
    <col min="6680" max="6680" width="4.88671875" style="44" customWidth="1"/>
    <col min="6681" max="6681" width="13.44140625" style="44" bestFit="1" customWidth="1"/>
    <col min="6682" max="6682" width="14.88671875" style="44" bestFit="1" customWidth="1"/>
    <col min="6683" max="6685" width="14.88671875" style="44" customWidth="1"/>
    <col min="6686" max="6686" width="10.88671875" style="44" bestFit="1" customWidth="1"/>
    <col min="6687" max="6687" width="9.109375" style="44"/>
    <col min="6688" max="6688" width="108.33203125" style="44" customWidth="1"/>
    <col min="6689" max="6907" width="9.109375" style="44"/>
    <col min="6908" max="6908" width="52.5546875" style="44" bestFit="1" customWidth="1"/>
    <col min="6909" max="6909" width="7.88671875" style="44" customWidth="1"/>
    <col min="6910" max="6914" width="9.109375" style="44" customWidth="1"/>
    <col min="6915" max="6915" width="2.44140625" style="44" customWidth="1"/>
    <col min="6916" max="6921" width="9.109375" style="44" customWidth="1"/>
    <col min="6922" max="6922" width="2.44140625" style="44" customWidth="1"/>
    <col min="6923" max="6928" width="9.109375" style="44" customWidth="1"/>
    <col min="6929" max="6929" width="2.44140625" style="44" customWidth="1"/>
    <col min="6930" max="6935" width="9.109375" style="44"/>
    <col min="6936" max="6936" width="4.88671875" style="44" customWidth="1"/>
    <col min="6937" max="6937" width="13.44140625" style="44" bestFit="1" customWidth="1"/>
    <col min="6938" max="6938" width="14.88671875" style="44" bestFit="1" customWidth="1"/>
    <col min="6939" max="6941" width="14.88671875" style="44" customWidth="1"/>
    <col min="6942" max="6942" width="10.88671875" style="44" bestFit="1" customWidth="1"/>
    <col min="6943" max="6943" width="9.109375" style="44"/>
    <col min="6944" max="6944" width="108.33203125" style="44" customWidth="1"/>
    <col min="6945" max="7163" width="9.109375" style="44"/>
    <col min="7164" max="7164" width="52.5546875" style="44" bestFit="1" customWidth="1"/>
    <col min="7165" max="7165" width="7.88671875" style="44" customWidth="1"/>
    <col min="7166" max="7170" width="9.109375" style="44" customWidth="1"/>
    <col min="7171" max="7171" width="2.44140625" style="44" customWidth="1"/>
    <col min="7172" max="7177" width="9.109375" style="44" customWidth="1"/>
    <col min="7178" max="7178" width="2.44140625" style="44" customWidth="1"/>
    <col min="7179" max="7184" width="9.109375" style="44" customWidth="1"/>
    <col min="7185" max="7185" width="2.44140625" style="44" customWidth="1"/>
    <col min="7186" max="7191" width="9.109375" style="44"/>
    <col min="7192" max="7192" width="4.88671875" style="44" customWidth="1"/>
    <col min="7193" max="7193" width="13.44140625" style="44" bestFit="1" customWidth="1"/>
    <col min="7194" max="7194" width="14.88671875" style="44" bestFit="1" customWidth="1"/>
    <col min="7195" max="7197" width="14.88671875" style="44" customWidth="1"/>
    <col min="7198" max="7198" width="10.88671875" style="44" bestFit="1" customWidth="1"/>
    <col min="7199" max="7199" width="9.109375" style="44"/>
    <col min="7200" max="7200" width="108.33203125" style="44" customWidth="1"/>
    <col min="7201" max="7419" width="9.109375" style="44"/>
    <col min="7420" max="7420" width="52.5546875" style="44" bestFit="1" customWidth="1"/>
    <col min="7421" max="7421" width="7.88671875" style="44" customWidth="1"/>
    <col min="7422" max="7426" width="9.109375" style="44" customWidth="1"/>
    <col min="7427" max="7427" width="2.44140625" style="44" customWidth="1"/>
    <col min="7428" max="7433" width="9.109375" style="44" customWidth="1"/>
    <col min="7434" max="7434" width="2.44140625" style="44" customWidth="1"/>
    <col min="7435" max="7440" width="9.109375" style="44" customWidth="1"/>
    <col min="7441" max="7441" width="2.44140625" style="44" customWidth="1"/>
    <col min="7442" max="7447" width="9.109375" style="44"/>
    <col min="7448" max="7448" width="4.88671875" style="44" customWidth="1"/>
    <col min="7449" max="7449" width="13.44140625" style="44" bestFit="1" customWidth="1"/>
    <col min="7450" max="7450" width="14.88671875" style="44" bestFit="1" customWidth="1"/>
    <col min="7451" max="7453" width="14.88671875" style="44" customWidth="1"/>
    <col min="7454" max="7454" width="10.88671875" style="44" bestFit="1" customWidth="1"/>
    <col min="7455" max="7455" width="9.109375" style="44"/>
    <col min="7456" max="7456" width="108.33203125" style="44" customWidth="1"/>
    <col min="7457" max="7675" width="9.109375" style="44"/>
    <col min="7676" max="7676" width="52.5546875" style="44" bestFit="1" customWidth="1"/>
    <col min="7677" max="7677" width="7.88671875" style="44" customWidth="1"/>
    <col min="7678" max="7682" width="9.109375" style="44" customWidth="1"/>
    <col min="7683" max="7683" width="2.44140625" style="44" customWidth="1"/>
    <col min="7684" max="7689" width="9.109375" style="44" customWidth="1"/>
    <col min="7690" max="7690" width="2.44140625" style="44" customWidth="1"/>
    <col min="7691" max="7696" width="9.109375" style="44" customWidth="1"/>
    <col min="7697" max="7697" width="2.44140625" style="44" customWidth="1"/>
    <col min="7698" max="7703" width="9.109375" style="44"/>
    <col min="7704" max="7704" width="4.88671875" style="44" customWidth="1"/>
    <col min="7705" max="7705" width="13.44140625" style="44" bestFit="1" customWidth="1"/>
    <col min="7706" max="7706" width="14.88671875" style="44" bestFit="1" customWidth="1"/>
    <col min="7707" max="7709" width="14.88671875" style="44" customWidth="1"/>
    <col min="7710" max="7710" width="10.88671875" style="44" bestFit="1" customWidth="1"/>
    <col min="7711" max="7711" width="9.109375" style="44"/>
    <col min="7712" max="7712" width="108.33203125" style="44" customWidth="1"/>
    <col min="7713" max="7931" width="9.109375" style="44"/>
    <col min="7932" max="7932" width="52.5546875" style="44" bestFit="1" customWidth="1"/>
    <col min="7933" max="7933" width="7.88671875" style="44" customWidth="1"/>
    <col min="7934" max="7938" width="9.109375" style="44" customWidth="1"/>
    <col min="7939" max="7939" width="2.44140625" style="44" customWidth="1"/>
    <col min="7940" max="7945" width="9.109375" style="44" customWidth="1"/>
    <col min="7946" max="7946" width="2.44140625" style="44" customWidth="1"/>
    <col min="7947" max="7952" width="9.109375" style="44" customWidth="1"/>
    <col min="7953" max="7953" width="2.44140625" style="44" customWidth="1"/>
    <col min="7954" max="7959" width="9.109375" style="44"/>
    <col min="7960" max="7960" width="4.88671875" style="44" customWidth="1"/>
    <col min="7961" max="7961" width="13.44140625" style="44" bestFit="1" customWidth="1"/>
    <col min="7962" max="7962" width="14.88671875" style="44" bestFit="1" customWidth="1"/>
    <col min="7963" max="7965" width="14.88671875" style="44" customWidth="1"/>
    <col min="7966" max="7966" width="10.88671875" style="44" bestFit="1" customWidth="1"/>
    <col min="7967" max="7967" width="9.109375" style="44"/>
    <col min="7968" max="7968" width="108.33203125" style="44" customWidth="1"/>
    <col min="7969" max="8187" width="9.109375" style="44"/>
    <col min="8188" max="8188" width="52.5546875" style="44" bestFit="1" customWidth="1"/>
    <col min="8189" max="8189" width="7.88671875" style="44" customWidth="1"/>
    <col min="8190" max="8194" width="9.109375" style="44" customWidth="1"/>
    <col min="8195" max="8195" width="2.44140625" style="44" customWidth="1"/>
    <col min="8196" max="8201" width="9.109375" style="44" customWidth="1"/>
    <col min="8202" max="8202" width="2.44140625" style="44" customWidth="1"/>
    <col min="8203" max="8208" width="9.109375" style="44" customWidth="1"/>
    <col min="8209" max="8209" width="2.44140625" style="44" customWidth="1"/>
    <col min="8210" max="8215" width="9.109375" style="44"/>
    <col min="8216" max="8216" width="4.88671875" style="44" customWidth="1"/>
    <col min="8217" max="8217" width="13.44140625" style="44" bestFit="1" customWidth="1"/>
    <col min="8218" max="8218" width="14.88671875" style="44" bestFit="1" customWidth="1"/>
    <col min="8219" max="8221" width="14.88671875" style="44" customWidth="1"/>
    <col min="8222" max="8222" width="10.88671875" style="44" bestFit="1" customWidth="1"/>
    <col min="8223" max="8223" width="9.109375" style="44"/>
    <col min="8224" max="8224" width="108.33203125" style="44" customWidth="1"/>
    <col min="8225" max="8443" width="9.109375" style="44"/>
    <col min="8444" max="8444" width="52.5546875" style="44" bestFit="1" customWidth="1"/>
    <col min="8445" max="8445" width="7.88671875" style="44" customWidth="1"/>
    <col min="8446" max="8450" width="9.109375" style="44" customWidth="1"/>
    <col min="8451" max="8451" width="2.44140625" style="44" customWidth="1"/>
    <col min="8452" max="8457" width="9.109375" style="44" customWidth="1"/>
    <col min="8458" max="8458" width="2.44140625" style="44" customWidth="1"/>
    <col min="8459" max="8464" width="9.109375" style="44" customWidth="1"/>
    <col min="8465" max="8465" width="2.44140625" style="44" customWidth="1"/>
    <col min="8466" max="8471" width="9.109375" style="44"/>
    <col min="8472" max="8472" width="4.88671875" style="44" customWidth="1"/>
    <col min="8473" max="8473" width="13.44140625" style="44" bestFit="1" customWidth="1"/>
    <col min="8474" max="8474" width="14.88671875" style="44" bestFit="1" customWidth="1"/>
    <col min="8475" max="8477" width="14.88671875" style="44" customWidth="1"/>
    <col min="8478" max="8478" width="10.88671875" style="44" bestFit="1" customWidth="1"/>
    <col min="8479" max="8479" width="9.109375" style="44"/>
    <col min="8480" max="8480" width="108.33203125" style="44" customWidth="1"/>
    <col min="8481" max="8699" width="9.109375" style="44"/>
    <col min="8700" max="8700" width="52.5546875" style="44" bestFit="1" customWidth="1"/>
    <col min="8701" max="8701" width="7.88671875" style="44" customWidth="1"/>
    <col min="8702" max="8706" width="9.109375" style="44" customWidth="1"/>
    <col min="8707" max="8707" width="2.44140625" style="44" customWidth="1"/>
    <col min="8708" max="8713" width="9.109375" style="44" customWidth="1"/>
    <col min="8714" max="8714" width="2.44140625" style="44" customWidth="1"/>
    <col min="8715" max="8720" width="9.109375" style="44" customWidth="1"/>
    <col min="8721" max="8721" width="2.44140625" style="44" customWidth="1"/>
    <col min="8722" max="8727" width="9.109375" style="44"/>
    <col min="8728" max="8728" width="4.88671875" style="44" customWidth="1"/>
    <col min="8729" max="8729" width="13.44140625" style="44" bestFit="1" customWidth="1"/>
    <col min="8730" max="8730" width="14.88671875" style="44" bestFit="1" customWidth="1"/>
    <col min="8731" max="8733" width="14.88671875" style="44" customWidth="1"/>
    <col min="8734" max="8734" width="10.88671875" style="44" bestFit="1" customWidth="1"/>
    <col min="8735" max="8735" width="9.109375" style="44"/>
    <col min="8736" max="8736" width="108.33203125" style="44" customWidth="1"/>
    <col min="8737" max="8955" width="9.109375" style="44"/>
    <col min="8956" max="8956" width="52.5546875" style="44" bestFit="1" customWidth="1"/>
    <col min="8957" max="8957" width="7.88671875" style="44" customWidth="1"/>
    <col min="8958" max="8962" width="9.109375" style="44" customWidth="1"/>
    <col min="8963" max="8963" width="2.44140625" style="44" customWidth="1"/>
    <col min="8964" max="8969" width="9.109375" style="44" customWidth="1"/>
    <col min="8970" max="8970" width="2.44140625" style="44" customWidth="1"/>
    <col min="8971" max="8976" width="9.109375" style="44" customWidth="1"/>
    <col min="8977" max="8977" width="2.44140625" style="44" customWidth="1"/>
    <col min="8978" max="8983" width="9.109375" style="44"/>
    <col min="8984" max="8984" width="4.88671875" style="44" customWidth="1"/>
    <col min="8985" max="8985" width="13.44140625" style="44" bestFit="1" customWidth="1"/>
    <col min="8986" max="8986" width="14.88671875" style="44" bestFit="1" customWidth="1"/>
    <col min="8987" max="8989" width="14.88671875" style="44" customWidth="1"/>
    <col min="8990" max="8990" width="10.88671875" style="44" bestFit="1" customWidth="1"/>
    <col min="8991" max="8991" width="9.109375" style="44"/>
    <col min="8992" max="8992" width="108.33203125" style="44" customWidth="1"/>
    <col min="8993" max="9211" width="9.109375" style="44"/>
    <col min="9212" max="9212" width="52.5546875" style="44" bestFit="1" customWidth="1"/>
    <col min="9213" max="9213" width="7.88671875" style="44" customWidth="1"/>
    <col min="9214" max="9218" width="9.109375" style="44" customWidth="1"/>
    <col min="9219" max="9219" width="2.44140625" style="44" customWidth="1"/>
    <col min="9220" max="9225" width="9.109375" style="44" customWidth="1"/>
    <col min="9226" max="9226" width="2.44140625" style="44" customWidth="1"/>
    <col min="9227" max="9232" width="9.109375" style="44" customWidth="1"/>
    <col min="9233" max="9233" width="2.44140625" style="44" customWidth="1"/>
    <col min="9234" max="9239" width="9.109375" style="44"/>
    <col min="9240" max="9240" width="4.88671875" style="44" customWidth="1"/>
    <col min="9241" max="9241" width="13.44140625" style="44" bestFit="1" customWidth="1"/>
    <col min="9242" max="9242" width="14.88671875" style="44" bestFit="1" customWidth="1"/>
    <col min="9243" max="9245" width="14.88671875" style="44" customWidth="1"/>
    <col min="9246" max="9246" width="10.88671875" style="44" bestFit="1" customWidth="1"/>
    <col min="9247" max="9247" width="9.109375" style="44"/>
    <col min="9248" max="9248" width="108.33203125" style="44" customWidth="1"/>
    <col min="9249" max="9467" width="9.109375" style="44"/>
    <col min="9468" max="9468" width="52.5546875" style="44" bestFit="1" customWidth="1"/>
    <col min="9469" max="9469" width="7.88671875" style="44" customWidth="1"/>
    <col min="9470" max="9474" width="9.109375" style="44" customWidth="1"/>
    <col min="9475" max="9475" width="2.44140625" style="44" customWidth="1"/>
    <col min="9476" max="9481" width="9.109375" style="44" customWidth="1"/>
    <col min="9482" max="9482" width="2.44140625" style="44" customWidth="1"/>
    <col min="9483" max="9488" width="9.109375" style="44" customWidth="1"/>
    <col min="9489" max="9489" width="2.44140625" style="44" customWidth="1"/>
    <col min="9490" max="9495" width="9.109375" style="44"/>
    <col min="9496" max="9496" width="4.88671875" style="44" customWidth="1"/>
    <col min="9497" max="9497" width="13.44140625" style="44" bestFit="1" customWidth="1"/>
    <col min="9498" max="9498" width="14.88671875" style="44" bestFit="1" customWidth="1"/>
    <col min="9499" max="9501" width="14.88671875" style="44" customWidth="1"/>
    <col min="9502" max="9502" width="10.88671875" style="44" bestFit="1" customWidth="1"/>
    <col min="9503" max="9503" width="9.109375" style="44"/>
    <col min="9504" max="9504" width="108.33203125" style="44" customWidth="1"/>
    <col min="9505" max="9723" width="9.109375" style="44"/>
    <col min="9724" max="9724" width="52.5546875" style="44" bestFit="1" customWidth="1"/>
    <col min="9725" max="9725" width="7.88671875" style="44" customWidth="1"/>
    <col min="9726" max="9730" width="9.109375" style="44" customWidth="1"/>
    <col min="9731" max="9731" width="2.44140625" style="44" customWidth="1"/>
    <col min="9732" max="9737" width="9.109375" style="44" customWidth="1"/>
    <col min="9738" max="9738" width="2.44140625" style="44" customWidth="1"/>
    <col min="9739" max="9744" width="9.109375" style="44" customWidth="1"/>
    <col min="9745" max="9745" width="2.44140625" style="44" customWidth="1"/>
    <col min="9746" max="9751" width="9.109375" style="44"/>
    <col min="9752" max="9752" width="4.88671875" style="44" customWidth="1"/>
    <col min="9753" max="9753" width="13.44140625" style="44" bestFit="1" customWidth="1"/>
    <col min="9754" max="9754" width="14.88671875" style="44" bestFit="1" customWidth="1"/>
    <col min="9755" max="9757" width="14.88671875" style="44" customWidth="1"/>
    <col min="9758" max="9758" width="10.88671875" style="44" bestFit="1" customWidth="1"/>
    <col min="9759" max="9759" width="9.109375" style="44"/>
    <col min="9760" max="9760" width="108.33203125" style="44" customWidth="1"/>
    <col min="9761" max="9979" width="9.109375" style="44"/>
    <col min="9980" max="9980" width="52.5546875" style="44" bestFit="1" customWidth="1"/>
    <col min="9981" max="9981" width="7.88671875" style="44" customWidth="1"/>
    <col min="9982" max="9986" width="9.109375" style="44" customWidth="1"/>
    <col min="9987" max="9987" width="2.44140625" style="44" customWidth="1"/>
    <col min="9988" max="9993" width="9.109375" style="44" customWidth="1"/>
    <col min="9994" max="9994" width="2.44140625" style="44" customWidth="1"/>
    <col min="9995" max="10000" width="9.109375" style="44" customWidth="1"/>
    <col min="10001" max="10001" width="2.44140625" style="44" customWidth="1"/>
    <col min="10002" max="10007" width="9.109375" style="44"/>
    <col min="10008" max="10008" width="4.88671875" style="44" customWidth="1"/>
    <col min="10009" max="10009" width="13.44140625" style="44" bestFit="1" customWidth="1"/>
    <col min="10010" max="10010" width="14.88671875" style="44" bestFit="1" customWidth="1"/>
    <col min="10011" max="10013" width="14.88671875" style="44" customWidth="1"/>
    <col min="10014" max="10014" width="10.88671875" style="44" bestFit="1" customWidth="1"/>
    <col min="10015" max="10015" width="9.109375" style="44"/>
    <col min="10016" max="10016" width="108.33203125" style="44" customWidth="1"/>
    <col min="10017" max="10235" width="9.109375" style="44"/>
    <col min="10236" max="10236" width="52.5546875" style="44" bestFit="1" customWidth="1"/>
    <col min="10237" max="10237" width="7.88671875" style="44" customWidth="1"/>
    <col min="10238" max="10242" width="9.109375" style="44" customWidth="1"/>
    <col min="10243" max="10243" width="2.44140625" style="44" customWidth="1"/>
    <col min="10244" max="10249" width="9.109375" style="44" customWidth="1"/>
    <col min="10250" max="10250" width="2.44140625" style="44" customWidth="1"/>
    <col min="10251" max="10256" width="9.109375" style="44" customWidth="1"/>
    <col min="10257" max="10257" width="2.44140625" style="44" customWidth="1"/>
    <col min="10258" max="10263" width="9.109375" style="44"/>
    <col min="10264" max="10264" width="4.88671875" style="44" customWidth="1"/>
    <col min="10265" max="10265" width="13.44140625" style="44" bestFit="1" customWidth="1"/>
    <col min="10266" max="10266" width="14.88671875" style="44" bestFit="1" customWidth="1"/>
    <col min="10267" max="10269" width="14.88671875" style="44" customWidth="1"/>
    <col min="10270" max="10270" width="10.88671875" style="44" bestFit="1" customWidth="1"/>
    <col min="10271" max="10271" width="9.109375" style="44"/>
    <col min="10272" max="10272" width="108.33203125" style="44" customWidth="1"/>
    <col min="10273" max="10491" width="9.109375" style="44"/>
    <col min="10492" max="10492" width="52.5546875" style="44" bestFit="1" customWidth="1"/>
    <col min="10493" max="10493" width="7.88671875" style="44" customWidth="1"/>
    <col min="10494" max="10498" width="9.109375" style="44" customWidth="1"/>
    <col min="10499" max="10499" width="2.44140625" style="44" customWidth="1"/>
    <col min="10500" max="10505" width="9.109375" style="44" customWidth="1"/>
    <col min="10506" max="10506" width="2.44140625" style="44" customWidth="1"/>
    <col min="10507" max="10512" width="9.109375" style="44" customWidth="1"/>
    <col min="10513" max="10513" width="2.44140625" style="44" customWidth="1"/>
    <col min="10514" max="10519" width="9.109375" style="44"/>
    <col min="10520" max="10520" width="4.88671875" style="44" customWidth="1"/>
    <col min="10521" max="10521" width="13.44140625" style="44" bestFit="1" customWidth="1"/>
    <col min="10522" max="10522" width="14.88671875" style="44" bestFit="1" customWidth="1"/>
    <col min="10523" max="10525" width="14.88671875" style="44" customWidth="1"/>
    <col min="10526" max="10526" width="10.88671875" style="44" bestFit="1" customWidth="1"/>
    <col min="10527" max="10527" width="9.109375" style="44"/>
    <col min="10528" max="10528" width="108.33203125" style="44" customWidth="1"/>
    <col min="10529" max="10747" width="9.109375" style="44"/>
    <col min="10748" max="10748" width="52.5546875" style="44" bestFit="1" customWidth="1"/>
    <col min="10749" max="10749" width="7.88671875" style="44" customWidth="1"/>
    <col min="10750" max="10754" width="9.109375" style="44" customWidth="1"/>
    <col min="10755" max="10755" width="2.44140625" style="44" customWidth="1"/>
    <col min="10756" max="10761" width="9.109375" style="44" customWidth="1"/>
    <col min="10762" max="10762" width="2.44140625" style="44" customWidth="1"/>
    <col min="10763" max="10768" width="9.109375" style="44" customWidth="1"/>
    <col min="10769" max="10769" width="2.44140625" style="44" customWidth="1"/>
    <col min="10770" max="10775" width="9.109375" style="44"/>
    <col min="10776" max="10776" width="4.88671875" style="44" customWidth="1"/>
    <col min="10777" max="10777" width="13.44140625" style="44" bestFit="1" customWidth="1"/>
    <col min="10778" max="10778" width="14.88671875" style="44" bestFit="1" customWidth="1"/>
    <col min="10779" max="10781" width="14.88671875" style="44" customWidth="1"/>
    <col min="10782" max="10782" width="10.88671875" style="44" bestFit="1" customWidth="1"/>
    <col min="10783" max="10783" width="9.109375" style="44"/>
    <col min="10784" max="10784" width="108.33203125" style="44" customWidth="1"/>
    <col min="10785" max="11003" width="9.109375" style="44"/>
    <col min="11004" max="11004" width="52.5546875" style="44" bestFit="1" customWidth="1"/>
    <col min="11005" max="11005" width="7.88671875" style="44" customWidth="1"/>
    <col min="11006" max="11010" width="9.109375" style="44" customWidth="1"/>
    <col min="11011" max="11011" width="2.44140625" style="44" customWidth="1"/>
    <col min="11012" max="11017" width="9.109375" style="44" customWidth="1"/>
    <col min="11018" max="11018" width="2.44140625" style="44" customWidth="1"/>
    <col min="11019" max="11024" width="9.109375" style="44" customWidth="1"/>
    <col min="11025" max="11025" width="2.44140625" style="44" customWidth="1"/>
    <col min="11026" max="11031" width="9.109375" style="44"/>
    <col min="11032" max="11032" width="4.88671875" style="44" customWidth="1"/>
    <col min="11033" max="11033" width="13.44140625" style="44" bestFit="1" customWidth="1"/>
    <col min="11034" max="11034" width="14.88671875" style="44" bestFit="1" customWidth="1"/>
    <col min="11035" max="11037" width="14.88671875" style="44" customWidth="1"/>
    <col min="11038" max="11038" width="10.88671875" style="44" bestFit="1" customWidth="1"/>
    <col min="11039" max="11039" width="9.109375" style="44"/>
    <col min="11040" max="11040" width="108.33203125" style="44" customWidth="1"/>
    <col min="11041" max="11259" width="9.109375" style="44"/>
    <col min="11260" max="11260" width="52.5546875" style="44" bestFit="1" customWidth="1"/>
    <col min="11261" max="11261" width="7.88671875" style="44" customWidth="1"/>
    <col min="11262" max="11266" width="9.109375" style="44" customWidth="1"/>
    <col min="11267" max="11267" width="2.44140625" style="44" customWidth="1"/>
    <col min="11268" max="11273" width="9.109375" style="44" customWidth="1"/>
    <col min="11274" max="11274" width="2.44140625" style="44" customWidth="1"/>
    <col min="11275" max="11280" width="9.109375" style="44" customWidth="1"/>
    <col min="11281" max="11281" width="2.44140625" style="44" customWidth="1"/>
    <col min="11282" max="11287" width="9.109375" style="44"/>
    <col min="11288" max="11288" width="4.88671875" style="44" customWidth="1"/>
    <col min="11289" max="11289" width="13.44140625" style="44" bestFit="1" customWidth="1"/>
    <col min="11290" max="11290" width="14.88671875" style="44" bestFit="1" customWidth="1"/>
    <col min="11291" max="11293" width="14.88671875" style="44" customWidth="1"/>
    <col min="11294" max="11294" width="10.88671875" style="44" bestFit="1" customWidth="1"/>
    <col min="11295" max="11295" width="9.109375" style="44"/>
    <col min="11296" max="11296" width="108.33203125" style="44" customWidth="1"/>
    <col min="11297" max="11515" width="9.109375" style="44"/>
    <col min="11516" max="11516" width="52.5546875" style="44" bestFit="1" customWidth="1"/>
    <col min="11517" max="11517" width="7.88671875" style="44" customWidth="1"/>
    <col min="11518" max="11522" width="9.109375" style="44" customWidth="1"/>
    <col min="11523" max="11523" width="2.44140625" style="44" customWidth="1"/>
    <col min="11524" max="11529" width="9.109375" style="44" customWidth="1"/>
    <col min="11530" max="11530" width="2.44140625" style="44" customWidth="1"/>
    <col min="11531" max="11536" width="9.109375" style="44" customWidth="1"/>
    <col min="11537" max="11537" width="2.44140625" style="44" customWidth="1"/>
    <col min="11538" max="11543" width="9.109375" style="44"/>
    <col min="11544" max="11544" width="4.88671875" style="44" customWidth="1"/>
    <col min="11545" max="11545" width="13.44140625" style="44" bestFit="1" customWidth="1"/>
    <col min="11546" max="11546" width="14.88671875" style="44" bestFit="1" customWidth="1"/>
    <col min="11547" max="11549" width="14.88671875" style="44" customWidth="1"/>
    <col min="11550" max="11550" width="10.88671875" style="44" bestFit="1" customWidth="1"/>
    <col min="11551" max="11551" width="9.109375" style="44"/>
    <col min="11552" max="11552" width="108.33203125" style="44" customWidth="1"/>
    <col min="11553" max="11771" width="9.109375" style="44"/>
    <col min="11772" max="11772" width="52.5546875" style="44" bestFit="1" customWidth="1"/>
    <col min="11773" max="11773" width="7.88671875" style="44" customWidth="1"/>
    <col min="11774" max="11778" width="9.109375" style="44" customWidth="1"/>
    <col min="11779" max="11779" width="2.44140625" style="44" customWidth="1"/>
    <col min="11780" max="11785" width="9.109375" style="44" customWidth="1"/>
    <col min="11786" max="11786" width="2.44140625" style="44" customWidth="1"/>
    <col min="11787" max="11792" width="9.109375" style="44" customWidth="1"/>
    <col min="11793" max="11793" width="2.44140625" style="44" customWidth="1"/>
    <col min="11794" max="11799" width="9.109375" style="44"/>
    <col min="11800" max="11800" width="4.88671875" style="44" customWidth="1"/>
    <col min="11801" max="11801" width="13.44140625" style="44" bestFit="1" customWidth="1"/>
    <col min="11802" max="11802" width="14.88671875" style="44" bestFit="1" customWidth="1"/>
    <col min="11803" max="11805" width="14.88671875" style="44" customWidth="1"/>
    <col min="11806" max="11806" width="10.88671875" style="44" bestFit="1" customWidth="1"/>
    <col min="11807" max="11807" width="9.109375" style="44"/>
    <col min="11808" max="11808" width="108.33203125" style="44" customWidth="1"/>
    <col min="11809" max="12027" width="9.109375" style="44"/>
    <col min="12028" max="12028" width="52.5546875" style="44" bestFit="1" customWidth="1"/>
    <col min="12029" max="12029" width="7.88671875" style="44" customWidth="1"/>
    <col min="12030" max="12034" width="9.109375" style="44" customWidth="1"/>
    <col min="12035" max="12035" width="2.44140625" style="44" customWidth="1"/>
    <col min="12036" max="12041" width="9.109375" style="44" customWidth="1"/>
    <col min="12042" max="12042" width="2.44140625" style="44" customWidth="1"/>
    <col min="12043" max="12048" width="9.109375" style="44" customWidth="1"/>
    <col min="12049" max="12049" width="2.44140625" style="44" customWidth="1"/>
    <col min="12050" max="12055" width="9.109375" style="44"/>
    <col min="12056" max="12056" width="4.88671875" style="44" customWidth="1"/>
    <col min="12057" max="12057" width="13.44140625" style="44" bestFit="1" customWidth="1"/>
    <col min="12058" max="12058" width="14.88671875" style="44" bestFit="1" customWidth="1"/>
    <col min="12059" max="12061" width="14.88671875" style="44" customWidth="1"/>
    <col min="12062" max="12062" width="10.88671875" style="44" bestFit="1" customWidth="1"/>
    <col min="12063" max="12063" width="9.109375" style="44"/>
    <col min="12064" max="12064" width="108.33203125" style="44" customWidth="1"/>
    <col min="12065" max="12283" width="9.109375" style="44"/>
    <col min="12284" max="12284" width="52.5546875" style="44" bestFit="1" customWidth="1"/>
    <col min="12285" max="12285" width="7.88671875" style="44" customWidth="1"/>
    <col min="12286" max="12290" width="9.109375" style="44" customWidth="1"/>
    <col min="12291" max="12291" width="2.44140625" style="44" customWidth="1"/>
    <col min="12292" max="12297" width="9.109375" style="44" customWidth="1"/>
    <col min="12298" max="12298" width="2.44140625" style="44" customWidth="1"/>
    <col min="12299" max="12304" width="9.109375" style="44" customWidth="1"/>
    <col min="12305" max="12305" width="2.44140625" style="44" customWidth="1"/>
    <col min="12306" max="12311" width="9.109375" style="44"/>
    <col min="12312" max="12312" width="4.88671875" style="44" customWidth="1"/>
    <col min="12313" max="12313" width="13.44140625" style="44" bestFit="1" customWidth="1"/>
    <col min="12314" max="12314" width="14.88671875" style="44" bestFit="1" customWidth="1"/>
    <col min="12315" max="12317" width="14.88671875" style="44" customWidth="1"/>
    <col min="12318" max="12318" width="10.88671875" style="44" bestFit="1" customWidth="1"/>
    <col min="12319" max="12319" width="9.109375" style="44"/>
    <col min="12320" max="12320" width="108.33203125" style="44" customWidth="1"/>
    <col min="12321" max="12539" width="9.109375" style="44"/>
    <col min="12540" max="12540" width="52.5546875" style="44" bestFit="1" customWidth="1"/>
    <col min="12541" max="12541" width="7.88671875" style="44" customWidth="1"/>
    <col min="12542" max="12546" width="9.109375" style="44" customWidth="1"/>
    <col min="12547" max="12547" width="2.44140625" style="44" customWidth="1"/>
    <col min="12548" max="12553" width="9.109375" style="44" customWidth="1"/>
    <col min="12554" max="12554" width="2.44140625" style="44" customWidth="1"/>
    <col min="12555" max="12560" width="9.109375" style="44" customWidth="1"/>
    <col min="12561" max="12561" width="2.44140625" style="44" customWidth="1"/>
    <col min="12562" max="12567" width="9.109375" style="44"/>
    <col min="12568" max="12568" width="4.88671875" style="44" customWidth="1"/>
    <col min="12569" max="12569" width="13.44140625" style="44" bestFit="1" customWidth="1"/>
    <col min="12570" max="12570" width="14.88671875" style="44" bestFit="1" customWidth="1"/>
    <col min="12571" max="12573" width="14.88671875" style="44" customWidth="1"/>
    <col min="12574" max="12574" width="10.88671875" style="44" bestFit="1" customWidth="1"/>
    <col min="12575" max="12575" width="9.109375" style="44"/>
    <col min="12576" max="12576" width="108.33203125" style="44" customWidth="1"/>
    <col min="12577" max="12795" width="9.109375" style="44"/>
    <col min="12796" max="12796" width="52.5546875" style="44" bestFit="1" customWidth="1"/>
    <col min="12797" max="12797" width="7.88671875" style="44" customWidth="1"/>
    <col min="12798" max="12802" width="9.109375" style="44" customWidth="1"/>
    <col min="12803" max="12803" width="2.44140625" style="44" customWidth="1"/>
    <col min="12804" max="12809" width="9.109375" style="44" customWidth="1"/>
    <col min="12810" max="12810" width="2.44140625" style="44" customWidth="1"/>
    <col min="12811" max="12816" width="9.109375" style="44" customWidth="1"/>
    <col min="12817" max="12817" width="2.44140625" style="44" customWidth="1"/>
    <col min="12818" max="12823" width="9.109375" style="44"/>
    <col min="12824" max="12824" width="4.88671875" style="44" customWidth="1"/>
    <col min="12825" max="12825" width="13.44140625" style="44" bestFit="1" customWidth="1"/>
    <col min="12826" max="12826" width="14.88671875" style="44" bestFit="1" customWidth="1"/>
    <col min="12827" max="12829" width="14.88671875" style="44" customWidth="1"/>
    <col min="12830" max="12830" width="10.88671875" style="44" bestFit="1" customWidth="1"/>
    <col min="12831" max="12831" width="9.109375" style="44"/>
    <col min="12832" max="12832" width="108.33203125" style="44" customWidth="1"/>
    <col min="12833" max="13051" width="9.109375" style="44"/>
    <col min="13052" max="13052" width="52.5546875" style="44" bestFit="1" customWidth="1"/>
    <col min="13053" max="13053" width="7.88671875" style="44" customWidth="1"/>
    <col min="13054" max="13058" width="9.109375" style="44" customWidth="1"/>
    <col min="13059" max="13059" width="2.44140625" style="44" customWidth="1"/>
    <col min="13060" max="13065" width="9.109375" style="44" customWidth="1"/>
    <col min="13066" max="13066" width="2.44140625" style="44" customWidth="1"/>
    <col min="13067" max="13072" width="9.109375" style="44" customWidth="1"/>
    <col min="13073" max="13073" width="2.44140625" style="44" customWidth="1"/>
    <col min="13074" max="13079" width="9.109375" style="44"/>
    <col min="13080" max="13080" width="4.88671875" style="44" customWidth="1"/>
    <col min="13081" max="13081" width="13.44140625" style="44" bestFit="1" customWidth="1"/>
    <col min="13082" max="13082" width="14.88671875" style="44" bestFit="1" customWidth="1"/>
    <col min="13083" max="13085" width="14.88671875" style="44" customWidth="1"/>
    <col min="13086" max="13086" width="10.88671875" style="44" bestFit="1" customWidth="1"/>
    <col min="13087" max="13087" width="9.109375" style="44"/>
    <col min="13088" max="13088" width="108.33203125" style="44" customWidth="1"/>
    <col min="13089" max="13307" width="9.109375" style="44"/>
    <col min="13308" max="13308" width="52.5546875" style="44" bestFit="1" customWidth="1"/>
    <col min="13309" max="13309" width="7.88671875" style="44" customWidth="1"/>
    <col min="13310" max="13314" width="9.109375" style="44" customWidth="1"/>
    <col min="13315" max="13315" width="2.44140625" style="44" customWidth="1"/>
    <col min="13316" max="13321" width="9.109375" style="44" customWidth="1"/>
    <col min="13322" max="13322" width="2.44140625" style="44" customWidth="1"/>
    <col min="13323" max="13328" width="9.109375" style="44" customWidth="1"/>
    <col min="13329" max="13329" width="2.44140625" style="44" customWidth="1"/>
    <col min="13330" max="13335" width="9.109375" style="44"/>
    <col min="13336" max="13336" width="4.88671875" style="44" customWidth="1"/>
    <col min="13337" max="13337" width="13.44140625" style="44" bestFit="1" customWidth="1"/>
    <col min="13338" max="13338" width="14.88671875" style="44" bestFit="1" customWidth="1"/>
    <col min="13339" max="13341" width="14.88671875" style="44" customWidth="1"/>
    <col min="13342" max="13342" width="10.88671875" style="44" bestFit="1" customWidth="1"/>
    <col min="13343" max="13343" width="9.109375" style="44"/>
    <col min="13344" max="13344" width="108.33203125" style="44" customWidth="1"/>
    <col min="13345" max="13563" width="9.109375" style="44"/>
    <col min="13564" max="13564" width="52.5546875" style="44" bestFit="1" customWidth="1"/>
    <col min="13565" max="13565" width="7.88671875" style="44" customWidth="1"/>
    <col min="13566" max="13570" width="9.109375" style="44" customWidth="1"/>
    <col min="13571" max="13571" width="2.44140625" style="44" customWidth="1"/>
    <col min="13572" max="13577" width="9.109375" style="44" customWidth="1"/>
    <col min="13578" max="13578" width="2.44140625" style="44" customWidth="1"/>
    <col min="13579" max="13584" width="9.109375" style="44" customWidth="1"/>
    <col min="13585" max="13585" width="2.44140625" style="44" customWidth="1"/>
    <col min="13586" max="13591" width="9.109375" style="44"/>
    <col min="13592" max="13592" width="4.88671875" style="44" customWidth="1"/>
    <col min="13593" max="13593" width="13.44140625" style="44" bestFit="1" customWidth="1"/>
    <col min="13594" max="13594" width="14.88671875" style="44" bestFit="1" customWidth="1"/>
    <col min="13595" max="13597" width="14.88671875" style="44" customWidth="1"/>
    <col min="13598" max="13598" width="10.88671875" style="44" bestFit="1" customWidth="1"/>
    <col min="13599" max="13599" width="9.109375" style="44"/>
    <col min="13600" max="13600" width="108.33203125" style="44" customWidth="1"/>
    <col min="13601" max="13819" width="9.109375" style="44"/>
    <col min="13820" max="13820" width="52.5546875" style="44" bestFit="1" customWidth="1"/>
    <col min="13821" max="13821" width="7.88671875" style="44" customWidth="1"/>
    <col min="13822" max="13826" width="9.109375" style="44" customWidth="1"/>
    <col min="13827" max="13827" width="2.44140625" style="44" customWidth="1"/>
    <col min="13828" max="13833" width="9.109375" style="44" customWidth="1"/>
    <col min="13834" max="13834" width="2.44140625" style="44" customWidth="1"/>
    <col min="13835" max="13840" width="9.109375" style="44" customWidth="1"/>
    <col min="13841" max="13841" width="2.44140625" style="44" customWidth="1"/>
    <col min="13842" max="13847" width="9.109375" style="44"/>
    <col min="13848" max="13848" width="4.88671875" style="44" customWidth="1"/>
    <col min="13849" max="13849" width="13.44140625" style="44" bestFit="1" customWidth="1"/>
    <col min="13850" max="13850" width="14.88671875" style="44" bestFit="1" customWidth="1"/>
    <col min="13851" max="13853" width="14.88671875" style="44" customWidth="1"/>
    <col min="13854" max="13854" width="10.88671875" style="44" bestFit="1" customWidth="1"/>
    <col min="13855" max="13855" width="9.109375" style="44"/>
    <col min="13856" max="13856" width="108.33203125" style="44" customWidth="1"/>
    <col min="13857" max="14075" width="9.109375" style="44"/>
    <col min="14076" max="14076" width="52.5546875" style="44" bestFit="1" customWidth="1"/>
    <col min="14077" max="14077" width="7.88671875" style="44" customWidth="1"/>
    <col min="14078" max="14082" width="9.109375" style="44" customWidth="1"/>
    <col min="14083" max="14083" width="2.44140625" style="44" customWidth="1"/>
    <col min="14084" max="14089" width="9.109375" style="44" customWidth="1"/>
    <col min="14090" max="14090" width="2.44140625" style="44" customWidth="1"/>
    <col min="14091" max="14096" width="9.109375" style="44" customWidth="1"/>
    <col min="14097" max="14097" width="2.44140625" style="44" customWidth="1"/>
    <col min="14098" max="14103" width="9.109375" style="44"/>
    <col min="14104" max="14104" width="4.88671875" style="44" customWidth="1"/>
    <col min="14105" max="14105" width="13.44140625" style="44" bestFit="1" customWidth="1"/>
    <col min="14106" max="14106" width="14.88671875" style="44" bestFit="1" customWidth="1"/>
    <col min="14107" max="14109" width="14.88671875" style="44" customWidth="1"/>
    <col min="14110" max="14110" width="10.88671875" style="44" bestFit="1" customWidth="1"/>
    <col min="14111" max="14111" width="9.109375" style="44"/>
    <col min="14112" max="14112" width="108.33203125" style="44" customWidth="1"/>
    <col min="14113" max="14331" width="9.109375" style="44"/>
    <col min="14332" max="14332" width="52.5546875" style="44" bestFit="1" customWidth="1"/>
    <col min="14333" max="14333" width="7.88671875" style="44" customWidth="1"/>
    <col min="14334" max="14338" width="9.109375" style="44" customWidth="1"/>
    <col min="14339" max="14339" width="2.44140625" style="44" customWidth="1"/>
    <col min="14340" max="14345" width="9.109375" style="44" customWidth="1"/>
    <col min="14346" max="14346" width="2.44140625" style="44" customWidth="1"/>
    <col min="14347" max="14352" width="9.109375" style="44" customWidth="1"/>
    <col min="14353" max="14353" width="2.44140625" style="44" customWidth="1"/>
    <col min="14354" max="14359" width="9.109375" style="44"/>
    <col min="14360" max="14360" width="4.88671875" style="44" customWidth="1"/>
    <col min="14361" max="14361" width="13.44140625" style="44" bestFit="1" customWidth="1"/>
    <col min="14362" max="14362" width="14.88671875" style="44" bestFit="1" customWidth="1"/>
    <col min="14363" max="14365" width="14.88671875" style="44" customWidth="1"/>
    <col min="14366" max="14366" width="10.88671875" style="44" bestFit="1" customWidth="1"/>
    <col min="14367" max="14367" width="9.109375" style="44"/>
    <col min="14368" max="14368" width="108.33203125" style="44" customWidth="1"/>
    <col min="14369" max="14587" width="9.109375" style="44"/>
    <col min="14588" max="14588" width="52.5546875" style="44" bestFit="1" customWidth="1"/>
    <col min="14589" max="14589" width="7.88671875" style="44" customWidth="1"/>
    <col min="14590" max="14594" width="9.109375" style="44" customWidth="1"/>
    <col min="14595" max="14595" width="2.44140625" style="44" customWidth="1"/>
    <col min="14596" max="14601" width="9.109375" style="44" customWidth="1"/>
    <col min="14602" max="14602" width="2.44140625" style="44" customWidth="1"/>
    <col min="14603" max="14608" width="9.109375" style="44" customWidth="1"/>
    <col min="14609" max="14609" width="2.44140625" style="44" customWidth="1"/>
    <col min="14610" max="14615" width="9.109375" style="44"/>
    <col min="14616" max="14616" width="4.88671875" style="44" customWidth="1"/>
    <col min="14617" max="14617" width="13.44140625" style="44" bestFit="1" customWidth="1"/>
    <col min="14618" max="14618" width="14.88671875" style="44" bestFit="1" customWidth="1"/>
    <col min="14619" max="14621" width="14.88671875" style="44" customWidth="1"/>
    <col min="14622" max="14622" width="10.88671875" style="44" bestFit="1" customWidth="1"/>
    <col min="14623" max="14623" width="9.109375" style="44"/>
    <col min="14624" max="14624" width="108.33203125" style="44" customWidth="1"/>
    <col min="14625" max="14843" width="9.109375" style="44"/>
    <col min="14844" max="14844" width="52.5546875" style="44" bestFit="1" customWidth="1"/>
    <col min="14845" max="14845" width="7.88671875" style="44" customWidth="1"/>
    <col min="14846" max="14850" width="9.109375" style="44" customWidth="1"/>
    <col min="14851" max="14851" width="2.44140625" style="44" customWidth="1"/>
    <col min="14852" max="14857" width="9.109375" style="44" customWidth="1"/>
    <col min="14858" max="14858" width="2.44140625" style="44" customWidth="1"/>
    <col min="14859" max="14864" width="9.109375" style="44" customWidth="1"/>
    <col min="14865" max="14865" width="2.44140625" style="44" customWidth="1"/>
    <col min="14866" max="14871" width="9.109375" style="44"/>
    <col min="14872" max="14872" width="4.88671875" style="44" customWidth="1"/>
    <col min="14873" max="14873" width="13.44140625" style="44" bestFit="1" customWidth="1"/>
    <col min="14874" max="14874" width="14.88671875" style="44" bestFit="1" customWidth="1"/>
    <col min="14875" max="14877" width="14.88671875" style="44" customWidth="1"/>
    <col min="14878" max="14878" width="10.88671875" style="44" bestFit="1" customWidth="1"/>
    <col min="14879" max="14879" width="9.109375" style="44"/>
    <col min="14880" max="14880" width="108.33203125" style="44" customWidth="1"/>
    <col min="14881" max="15099" width="9.109375" style="44"/>
    <col min="15100" max="15100" width="52.5546875" style="44" bestFit="1" customWidth="1"/>
    <col min="15101" max="15101" width="7.88671875" style="44" customWidth="1"/>
    <col min="15102" max="15106" width="9.109375" style="44" customWidth="1"/>
    <col min="15107" max="15107" width="2.44140625" style="44" customWidth="1"/>
    <col min="15108" max="15113" width="9.109375" style="44" customWidth="1"/>
    <col min="15114" max="15114" width="2.44140625" style="44" customWidth="1"/>
    <col min="15115" max="15120" width="9.109375" style="44" customWidth="1"/>
    <col min="15121" max="15121" width="2.44140625" style="44" customWidth="1"/>
    <col min="15122" max="15127" width="9.109375" style="44"/>
    <col min="15128" max="15128" width="4.88671875" style="44" customWidth="1"/>
    <col min="15129" max="15129" width="13.44140625" style="44" bestFit="1" customWidth="1"/>
    <col min="15130" max="15130" width="14.88671875" style="44" bestFit="1" customWidth="1"/>
    <col min="15131" max="15133" width="14.88671875" style="44" customWidth="1"/>
    <col min="15134" max="15134" width="10.88671875" style="44" bestFit="1" customWidth="1"/>
    <col min="15135" max="15135" width="9.109375" style="44"/>
    <col min="15136" max="15136" width="108.33203125" style="44" customWidth="1"/>
    <col min="15137" max="15355" width="9.109375" style="44"/>
    <col min="15356" max="15356" width="52.5546875" style="44" bestFit="1" customWidth="1"/>
    <col min="15357" max="15357" width="7.88671875" style="44" customWidth="1"/>
    <col min="15358" max="15362" width="9.109375" style="44" customWidth="1"/>
    <col min="15363" max="15363" width="2.44140625" style="44" customWidth="1"/>
    <col min="15364" max="15369" width="9.109375" style="44" customWidth="1"/>
    <col min="15370" max="15370" width="2.44140625" style="44" customWidth="1"/>
    <col min="15371" max="15376" width="9.109375" style="44" customWidth="1"/>
    <col min="15377" max="15377" width="2.44140625" style="44" customWidth="1"/>
    <col min="15378" max="15383" width="9.109375" style="44"/>
    <col min="15384" max="15384" width="4.88671875" style="44" customWidth="1"/>
    <col min="15385" max="15385" width="13.44140625" style="44" bestFit="1" customWidth="1"/>
    <col min="15386" max="15386" width="14.88671875" style="44" bestFit="1" customWidth="1"/>
    <col min="15387" max="15389" width="14.88671875" style="44" customWidth="1"/>
    <col min="15390" max="15390" width="10.88671875" style="44" bestFit="1" customWidth="1"/>
    <col min="15391" max="15391" width="9.109375" style="44"/>
    <col min="15392" max="15392" width="108.33203125" style="44" customWidth="1"/>
    <col min="15393" max="15611" width="9.109375" style="44"/>
    <col min="15612" max="15612" width="52.5546875" style="44" bestFit="1" customWidth="1"/>
    <col min="15613" max="15613" width="7.88671875" style="44" customWidth="1"/>
    <col min="15614" max="15618" width="9.109375" style="44" customWidth="1"/>
    <col min="15619" max="15619" width="2.44140625" style="44" customWidth="1"/>
    <col min="15620" max="15625" width="9.109375" style="44" customWidth="1"/>
    <col min="15626" max="15626" width="2.44140625" style="44" customWidth="1"/>
    <col min="15627" max="15632" width="9.109375" style="44" customWidth="1"/>
    <col min="15633" max="15633" width="2.44140625" style="44" customWidth="1"/>
    <col min="15634" max="15639" width="9.109375" style="44"/>
    <col min="15640" max="15640" width="4.88671875" style="44" customWidth="1"/>
    <col min="15641" max="15641" width="13.44140625" style="44" bestFit="1" customWidth="1"/>
    <col min="15642" max="15642" width="14.88671875" style="44" bestFit="1" customWidth="1"/>
    <col min="15643" max="15645" width="14.88671875" style="44" customWidth="1"/>
    <col min="15646" max="15646" width="10.88671875" style="44" bestFit="1" customWidth="1"/>
    <col min="15647" max="15647" width="9.109375" style="44"/>
    <col min="15648" max="15648" width="108.33203125" style="44" customWidth="1"/>
    <col min="15649" max="15867" width="9.109375" style="44"/>
    <col min="15868" max="15868" width="52.5546875" style="44" bestFit="1" customWidth="1"/>
    <col min="15869" max="15869" width="7.88671875" style="44" customWidth="1"/>
    <col min="15870" max="15874" width="9.109375" style="44" customWidth="1"/>
    <col min="15875" max="15875" width="2.44140625" style="44" customWidth="1"/>
    <col min="15876" max="15881" width="9.109375" style="44" customWidth="1"/>
    <col min="15882" max="15882" width="2.44140625" style="44" customWidth="1"/>
    <col min="15883" max="15888" width="9.109375" style="44" customWidth="1"/>
    <col min="15889" max="15889" width="2.44140625" style="44" customWidth="1"/>
    <col min="15890" max="15895" width="9.109375" style="44"/>
    <col min="15896" max="15896" width="4.88671875" style="44" customWidth="1"/>
    <col min="15897" max="15897" width="13.44140625" style="44" bestFit="1" customWidth="1"/>
    <col min="15898" max="15898" width="14.88671875" style="44" bestFit="1" customWidth="1"/>
    <col min="15899" max="15901" width="14.88671875" style="44" customWidth="1"/>
    <col min="15902" max="15902" width="10.88671875" style="44" bestFit="1" customWidth="1"/>
    <col min="15903" max="15903" width="9.109375" style="44"/>
    <col min="15904" max="15904" width="108.33203125" style="44" customWidth="1"/>
    <col min="15905" max="16123" width="9.109375" style="44"/>
    <col min="16124" max="16124" width="52.5546875" style="44" bestFit="1" customWidth="1"/>
    <col min="16125" max="16125" width="7.88671875" style="44" customWidth="1"/>
    <col min="16126" max="16130" width="9.109375" style="44" customWidth="1"/>
    <col min="16131" max="16131" width="2.44140625" style="44" customWidth="1"/>
    <col min="16132" max="16137" width="9.109375" style="44" customWidth="1"/>
    <col min="16138" max="16138" width="2.44140625" style="44" customWidth="1"/>
    <col min="16139" max="16144" width="9.109375" style="44" customWidth="1"/>
    <col min="16145" max="16145" width="2.44140625" style="44" customWidth="1"/>
    <col min="16146" max="16151" width="9.109375" style="44"/>
    <col min="16152" max="16152" width="4.88671875" style="44" customWidth="1"/>
    <col min="16153" max="16153" width="13.44140625" style="44" bestFit="1" customWidth="1"/>
    <col min="16154" max="16154" width="14.88671875" style="44" bestFit="1" customWidth="1"/>
    <col min="16155" max="16157" width="14.88671875" style="44" customWidth="1"/>
    <col min="16158" max="16158" width="10.88671875" style="44" bestFit="1" customWidth="1"/>
    <col min="16159" max="16159" width="9.109375" style="44"/>
    <col min="16160" max="16160" width="108.33203125" style="44" customWidth="1"/>
    <col min="16161" max="16384" width="9.109375" style="44"/>
  </cols>
  <sheetData>
    <row r="1" spans="1:32" ht="15" customHeight="1" x14ac:dyDescent="0.25">
      <c r="A1" s="39" t="s">
        <v>648</v>
      </c>
      <c r="B1" s="39"/>
    </row>
    <row r="2" spans="1:32" ht="15" customHeight="1" x14ac:dyDescent="0.25">
      <c r="A2" s="39" t="s">
        <v>649</v>
      </c>
      <c r="B2" s="39"/>
    </row>
    <row r="3" spans="1:32" ht="15" customHeight="1" x14ac:dyDescent="0.25">
      <c r="D3" s="1235" t="s">
        <v>178</v>
      </c>
      <c r="E3" s="1235"/>
      <c r="F3" s="1235"/>
      <c r="G3" s="1235"/>
      <c r="H3" s="1235"/>
      <c r="I3" s="1235"/>
      <c r="J3" s="47"/>
      <c r="K3" s="1235" t="s">
        <v>179</v>
      </c>
      <c r="L3" s="1235"/>
      <c r="M3" s="1235"/>
      <c r="N3" s="1235"/>
      <c r="O3" s="1235"/>
      <c r="P3" s="1235"/>
      <c r="R3" s="1235" t="s">
        <v>166</v>
      </c>
      <c r="S3" s="1235"/>
      <c r="T3" s="1235"/>
      <c r="U3" s="1235"/>
      <c r="V3" s="1235"/>
      <c r="W3" s="1235"/>
      <c r="Y3" s="420" t="s">
        <v>159</v>
      </c>
      <c r="Z3" s="420" t="s">
        <v>180</v>
      </c>
      <c r="AA3" s="420" t="s">
        <v>181</v>
      </c>
      <c r="AB3" s="420" t="s">
        <v>182</v>
      </c>
      <c r="AC3" s="420" t="s">
        <v>183</v>
      </c>
      <c r="AD3" s="420" t="s">
        <v>147</v>
      </c>
      <c r="AE3" s="44" t="s">
        <v>145</v>
      </c>
    </row>
    <row r="4" spans="1:32" ht="15" customHeight="1" x14ac:dyDescent="0.25">
      <c r="A4" s="39" t="s">
        <v>650</v>
      </c>
      <c r="B4" s="39" t="s">
        <v>651</v>
      </c>
      <c r="D4" s="48" t="s">
        <v>154</v>
      </c>
      <c r="E4" s="48" t="s">
        <v>155</v>
      </c>
      <c r="F4" s="48" t="s">
        <v>156</v>
      </c>
      <c r="G4" s="48" t="s">
        <v>157</v>
      </c>
      <c r="H4" s="48" t="s">
        <v>652</v>
      </c>
      <c r="I4" s="48" t="s">
        <v>147</v>
      </c>
      <c r="J4" s="49"/>
      <c r="K4" s="48" t="s">
        <v>154</v>
      </c>
      <c r="L4" s="48" t="s">
        <v>155</v>
      </c>
      <c r="M4" s="48" t="s">
        <v>156</v>
      </c>
      <c r="N4" s="48" t="s">
        <v>157</v>
      </c>
      <c r="O4" s="48" t="s">
        <v>652</v>
      </c>
      <c r="P4" s="48" t="s">
        <v>147</v>
      </c>
      <c r="R4" s="48" t="s">
        <v>154</v>
      </c>
      <c r="S4" s="48" t="s">
        <v>155</v>
      </c>
      <c r="T4" s="48" t="s">
        <v>156</v>
      </c>
      <c r="U4" s="48" t="s">
        <v>157</v>
      </c>
      <c r="V4" s="48" t="s">
        <v>652</v>
      </c>
      <c r="W4" s="48" t="s">
        <v>147</v>
      </c>
      <c r="X4" s="49"/>
      <c r="Y4" s="48"/>
      <c r="Z4" s="48"/>
      <c r="AA4" s="48"/>
      <c r="AB4" s="48" t="s">
        <v>175</v>
      </c>
      <c r="AC4" s="48"/>
      <c r="AD4" s="48"/>
      <c r="AE4" s="44" t="s">
        <v>181</v>
      </c>
    </row>
    <row r="5" spans="1:32" ht="15" customHeight="1" x14ac:dyDescent="0.25">
      <c r="A5" s="41" t="s">
        <v>1445</v>
      </c>
      <c r="B5" s="41">
        <v>5414</v>
      </c>
      <c r="C5" s="41"/>
      <c r="D5" s="42">
        <v>1</v>
      </c>
      <c r="E5" s="42">
        <v>8</v>
      </c>
      <c r="F5" s="42">
        <v>2</v>
      </c>
      <c r="G5" s="42">
        <v>0</v>
      </c>
      <c r="H5" s="42">
        <v>0</v>
      </c>
      <c r="I5" s="42">
        <v>11</v>
      </c>
      <c r="J5" s="41"/>
      <c r="K5" s="42">
        <v>0</v>
      </c>
      <c r="L5" s="42">
        <v>1</v>
      </c>
      <c r="M5" s="42">
        <v>0</v>
      </c>
      <c r="N5" s="42">
        <v>0</v>
      </c>
      <c r="O5" s="42">
        <v>0</v>
      </c>
      <c r="P5" s="42">
        <v>1</v>
      </c>
      <c r="Q5" s="41"/>
      <c r="R5" s="42">
        <v>1</v>
      </c>
      <c r="S5" s="42">
        <v>9</v>
      </c>
      <c r="T5" s="42">
        <v>2</v>
      </c>
      <c r="U5" s="42">
        <v>0</v>
      </c>
      <c r="V5" s="42">
        <v>0</v>
      </c>
      <c r="W5" s="42">
        <v>12</v>
      </c>
      <c r="X5" s="41"/>
      <c r="Y5" s="42">
        <v>140000</v>
      </c>
      <c r="Z5" s="42">
        <v>62070.759999999995</v>
      </c>
      <c r="AA5" s="42">
        <v>0</v>
      </c>
      <c r="AB5" s="42">
        <v>202070.76</v>
      </c>
      <c r="AC5" s="42">
        <v>5269.75</v>
      </c>
      <c r="AD5" s="42">
        <v>207340.51</v>
      </c>
      <c r="AE5" s="43"/>
      <c r="AF5" s="43"/>
    </row>
    <row r="6" spans="1:32" ht="15" customHeight="1" x14ac:dyDescent="0.25">
      <c r="A6" s="41" t="s">
        <v>12</v>
      </c>
      <c r="B6" s="41">
        <v>2442</v>
      </c>
      <c r="C6" s="41"/>
      <c r="D6" s="42">
        <v>1</v>
      </c>
      <c r="E6" s="42">
        <v>8</v>
      </c>
      <c r="F6" s="42">
        <v>4</v>
      </c>
      <c r="G6" s="42">
        <v>0</v>
      </c>
      <c r="H6" s="42">
        <v>0</v>
      </c>
      <c r="I6" s="42">
        <v>13</v>
      </c>
      <c r="J6" s="41"/>
      <c r="K6" s="42">
        <v>0</v>
      </c>
      <c r="L6" s="42">
        <v>0</v>
      </c>
      <c r="M6" s="42">
        <v>0</v>
      </c>
      <c r="N6" s="42">
        <v>0</v>
      </c>
      <c r="O6" s="42">
        <v>0</v>
      </c>
      <c r="P6" s="42">
        <v>0</v>
      </c>
      <c r="Q6" s="41"/>
      <c r="R6" s="42">
        <v>1</v>
      </c>
      <c r="S6" s="42">
        <v>8</v>
      </c>
      <c r="T6" s="42">
        <v>4</v>
      </c>
      <c r="U6" s="42">
        <v>0</v>
      </c>
      <c r="V6" s="42">
        <v>0</v>
      </c>
      <c r="W6" s="42">
        <v>13</v>
      </c>
      <c r="X6" s="41"/>
      <c r="Y6" s="42">
        <v>120000</v>
      </c>
      <c r="Z6" s="42">
        <v>59675.240000000005</v>
      </c>
      <c r="AA6" s="42">
        <v>0</v>
      </c>
      <c r="AB6" s="42">
        <v>179675.24</v>
      </c>
      <c r="AC6" s="42">
        <v>0</v>
      </c>
      <c r="AD6" s="42">
        <v>179675.24</v>
      </c>
      <c r="AE6" s="43"/>
      <c r="AF6" s="43"/>
    </row>
    <row r="7" spans="1:32" ht="15" customHeight="1" x14ac:dyDescent="0.25">
      <c r="A7" s="41" t="s">
        <v>13</v>
      </c>
      <c r="B7" s="41">
        <v>2629</v>
      </c>
      <c r="C7" s="41"/>
      <c r="D7" s="42">
        <v>0</v>
      </c>
      <c r="E7" s="42">
        <v>0</v>
      </c>
      <c r="F7" s="42">
        <v>0</v>
      </c>
      <c r="G7" s="42">
        <v>2</v>
      </c>
      <c r="H7" s="42">
        <v>0</v>
      </c>
      <c r="I7" s="42">
        <v>2</v>
      </c>
      <c r="J7" s="41"/>
      <c r="K7" s="42">
        <v>0</v>
      </c>
      <c r="L7" s="42">
        <v>0</v>
      </c>
      <c r="M7" s="42">
        <v>0</v>
      </c>
      <c r="N7" s="42">
        <v>0</v>
      </c>
      <c r="O7" s="42">
        <v>0</v>
      </c>
      <c r="P7" s="42">
        <v>0</v>
      </c>
      <c r="Q7" s="41"/>
      <c r="R7" s="42">
        <v>0</v>
      </c>
      <c r="S7" s="42">
        <v>0</v>
      </c>
      <c r="T7" s="42">
        <v>0</v>
      </c>
      <c r="U7" s="42">
        <v>2</v>
      </c>
      <c r="V7" s="42">
        <v>0</v>
      </c>
      <c r="W7" s="42">
        <v>2</v>
      </c>
      <c r="X7" s="41"/>
      <c r="Y7" s="42">
        <v>20000</v>
      </c>
      <c r="Z7" s="42">
        <v>22828.36</v>
      </c>
      <c r="AA7" s="42">
        <v>0</v>
      </c>
      <c r="AB7" s="42">
        <v>42828.36</v>
      </c>
      <c r="AC7" s="42">
        <v>0</v>
      </c>
      <c r="AD7" s="42">
        <v>42828.36</v>
      </c>
      <c r="AE7" s="43"/>
      <c r="AF7" s="43"/>
    </row>
    <row r="8" spans="1:32" ht="15" customHeight="1" x14ac:dyDescent="0.25">
      <c r="A8" s="41" t="s">
        <v>21</v>
      </c>
      <c r="B8" s="41">
        <v>2433</v>
      </c>
      <c r="C8" s="41"/>
      <c r="D8" s="42">
        <v>2</v>
      </c>
      <c r="E8" s="42">
        <v>9</v>
      </c>
      <c r="F8" s="42">
        <v>10</v>
      </c>
      <c r="G8" s="42">
        <v>2</v>
      </c>
      <c r="H8" s="42">
        <v>0</v>
      </c>
      <c r="I8" s="42">
        <v>23</v>
      </c>
      <c r="J8" s="41"/>
      <c r="K8" s="42">
        <v>0</v>
      </c>
      <c r="L8" s="42">
        <v>0</v>
      </c>
      <c r="M8" s="42">
        <v>0</v>
      </c>
      <c r="N8" s="42">
        <v>0</v>
      </c>
      <c r="O8" s="42">
        <v>0</v>
      </c>
      <c r="P8" s="42">
        <v>0</v>
      </c>
      <c r="Q8" s="41"/>
      <c r="R8" s="42">
        <v>2</v>
      </c>
      <c r="S8" s="42">
        <v>9</v>
      </c>
      <c r="T8" s="42">
        <v>10</v>
      </c>
      <c r="U8" s="42">
        <v>2</v>
      </c>
      <c r="V8" s="42">
        <v>0</v>
      </c>
      <c r="W8" s="42">
        <v>23</v>
      </c>
      <c r="X8" s="41"/>
      <c r="Y8" s="42">
        <v>300000</v>
      </c>
      <c r="Z8" s="42">
        <v>130021.97</v>
      </c>
      <c r="AA8" s="42">
        <v>0</v>
      </c>
      <c r="AB8" s="42">
        <v>430021.97</v>
      </c>
      <c r="AC8" s="42">
        <v>0</v>
      </c>
      <c r="AD8" s="42">
        <v>430021.97</v>
      </c>
      <c r="AE8" s="43"/>
      <c r="AF8" s="43"/>
    </row>
    <row r="9" spans="1:32" ht="15" customHeight="1" x14ac:dyDescent="0.25">
      <c r="A9" s="41" t="s">
        <v>22</v>
      </c>
      <c r="B9" s="41">
        <v>2432</v>
      </c>
      <c r="C9" s="41"/>
      <c r="D9" s="42">
        <v>0</v>
      </c>
      <c r="E9" s="42">
        <v>14</v>
      </c>
      <c r="F9" s="42">
        <v>9</v>
      </c>
      <c r="G9" s="42">
        <v>3</v>
      </c>
      <c r="H9" s="42">
        <v>0</v>
      </c>
      <c r="I9" s="42">
        <v>26</v>
      </c>
      <c r="J9" s="41"/>
      <c r="K9" s="42">
        <v>0</v>
      </c>
      <c r="L9" s="42">
        <v>0</v>
      </c>
      <c r="M9" s="42">
        <v>1</v>
      </c>
      <c r="N9" s="42">
        <v>0</v>
      </c>
      <c r="O9" s="42">
        <v>0</v>
      </c>
      <c r="P9" s="42">
        <v>1</v>
      </c>
      <c r="Q9" s="41"/>
      <c r="R9" s="42">
        <v>0</v>
      </c>
      <c r="S9" s="42">
        <v>14</v>
      </c>
      <c r="T9" s="42">
        <v>10</v>
      </c>
      <c r="U9" s="42">
        <v>3</v>
      </c>
      <c r="V9" s="42">
        <v>0</v>
      </c>
      <c r="W9" s="42">
        <v>27</v>
      </c>
      <c r="X9" s="41"/>
      <c r="Y9" s="42">
        <v>370000</v>
      </c>
      <c r="Z9" s="42">
        <v>150739.47500000001</v>
      </c>
      <c r="AA9" s="42">
        <v>0</v>
      </c>
      <c r="AB9" s="42">
        <v>520739.47499999998</v>
      </c>
      <c r="AC9" s="42">
        <v>7091.0150000000003</v>
      </c>
      <c r="AD9" s="42">
        <v>527830.49</v>
      </c>
      <c r="AE9" s="43"/>
      <c r="AF9" s="43"/>
    </row>
    <row r="10" spans="1:32" ht="15" customHeight="1" x14ac:dyDescent="0.25">
      <c r="A10" s="41" t="s">
        <v>1446</v>
      </c>
      <c r="B10" s="41">
        <v>4181</v>
      </c>
      <c r="C10" s="41"/>
      <c r="D10" s="42">
        <v>1</v>
      </c>
      <c r="E10" s="42">
        <v>5</v>
      </c>
      <c r="F10" s="42">
        <v>0</v>
      </c>
      <c r="G10" s="42">
        <v>0</v>
      </c>
      <c r="H10" s="42">
        <v>0</v>
      </c>
      <c r="I10" s="42">
        <v>6</v>
      </c>
      <c r="J10" s="41"/>
      <c r="K10" s="42">
        <v>0</v>
      </c>
      <c r="L10" s="42">
        <v>1</v>
      </c>
      <c r="M10" s="42">
        <v>0</v>
      </c>
      <c r="N10" s="42">
        <v>0</v>
      </c>
      <c r="O10" s="42">
        <v>0</v>
      </c>
      <c r="P10" s="42">
        <v>1</v>
      </c>
      <c r="Q10" s="41"/>
      <c r="R10" s="42">
        <v>1</v>
      </c>
      <c r="S10" s="42">
        <v>6</v>
      </c>
      <c r="T10" s="42">
        <v>0</v>
      </c>
      <c r="U10" s="42">
        <v>0</v>
      </c>
      <c r="V10" s="42">
        <v>0</v>
      </c>
      <c r="W10" s="42">
        <v>7</v>
      </c>
      <c r="X10" s="41"/>
      <c r="Y10" s="42">
        <v>80000</v>
      </c>
      <c r="Z10" s="42">
        <v>26329.05</v>
      </c>
      <c r="AA10" s="42">
        <v>0</v>
      </c>
      <c r="AB10" s="42">
        <v>106329.05</v>
      </c>
      <c r="AC10" s="42">
        <v>4813.6949999999997</v>
      </c>
      <c r="AD10" s="42">
        <v>111142.745</v>
      </c>
      <c r="AE10" s="43"/>
      <c r="AF10" s="43"/>
    </row>
    <row r="11" spans="1:32" ht="15" customHeight="1" x14ac:dyDescent="0.25">
      <c r="A11" s="41" t="s">
        <v>1447</v>
      </c>
      <c r="B11" s="41">
        <v>4181</v>
      </c>
      <c r="C11" s="41"/>
      <c r="D11" s="42">
        <v>1</v>
      </c>
      <c r="E11" s="42">
        <v>3</v>
      </c>
      <c r="F11" s="42">
        <v>1</v>
      </c>
      <c r="G11" s="42">
        <v>1</v>
      </c>
      <c r="H11" s="42">
        <v>0</v>
      </c>
      <c r="I11" s="42">
        <v>6</v>
      </c>
      <c r="J11" s="41"/>
      <c r="K11" s="42">
        <v>0</v>
      </c>
      <c r="L11" s="42">
        <v>0</v>
      </c>
      <c r="M11" s="42">
        <v>0</v>
      </c>
      <c r="N11" s="42">
        <v>0</v>
      </c>
      <c r="O11" s="42">
        <v>0</v>
      </c>
      <c r="P11" s="42">
        <v>0</v>
      </c>
      <c r="Q11" s="41"/>
      <c r="R11" s="42">
        <v>1</v>
      </c>
      <c r="S11" s="42">
        <v>3</v>
      </c>
      <c r="T11" s="42">
        <v>1</v>
      </c>
      <c r="U11" s="42">
        <v>1</v>
      </c>
      <c r="V11" s="42">
        <v>0</v>
      </c>
      <c r="W11" s="42">
        <v>6</v>
      </c>
      <c r="X11" s="41"/>
      <c r="Y11" s="42">
        <v>80000</v>
      </c>
      <c r="Z11" s="42">
        <v>40045.175000000003</v>
      </c>
      <c r="AA11" s="42">
        <v>0</v>
      </c>
      <c r="AB11" s="42">
        <v>120045.175</v>
      </c>
      <c r="AC11" s="42">
        <v>0</v>
      </c>
      <c r="AD11" s="42">
        <v>120045.175</v>
      </c>
      <c r="AE11" s="43"/>
      <c r="AF11" s="43"/>
    </row>
    <row r="12" spans="1:32" ht="15" customHeight="1" x14ac:dyDescent="0.25">
      <c r="A12" s="41" t="s">
        <v>39</v>
      </c>
      <c r="B12" s="41">
        <v>2436</v>
      </c>
      <c r="C12" s="41"/>
      <c r="D12" s="42">
        <v>0</v>
      </c>
      <c r="E12" s="42">
        <v>0</v>
      </c>
      <c r="F12" s="42">
        <v>0</v>
      </c>
      <c r="G12" s="42">
        <v>5</v>
      </c>
      <c r="H12" s="42">
        <v>0</v>
      </c>
      <c r="I12" s="42">
        <v>5</v>
      </c>
      <c r="J12" s="41"/>
      <c r="K12" s="42">
        <v>0</v>
      </c>
      <c r="L12" s="42">
        <v>0</v>
      </c>
      <c r="M12" s="42">
        <v>0</v>
      </c>
      <c r="N12" s="42">
        <v>2</v>
      </c>
      <c r="O12" s="42">
        <v>0</v>
      </c>
      <c r="P12" s="42">
        <v>2</v>
      </c>
      <c r="Q12" s="41"/>
      <c r="R12" s="42">
        <v>0</v>
      </c>
      <c r="S12" s="42">
        <v>0</v>
      </c>
      <c r="T12" s="42">
        <v>0</v>
      </c>
      <c r="U12" s="42">
        <v>7</v>
      </c>
      <c r="V12" s="42">
        <v>0</v>
      </c>
      <c r="W12" s="42">
        <v>7</v>
      </c>
      <c r="X12" s="41"/>
      <c r="Y12" s="42">
        <v>40000</v>
      </c>
      <c r="Z12" s="42">
        <v>114900.25</v>
      </c>
      <c r="AA12" s="42">
        <v>0</v>
      </c>
      <c r="AB12" s="42">
        <v>154900.25</v>
      </c>
      <c r="AC12" s="42">
        <v>45960.1</v>
      </c>
      <c r="AD12" s="42">
        <v>200860.35</v>
      </c>
      <c r="AE12" s="43"/>
      <c r="AF12" s="43"/>
    </row>
    <row r="13" spans="1:32" ht="15" customHeight="1" x14ac:dyDescent="0.25">
      <c r="A13" s="41" t="s">
        <v>52</v>
      </c>
      <c r="B13" s="41">
        <v>2000</v>
      </c>
      <c r="C13" s="41"/>
      <c r="D13" s="42">
        <v>2</v>
      </c>
      <c r="E13" s="42">
        <v>8</v>
      </c>
      <c r="F13" s="42">
        <v>9</v>
      </c>
      <c r="G13" s="42">
        <v>2</v>
      </c>
      <c r="H13" s="42">
        <v>0</v>
      </c>
      <c r="I13" s="42">
        <v>21</v>
      </c>
      <c r="J13" s="41"/>
      <c r="K13" s="42">
        <v>0</v>
      </c>
      <c r="L13" s="42">
        <v>1</v>
      </c>
      <c r="M13" s="42">
        <v>0</v>
      </c>
      <c r="N13" s="42">
        <v>0</v>
      </c>
      <c r="O13" s="42">
        <v>0</v>
      </c>
      <c r="P13" s="42">
        <v>1</v>
      </c>
      <c r="Q13" s="41"/>
      <c r="R13" s="42">
        <v>2</v>
      </c>
      <c r="S13" s="42">
        <v>9</v>
      </c>
      <c r="T13" s="42">
        <v>9</v>
      </c>
      <c r="U13" s="42">
        <v>2</v>
      </c>
      <c r="V13" s="42">
        <v>0</v>
      </c>
      <c r="W13" s="42">
        <v>22</v>
      </c>
      <c r="X13" s="41"/>
      <c r="Y13" s="42">
        <v>260000</v>
      </c>
      <c r="Z13" s="42">
        <v>119168.255</v>
      </c>
      <c r="AA13" s="42">
        <v>0</v>
      </c>
      <c r="AB13" s="42">
        <v>379168.255</v>
      </c>
      <c r="AC13" s="42">
        <v>3762.7</v>
      </c>
      <c r="AD13" s="42">
        <v>382930.95500000002</v>
      </c>
      <c r="AE13" s="43"/>
      <c r="AF13" s="43"/>
    </row>
    <row r="14" spans="1:32" ht="15" customHeight="1" x14ac:dyDescent="0.25">
      <c r="A14" s="41" t="s">
        <v>1448</v>
      </c>
      <c r="B14" s="41">
        <v>4607</v>
      </c>
      <c r="C14" s="41"/>
      <c r="D14" s="42">
        <v>0</v>
      </c>
      <c r="E14" s="42">
        <v>0</v>
      </c>
      <c r="F14" s="42">
        <v>0</v>
      </c>
      <c r="G14" s="42">
        <v>0</v>
      </c>
      <c r="H14" s="42">
        <v>0</v>
      </c>
      <c r="I14" s="42">
        <v>0</v>
      </c>
      <c r="J14" s="41"/>
      <c r="K14" s="42">
        <v>0</v>
      </c>
      <c r="L14" s="42">
        <v>0</v>
      </c>
      <c r="M14" s="42">
        <v>0</v>
      </c>
      <c r="N14" s="42">
        <v>0</v>
      </c>
      <c r="O14" s="42">
        <v>0</v>
      </c>
      <c r="P14" s="42">
        <v>0</v>
      </c>
      <c r="Q14" s="41"/>
      <c r="R14" s="42">
        <v>0</v>
      </c>
      <c r="S14" s="42">
        <v>0</v>
      </c>
      <c r="T14" s="42">
        <v>0</v>
      </c>
      <c r="U14" s="42">
        <v>0</v>
      </c>
      <c r="V14" s="42">
        <v>0</v>
      </c>
      <c r="W14" s="42">
        <v>0</v>
      </c>
      <c r="X14" s="41"/>
      <c r="Y14" s="42">
        <v>0</v>
      </c>
      <c r="Z14" s="42">
        <v>0</v>
      </c>
      <c r="AA14" s="42">
        <v>0</v>
      </c>
      <c r="AB14" s="42">
        <v>0</v>
      </c>
      <c r="AC14" s="42">
        <v>0</v>
      </c>
      <c r="AD14" s="42">
        <v>0</v>
      </c>
      <c r="AE14" s="43"/>
      <c r="AF14" s="43"/>
    </row>
    <row r="15" spans="1:32" ht="15" customHeight="1" x14ac:dyDescent="0.25">
      <c r="A15" s="41" t="s">
        <v>1449</v>
      </c>
      <c r="B15" s="41">
        <v>4607</v>
      </c>
      <c r="C15" s="41"/>
      <c r="D15" s="42">
        <v>1</v>
      </c>
      <c r="E15" s="42">
        <v>3</v>
      </c>
      <c r="F15" s="42">
        <v>2</v>
      </c>
      <c r="G15" s="42">
        <v>6</v>
      </c>
      <c r="H15" s="42">
        <v>0</v>
      </c>
      <c r="I15" s="42">
        <v>12</v>
      </c>
      <c r="J15" s="41"/>
      <c r="K15" s="42">
        <v>0</v>
      </c>
      <c r="L15" s="42">
        <v>0</v>
      </c>
      <c r="M15" s="42">
        <v>0</v>
      </c>
      <c r="N15" s="42">
        <v>6</v>
      </c>
      <c r="O15" s="42">
        <v>0</v>
      </c>
      <c r="P15" s="42">
        <v>6</v>
      </c>
      <c r="Q15" s="41"/>
      <c r="R15" s="42">
        <v>1</v>
      </c>
      <c r="S15" s="42">
        <v>3</v>
      </c>
      <c r="T15" s="42">
        <v>2</v>
      </c>
      <c r="U15" s="42">
        <v>12</v>
      </c>
      <c r="V15" s="42">
        <v>0</v>
      </c>
      <c r="W15" s="42">
        <v>18</v>
      </c>
      <c r="X15" s="41"/>
      <c r="Y15" s="42">
        <v>200000</v>
      </c>
      <c r="Z15" s="42">
        <v>113249.39000000001</v>
      </c>
      <c r="AA15" s="42">
        <v>25000</v>
      </c>
      <c r="AB15" s="42">
        <v>338249.39</v>
      </c>
      <c r="AC15" s="42">
        <v>77527.38</v>
      </c>
      <c r="AD15" s="42">
        <v>415776.77</v>
      </c>
      <c r="AE15" s="43"/>
      <c r="AF15" s="43"/>
    </row>
    <row r="16" spans="1:32" ht="15" customHeight="1" x14ac:dyDescent="0.25">
      <c r="A16" s="41" t="s">
        <v>1450</v>
      </c>
      <c r="B16" s="41">
        <v>2466</v>
      </c>
      <c r="C16" s="41"/>
      <c r="D16" s="42">
        <v>1</v>
      </c>
      <c r="E16" s="42">
        <v>5</v>
      </c>
      <c r="F16" s="42">
        <v>10</v>
      </c>
      <c r="G16" s="42">
        <v>3</v>
      </c>
      <c r="H16" s="42">
        <v>0</v>
      </c>
      <c r="I16" s="42">
        <v>19</v>
      </c>
      <c r="J16" s="41"/>
      <c r="K16" s="42">
        <v>0</v>
      </c>
      <c r="L16" s="42">
        <v>0</v>
      </c>
      <c r="M16" s="42">
        <v>0</v>
      </c>
      <c r="N16" s="42">
        <v>0</v>
      </c>
      <c r="O16" s="42">
        <v>0</v>
      </c>
      <c r="P16" s="42">
        <v>0</v>
      </c>
      <c r="Q16" s="41"/>
      <c r="R16" s="42">
        <v>1</v>
      </c>
      <c r="S16" s="42">
        <v>5</v>
      </c>
      <c r="T16" s="42">
        <v>10</v>
      </c>
      <c r="U16" s="42">
        <v>3</v>
      </c>
      <c r="V16" s="42">
        <v>0</v>
      </c>
      <c r="W16" s="42">
        <v>19</v>
      </c>
      <c r="X16" s="41"/>
      <c r="Y16" s="42">
        <v>190000</v>
      </c>
      <c r="Z16" s="42">
        <v>125175.77000000002</v>
      </c>
      <c r="AA16" s="42">
        <v>0</v>
      </c>
      <c r="AB16" s="42">
        <v>315175.77</v>
      </c>
      <c r="AC16" s="42">
        <v>0</v>
      </c>
      <c r="AD16" s="42">
        <v>315175.77</v>
      </c>
      <c r="AE16" s="43"/>
      <c r="AF16" s="43"/>
    </row>
    <row r="17" spans="1:32" ht="15" customHeight="1" x14ac:dyDescent="0.25">
      <c r="A17" s="41" t="s">
        <v>1451</v>
      </c>
      <c r="B17" s="41">
        <v>4177</v>
      </c>
      <c r="C17" s="41"/>
      <c r="D17" s="42">
        <v>0</v>
      </c>
      <c r="E17" s="42">
        <v>18</v>
      </c>
      <c r="F17" s="42">
        <v>14</v>
      </c>
      <c r="G17" s="42">
        <v>2</v>
      </c>
      <c r="H17" s="42">
        <v>0</v>
      </c>
      <c r="I17" s="42">
        <v>34</v>
      </c>
      <c r="J17" s="41"/>
      <c r="K17" s="42">
        <v>0</v>
      </c>
      <c r="L17" s="42">
        <v>0</v>
      </c>
      <c r="M17" s="42">
        <v>1</v>
      </c>
      <c r="N17" s="42">
        <v>0</v>
      </c>
      <c r="O17" s="42">
        <v>0</v>
      </c>
      <c r="P17" s="42">
        <v>1</v>
      </c>
      <c r="Q17" s="41"/>
      <c r="R17" s="42">
        <v>0</v>
      </c>
      <c r="S17" s="42">
        <v>18</v>
      </c>
      <c r="T17" s="42">
        <v>15</v>
      </c>
      <c r="U17" s="42">
        <v>2</v>
      </c>
      <c r="V17" s="42">
        <v>0</v>
      </c>
      <c r="W17" s="42">
        <v>35</v>
      </c>
      <c r="X17" s="41"/>
      <c r="Y17" s="42">
        <v>450000</v>
      </c>
      <c r="Z17" s="42">
        <v>225565</v>
      </c>
      <c r="AA17" s="42">
        <v>0</v>
      </c>
      <c r="AB17" s="42">
        <v>675565</v>
      </c>
      <c r="AC17" s="42">
        <v>8142.01</v>
      </c>
      <c r="AD17" s="42">
        <v>683707.01</v>
      </c>
      <c r="AE17" s="43"/>
      <c r="AF17" s="43"/>
    </row>
    <row r="18" spans="1:32" ht="15" customHeight="1" x14ac:dyDescent="0.25">
      <c r="A18" s="41" t="s">
        <v>1452</v>
      </c>
      <c r="B18" s="41">
        <v>4177</v>
      </c>
      <c r="C18" s="41"/>
      <c r="D18" s="42">
        <v>0</v>
      </c>
      <c r="E18" s="42">
        <v>0</v>
      </c>
      <c r="F18" s="42">
        <v>0</v>
      </c>
      <c r="G18" s="42">
        <v>0</v>
      </c>
      <c r="H18" s="42">
        <v>0</v>
      </c>
      <c r="I18" s="42">
        <v>0</v>
      </c>
      <c r="J18" s="41"/>
      <c r="K18" s="42">
        <v>0</v>
      </c>
      <c r="L18" s="42">
        <v>0</v>
      </c>
      <c r="M18" s="42">
        <v>0</v>
      </c>
      <c r="N18" s="42">
        <v>0</v>
      </c>
      <c r="O18" s="42">
        <v>0</v>
      </c>
      <c r="P18" s="42">
        <v>0</v>
      </c>
      <c r="Q18" s="41"/>
      <c r="R18" s="42">
        <v>0</v>
      </c>
      <c r="S18" s="42">
        <v>0</v>
      </c>
      <c r="T18" s="42">
        <v>0</v>
      </c>
      <c r="U18" s="42">
        <v>0</v>
      </c>
      <c r="V18" s="42">
        <v>0</v>
      </c>
      <c r="W18" s="42">
        <v>0</v>
      </c>
      <c r="X18" s="41"/>
      <c r="Y18" s="42">
        <v>0</v>
      </c>
      <c r="Z18" s="42">
        <v>0</v>
      </c>
      <c r="AA18" s="42">
        <v>0</v>
      </c>
      <c r="AB18" s="42">
        <v>0</v>
      </c>
      <c r="AC18" s="42">
        <v>0</v>
      </c>
      <c r="AD18" s="42">
        <v>0</v>
      </c>
      <c r="AE18" s="43"/>
      <c r="AF18" s="43"/>
    </row>
    <row r="19" spans="1:32" ht="15" customHeight="1" x14ac:dyDescent="0.25">
      <c r="A19" s="41" t="s">
        <v>1453</v>
      </c>
      <c r="B19" s="41">
        <v>2405</v>
      </c>
      <c r="C19" s="41"/>
      <c r="D19" s="42">
        <v>0</v>
      </c>
      <c r="E19" s="42">
        <v>0</v>
      </c>
      <c r="F19" s="42">
        <v>3</v>
      </c>
      <c r="G19" s="42">
        <v>3</v>
      </c>
      <c r="H19" s="42">
        <v>0</v>
      </c>
      <c r="I19" s="42">
        <v>6</v>
      </c>
      <c r="J19" s="41"/>
      <c r="K19" s="42">
        <v>0</v>
      </c>
      <c r="L19" s="42">
        <v>0</v>
      </c>
      <c r="M19" s="42">
        <v>0</v>
      </c>
      <c r="N19" s="42">
        <v>0</v>
      </c>
      <c r="O19" s="42">
        <v>0</v>
      </c>
      <c r="P19" s="42">
        <v>0</v>
      </c>
      <c r="Q19" s="41"/>
      <c r="R19" s="42">
        <v>0</v>
      </c>
      <c r="S19" s="42">
        <v>0</v>
      </c>
      <c r="T19" s="42">
        <v>3</v>
      </c>
      <c r="U19" s="42">
        <v>3</v>
      </c>
      <c r="V19" s="42">
        <v>0</v>
      </c>
      <c r="W19" s="42">
        <v>6</v>
      </c>
      <c r="X19" s="41"/>
      <c r="Y19" s="42">
        <v>60000</v>
      </c>
      <c r="Z19" s="42">
        <v>55515.585000000006</v>
      </c>
      <c r="AA19" s="42">
        <v>0</v>
      </c>
      <c r="AB19" s="42">
        <v>115515.58500000001</v>
      </c>
      <c r="AC19" s="42">
        <v>0</v>
      </c>
      <c r="AD19" s="42">
        <v>115515.58500000001</v>
      </c>
      <c r="AE19" s="43"/>
      <c r="AF19" s="43"/>
    </row>
    <row r="20" spans="1:32" ht="15" customHeight="1" x14ac:dyDescent="0.25">
      <c r="A20" s="41" t="s">
        <v>1454</v>
      </c>
      <c r="B20" s="41">
        <v>2434</v>
      </c>
      <c r="C20" s="41"/>
      <c r="D20" s="42">
        <v>0</v>
      </c>
      <c r="E20" s="42">
        <v>0</v>
      </c>
      <c r="F20" s="42">
        <v>9</v>
      </c>
      <c r="G20" s="42">
        <v>5</v>
      </c>
      <c r="H20" s="42">
        <v>0</v>
      </c>
      <c r="I20" s="42">
        <v>14</v>
      </c>
      <c r="J20" s="41"/>
      <c r="K20" s="42">
        <v>0</v>
      </c>
      <c r="L20" s="42">
        <v>0</v>
      </c>
      <c r="M20" s="42">
        <v>0</v>
      </c>
      <c r="N20" s="42">
        <v>0</v>
      </c>
      <c r="O20" s="42">
        <v>0</v>
      </c>
      <c r="P20" s="42">
        <v>0</v>
      </c>
      <c r="Q20" s="41"/>
      <c r="R20" s="42">
        <v>0</v>
      </c>
      <c r="S20" s="42">
        <v>0</v>
      </c>
      <c r="T20" s="42">
        <v>9</v>
      </c>
      <c r="U20" s="42">
        <v>5</v>
      </c>
      <c r="V20" s="42">
        <v>0</v>
      </c>
      <c r="W20" s="42">
        <v>14</v>
      </c>
      <c r="X20" s="41"/>
      <c r="Y20" s="42">
        <v>140000</v>
      </c>
      <c r="Z20" s="42">
        <v>120890.035</v>
      </c>
      <c r="AA20" s="42">
        <v>0</v>
      </c>
      <c r="AB20" s="42">
        <v>260890.035</v>
      </c>
      <c r="AC20" s="42">
        <v>0</v>
      </c>
      <c r="AD20" s="42">
        <v>260890.035</v>
      </c>
      <c r="AE20" s="43"/>
      <c r="AF20" s="43"/>
    </row>
    <row r="21" spans="1:32" ht="15" customHeight="1" x14ac:dyDescent="0.25">
      <c r="A21" s="43"/>
      <c r="B21" s="43"/>
      <c r="C21" s="41"/>
      <c r="D21" s="42"/>
      <c r="E21" s="42"/>
      <c r="F21" s="42"/>
      <c r="G21" s="42"/>
      <c r="H21" s="42"/>
      <c r="I21" s="43"/>
      <c r="J21" s="41"/>
      <c r="K21" s="43"/>
      <c r="L21" s="43"/>
      <c r="M21" s="43"/>
      <c r="N21" s="43"/>
      <c r="O21" s="43"/>
      <c r="P21" s="43"/>
      <c r="Q21" s="41"/>
      <c r="R21" s="43"/>
      <c r="S21" s="43"/>
      <c r="T21" s="43"/>
      <c r="U21" s="43"/>
      <c r="V21" s="43"/>
      <c r="W21" s="43"/>
      <c r="X21" s="41"/>
      <c r="Y21" s="42"/>
      <c r="Z21" s="42"/>
      <c r="AA21" s="42"/>
      <c r="AB21" s="42"/>
      <c r="AC21" s="42"/>
      <c r="AD21" s="42"/>
      <c r="AE21" s="43"/>
      <c r="AF21" s="43"/>
    </row>
    <row r="22" spans="1:32" s="39" customFormat="1" ht="15" customHeight="1" thickBot="1" x14ac:dyDescent="0.3">
      <c r="A22" s="40" t="s">
        <v>184</v>
      </c>
      <c r="B22" s="40"/>
      <c r="C22" s="422"/>
      <c r="D22" s="423">
        <v>10</v>
      </c>
      <c r="E22" s="423">
        <v>81</v>
      </c>
      <c r="F22" s="423">
        <v>73</v>
      </c>
      <c r="G22" s="423">
        <v>34</v>
      </c>
      <c r="H22" s="423">
        <v>0</v>
      </c>
      <c r="I22" s="423">
        <v>198</v>
      </c>
      <c r="J22" s="422"/>
      <c r="K22" s="423">
        <v>0</v>
      </c>
      <c r="L22" s="423">
        <v>3</v>
      </c>
      <c r="M22" s="423">
        <v>2</v>
      </c>
      <c r="N22" s="423">
        <v>8</v>
      </c>
      <c r="O22" s="423">
        <v>0</v>
      </c>
      <c r="P22" s="423">
        <v>13</v>
      </c>
      <c r="Q22" s="422"/>
      <c r="R22" s="423">
        <v>10</v>
      </c>
      <c r="S22" s="423">
        <v>84</v>
      </c>
      <c r="T22" s="423">
        <v>75</v>
      </c>
      <c r="U22" s="423">
        <v>42</v>
      </c>
      <c r="V22" s="423">
        <v>0</v>
      </c>
      <c r="W22" s="423">
        <v>211</v>
      </c>
      <c r="X22" s="422"/>
      <c r="Y22" s="424">
        <v>2450000</v>
      </c>
      <c r="Z22" s="424">
        <v>1366174.3149999997</v>
      </c>
      <c r="AA22" s="424">
        <v>25000</v>
      </c>
      <c r="AB22" s="424">
        <v>3841174.3150000004</v>
      </c>
      <c r="AC22" s="424">
        <v>152566.65000000002</v>
      </c>
      <c r="AD22" s="424">
        <v>3993740.9649999999</v>
      </c>
      <c r="AE22" s="40"/>
      <c r="AF22" s="40"/>
    </row>
    <row r="23" spans="1:32" ht="15" customHeight="1" x14ac:dyDescent="0.25">
      <c r="A23" s="43"/>
      <c r="B23" s="43"/>
      <c r="C23" s="41"/>
      <c r="D23" s="41"/>
      <c r="E23" s="41"/>
      <c r="F23" s="41"/>
      <c r="G23" s="41"/>
      <c r="H23" s="41"/>
      <c r="I23" s="41"/>
      <c r="J23" s="41"/>
      <c r="K23" s="41"/>
      <c r="L23" s="41"/>
      <c r="M23" s="41"/>
      <c r="N23" s="41"/>
      <c r="O23" s="41"/>
      <c r="P23" s="41"/>
      <c r="Q23" s="41"/>
      <c r="R23" s="41"/>
      <c r="S23" s="41"/>
      <c r="T23" s="41"/>
      <c r="U23" s="43"/>
      <c r="V23" s="43"/>
      <c r="W23" s="41"/>
      <c r="X23" s="41"/>
      <c r="Y23" s="42"/>
      <c r="Z23" s="42"/>
      <c r="AA23" s="42"/>
      <c r="AB23" s="42"/>
      <c r="AC23" s="42"/>
      <c r="AD23" s="42"/>
      <c r="AE23" s="43"/>
      <c r="AF23" s="43"/>
    </row>
    <row r="24" spans="1:32" ht="15" customHeight="1" x14ac:dyDescent="0.25">
      <c r="A24" s="39" t="s">
        <v>653</v>
      </c>
      <c r="B24" s="39"/>
      <c r="D24" s="48" t="s">
        <v>154</v>
      </c>
      <c r="E24" s="48" t="s">
        <v>155</v>
      </c>
      <c r="F24" s="48" t="s">
        <v>156</v>
      </c>
      <c r="G24" s="48" t="s">
        <v>157</v>
      </c>
      <c r="H24" s="48"/>
      <c r="I24" s="48" t="s">
        <v>147</v>
      </c>
      <c r="J24" s="49"/>
      <c r="K24" s="48" t="s">
        <v>154</v>
      </c>
      <c r="L24" s="48" t="s">
        <v>155</v>
      </c>
      <c r="M24" s="48" t="s">
        <v>156</v>
      </c>
      <c r="N24" s="48" t="s">
        <v>157</v>
      </c>
      <c r="O24" s="48" t="s">
        <v>652</v>
      </c>
      <c r="P24" s="48" t="s">
        <v>147</v>
      </c>
      <c r="R24" s="48" t="s">
        <v>154</v>
      </c>
      <c r="S24" s="48" t="s">
        <v>155</v>
      </c>
      <c r="T24" s="48" t="s">
        <v>156</v>
      </c>
      <c r="U24" s="48" t="s">
        <v>157</v>
      </c>
      <c r="V24" s="48" t="s">
        <v>652</v>
      </c>
      <c r="W24" s="48" t="s">
        <v>147</v>
      </c>
      <c r="X24" s="49"/>
      <c r="Y24" s="48"/>
      <c r="Z24" s="48"/>
      <c r="AA24" s="48"/>
      <c r="AB24" s="48"/>
      <c r="AC24" s="48"/>
      <c r="AD24" s="48"/>
    </row>
    <row r="25" spans="1:32" ht="15" customHeight="1" x14ac:dyDescent="0.25">
      <c r="A25" s="41" t="s">
        <v>1447</v>
      </c>
      <c r="B25" s="41">
        <v>4181</v>
      </c>
      <c r="C25" s="41"/>
      <c r="D25" s="42">
        <v>5</v>
      </c>
      <c r="E25" s="42">
        <v>0</v>
      </c>
      <c r="F25" s="42">
        <v>0</v>
      </c>
      <c r="G25" s="42">
        <v>0</v>
      </c>
      <c r="H25" s="42">
        <v>0</v>
      </c>
      <c r="I25" s="42">
        <v>5</v>
      </c>
      <c r="J25" s="41"/>
      <c r="K25" s="42">
        <v>0</v>
      </c>
      <c r="L25" s="42">
        <v>0</v>
      </c>
      <c r="M25" s="42">
        <v>0</v>
      </c>
      <c r="N25" s="42">
        <v>0</v>
      </c>
      <c r="O25" s="42">
        <v>0</v>
      </c>
      <c r="P25" s="42">
        <v>0</v>
      </c>
      <c r="Q25" s="41"/>
      <c r="R25" s="42">
        <v>5</v>
      </c>
      <c r="S25" s="42">
        <v>0</v>
      </c>
      <c r="T25" s="42">
        <v>0</v>
      </c>
      <c r="U25" s="42">
        <v>0</v>
      </c>
      <c r="V25" s="42">
        <v>0</v>
      </c>
      <c r="W25" s="42">
        <v>5</v>
      </c>
      <c r="X25" s="41"/>
      <c r="Y25" s="42">
        <v>50000</v>
      </c>
      <c r="Z25" s="42">
        <v>19403.150000000001</v>
      </c>
      <c r="AA25" s="42">
        <v>90000</v>
      </c>
      <c r="AB25" s="42">
        <v>109403.15</v>
      </c>
      <c r="AC25" s="42">
        <v>0</v>
      </c>
      <c r="AD25" s="42">
        <v>109403.15</v>
      </c>
      <c r="AE25" s="43"/>
      <c r="AF25" s="43"/>
    </row>
    <row r="26" spans="1:32" ht="15" customHeight="1" x14ac:dyDescent="0.25">
      <c r="A26" s="41" t="s">
        <v>1449</v>
      </c>
      <c r="B26" s="41">
        <v>4607</v>
      </c>
      <c r="C26" s="41"/>
      <c r="D26" s="42">
        <v>1</v>
      </c>
      <c r="E26" s="42">
        <v>3</v>
      </c>
      <c r="F26" s="42">
        <v>0</v>
      </c>
      <c r="G26" s="42">
        <v>6</v>
      </c>
      <c r="H26" s="42">
        <v>0</v>
      </c>
      <c r="I26" s="42">
        <v>10</v>
      </c>
      <c r="J26" s="41"/>
      <c r="K26" s="42">
        <v>0</v>
      </c>
      <c r="L26" s="42">
        <v>1</v>
      </c>
      <c r="M26" s="42">
        <v>0</v>
      </c>
      <c r="N26" s="42">
        <v>1</v>
      </c>
      <c r="O26" s="42">
        <v>0</v>
      </c>
      <c r="P26" s="42">
        <v>2</v>
      </c>
      <c r="Q26" s="41"/>
      <c r="R26" s="42">
        <v>1</v>
      </c>
      <c r="S26" s="42">
        <v>4</v>
      </c>
      <c r="T26" s="42">
        <v>0</v>
      </c>
      <c r="U26" s="42">
        <v>7</v>
      </c>
      <c r="V26" s="42">
        <v>0</v>
      </c>
      <c r="W26" s="42">
        <v>12</v>
      </c>
      <c r="X26" s="41"/>
      <c r="Y26" s="42">
        <v>60000</v>
      </c>
      <c r="Z26" s="42">
        <v>107693</v>
      </c>
      <c r="AA26" s="42">
        <v>0</v>
      </c>
      <c r="AB26" s="42">
        <v>107693</v>
      </c>
      <c r="AC26" s="42">
        <v>20519</v>
      </c>
      <c r="AD26" s="42">
        <v>128212</v>
      </c>
      <c r="AE26" s="43"/>
      <c r="AF26" s="43"/>
    </row>
    <row r="27" spans="1:32" ht="15" customHeight="1" x14ac:dyDescent="0.25">
      <c r="A27" s="43"/>
      <c r="B27" s="43"/>
      <c r="C27" s="41"/>
      <c r="D27" s="42"/>
      <c r="E27" s="42"/>
      <c r="F27" s="42"/>
      <c r="G27" s="42"/>
      <c r="H27" s="42"/>
      <c r="I27" s="43"/>
      <c r="J27" s="41"/>
      <c r="K27" s="43"/>
      <c r="L27" s="43"/>
      <c r="M27" s="43"/>
      <c r="N27" s="43"/>
      <c r="O27" s="43"/>
      <c r="P27" s="43"/>
      <c r="Q27" s="41"/>
      <c r="R27" s="43"/>
      <c r="S27" s="43"/>
      <c r="T27" s="43"/>
      <c r="U27" s="43"/>
      <c r="V27" s="43"/>
      <c r="W27" s="43"/>
      <c r="X27" s="41"/>
      <c r="Y27" s="43"/>
      <c r="Z27" s="43"/>
      <c r="AA27" s="43"/>
      <c r="AB27" s="43"/>
      <c r="AC27" s="43"/>
      <c r="AD27" s="43"/>
      <c r="AE27" s="43"/>
      <c r="AF27" s="43"/>
    </row>
    <row r="28" spans="1:32" s="39" customFormat="1" ht="15" customHeight="1" thickBot="1" x14ac:dyDescent="0.3">
      <c r="A28" s="40" t="s">
        <v>185</v>
      </c>
      <c r="B28" s="40"/>
      <c r="C28" s="422"/>
      <c r="D28" s="424">
        <v>6</v>
      </c>
      <c r="E28" s="424">
        <v>3</v>
      </c>
      <c r="F28" s="424">
        <v>0</v>
      </c>
      <c r="G28" s="424">
        <v>6</v>
      </c>
      <c r="H28" s="424">
        <v>0</v>
      </c>
      <c r="I28" s="424">
        <v>15</v>
      </c>
      <c r="J28" s="422"/>
      <c r="K28" s="424">
        <v>0</v>
      </c>
      <c r="L28" s="424">
        <v>1</v>
      </c>
      <c r="M28" s="424">
        <v>0</v>
      </c>
      <c r="N28" s="424">
        <v>1</v>
      </c>
      <c r="O28" s="424">
        <v>0</v>
      </c>
      <c r="P28" s="424">
        <v>2</v>
      </c>
      <c r="Q28" s="422"/>
      <c r="R28" s="424">
        <v>6</v>
      </c>
      <c r="S28" s="424">
        <v>4</v>
      </c>
      <c r="T28" s="424">
        <v>0</v>
      </c>
      <c r="U28" s="424">
        <v>7</v>
      </c>
      <c r="V28" s="424">
        <v>0</v>
      </c>
      <c r="W28" s="424">
        <v>17</v>
      </c>
      <c r="X28" s="422"/>
      <c r="Y28" s="424">
        <v>110000</v>
      </c>
      <c r="Z28" s="424">
        <v>127096.15</v>
      </c>
      <c r="AA28" s="424">
        <v>90000</v>
      </c>
      <c r="AB28" s="424">
        <v>217096.15</v>
      </c>
      <c r="AC28" s="424">
        <v>20519</v>
      </c>
      <c r="AD28" s="424">
        <v>237615.15</v>
      </c>
      <c r="AE28" s="40"/>
      <c r="AF28" s="40"/>
    </row>
    <row r="29" spans="1:32" ht="15" customHeight="1" x14ac:dyDescent="0.25">
      <c r="Y29" s="44"/>
      <c r="Z29" s="44"/>
      <c r="AA29" s="44"/>
      <c r="AB29" s="44"/>
      <c r="AC29" s="44"/>
      <c r="AD29" s="44"/>
    </row>
    <row r="30" spans="1:32" s="39" customFormat="1" ht="15" customHeight="1" thickBot="1" x14ac:dyDescent="0.3">
      <c r="A30" s="40" t="s">
        <v>186</v>
      </c>
      <c r="B30" s="40"/>
      <c r="C30" s="426"/>
      <c r="D30" s="424">
        <v>16</v>
      </c>
      <c r="E30" s="424">
        <v>84</v>
      </c>
      <c r="F30" s="424">
        <v>73</v>
      </c>
      <c r="G30" s="424">
        <v>40</v>
      </c>
      <c r="H30" s="424">
        <v>0</v>
      </c>
      <c r="I30" s="424">
        <v>213</v>
      </c>
      <c r="J30" s="426"/>
      <c r="K30" s="424">
        <v>0</v>
      </c>
      <c r="L30" s="424">
        <v>4</v>
      </c>
      <c r="M30" s="424">
        <v>2</v>
      </c>
      <c r="N30" s="424">
        <v>9</v>
      </c>
      <c r="O30" s="424">
        <v>0</v>
      </c>
      <c r="P30" s="424">
        <v>15</v>
      </c>
      <c r="Q30" s="426"/>
      <c r="R30" s="424">
        <v>16</v>
      </c>
      <c r="S30" s="424">
        <v>88</v>
      </c>
      <c r="T30" s="424">
        <v>75</v>
      </c>
      <c r="U30" s="424">
        <v>49</v>
      </c>
      <c r="V30" s="424">
        <v>0</v>
      </c>
      <c r="W30" s="424">
        <v>228</v>
      </c>
      <c r="X30" s="426"/>
      <c r="Y30" s="424">
        <f>+Y22+Y28</f>
        <v>2560000</v>
      </c>
      <c r="Z30" s="424">
        <v>1493270.4649999996</v>
      </c>
      <c r="AA30" s="424">
        <v>115000</v>
      </c>
      <c r="AB30" s="424">
        <v>4058270.4650000003</v>
      </c>
      <c r="AC30" s="424">
        <v>173085.65000000002</v>
      </c>
      <c r="AD30" s="424">
        <v>4231356.1150000002</v>
      </c>
    </row>
    <row r="31" spans="1:32" ht="15" customHeight="1" x14ac:dyDescent="0.25"/>
    <row r="32" spans="1:32" ht="15" x14ac:dyDescent="0.25">
      <c r="A32" s="44" t="s">
        <v>656</v>
      </c>
    </row>
    <row r="33" spans="1:31" x14ac:dyDescent="0.3">
      <c r="A33" s="44" t="s">
        <v>654</v>
      </c>
    </row>
    <row r="34" spans="1:31" x14ac:dyDescent="0.3">
      <c r="A34" s="44" t="s">
        <v>655</v>
      </c>
    </row>
    <row r="36" spans="1:31" x14ac:dyDescent="0.3">
      <c r="A36" s="39" t="s">
        <v>145</v>
      </c>
    </row>
    <row r="37" spans="1:31" x14ac:dyDescent="0.3">
      <c r="A37" s="53" t="s">
        <v>4</v>
      </c>
      <c r="B37" s="52">
        <v>1006</v>
      </c>
      <c r="AB37" s="42"/>
      <c r="AC37" s="42"/>
      <c r="AE37" s="45">
        <v>142055</v>
      </c>
    </row>
    <row r="38" spans="1:31" x14ac:dyDescent="0.3">
      <c r="A38" s="53" t="s">
        <v>6</v>
      </c>
      <c r="B38" s="52">
        <v>1005</v>
      </c>
      <c r="AB38" s="42"/>
      <c r="AC38" s="42"/>
      <c r="AE38" s="45">
        <v>110000</v>
      </c>
    </row>
    <row r="39" spans="1:31" x14ac:dyDescent="0.3">
      <c r="AB39" s="42"/>
      <c r="AC39" s="42"/>
    </row>
    <row r="40" spans="1:31" ht="15" thickBot="1" x14ac:dyDescent="0.35">
      <c r="AE40" s="424">
        <v>252055</v>
      </c>
    </row>
    <row r="41" spans="1:31" x14ac:dyDescent="0.3">
      <c r="AE41" s="45"/>
    </row>
    <row r="42" spans="1:31" x14ac:dyDescent="0.3">
      <c r="AE42" s="45">
        <f>SUM(AE40+AD30)</f>
        <v>4483411.1150000002</v>
      </c>
    </row>
    <row r="46" spans="1:31" x14ac:dyDescent="0.3">
      <c r="A46" s="59" t="s">
        <v>238</v>
      </c>
      <c r="B46" s="59">
        <v>206189</v>
      </c>
    </row>
    <row r="47" spans="1:31" x14ac:dyDescent="0.3">
      <c r="A47" s="59" t="s">
        <v>1301</v>
      </c>
      <c r="B47" s="59">
        <v>2014</v>
      </c>
    </row>
    <row r="48" spans="1:31" x14ac:dyDescent="0.3">
      <c r="A48" s="59" t="s">
        <v>10</v>
      </c>
      <c r="B48" s="59">
        <v>2012</v>
      </c>
    </row>
    <row r="49" spans="1:2" x14ac:dyDescent="0.3">
      <c r="A49" s="59" t="s">
        <v>73</v>
      </c>
      <c r="B49" s="59">
        <v>5414</v>
      </c>
    </row>
    <row r="50" spans="1:2" x14ac:dyDescent="0.3">
      <c r="A50" s="59" t="s">
        <v>846</v>
      </c>
      <c r="B50" s="59">
        <v>4000</v>
      </c>
    </row>
    <row r="51" spans="1:2" x14ac:dyDescent="0.3">
      <c r="A51" s="59" t="s">
        <v>11</v>
      </c>
      <c r="B51" s="59">
        <v>2443</v>
      </c>
    </row>
    <row r="52" spans="1:2" x14ac:dyDescent="0.3">
      <c r="A52" s="59" t="s">
        <v>94</v>
      </c>
      <c r="B52" s="59">
        <v>2442</v>
      </c>
    </row>
    <row r="53" spans="1:2" x14ac:dyDescent="0.3">
      <c r="A53" s="59" t="s">
        <v>241</v>
      </c>
      <c r="B53" s="59" t="s">
        <v>242</v>
      </c>
    </row>
    <row r="54" spans="1:2" x14ac:dyDescent="0.3">
      <c r="A54" s="59" t="s">
        <v>13</v>
      </c>
      <c r="B54" s="59">
        <v>2629</v>
      </c>
    </row>
    <row r="55" spans="1:2" x14ac:dyDescent="0.3">
      <c r="A55" s="59" t="s">
        <v>14</v>
      </c>
      <c r="B55" s="59">
        <v>2509</v>
      </c>
    </row>
    <row r="56" spans="1:2" x14ac:dyDescent="0.3">
      <c r="A56" s="59" t="s">
        <v>2</v>
      </c>
      <c r="B56" s="59">
        <v>1014</v>
      </c>
    </row>
    <row r="57" spans="1:2" x14ac:dyDescent="0.3">
      <c r="A57" s="59" t="s">
        <v>15</v>
      </c>
      <c r="B57" s="59">
        <v>2005</v>
      </c>
    </row>
    <row r="58" spans="1:2" x14ac:dyDescent="0.3">
      <c r="A58" s="59" t="s">
        <v>16</v>
      </c>
      <c r="B58" s="59">
        <v>2464</v>
      </c>
    </row>
    <row r="59" spans="1:2" x14ac:dyDescent="0.3">
      <c r="A59" s="59" t="s">
        <v>706</v>
      </c>
      <c r="B59" s="59" t="s">
        <v>708</v>
      </c>
    </row>
    <row r="60" spans="1:2" x14ac:dyDescent="0.3">
      <c r="A60" s="59" t="s">
        <v>17</v>
      </c>
      <c r="B60" s="59">
        <v>2004</v>
      </c>
    </row>
    <row r="61" spans="1:2" x14ac:dyDescent="0.3">
      <c r="A61" s="59" t="s">
        <v>18</v>
      </c>
      <c r="B61" s="59">
        <v>2405</v>
      </c>
    </row>
    <row r="62" spans="1:2" x14ac:dyDescent="0.3">
      <c r="A62" s="59" t="s">
        <v>243</v>
      </c>
      <c r="B62" s="59" t="s">
        <v>245</v>
      </c>
    </row>
    <row r="63" spans="1:2" x14ac:dyDescent="0.3">
      <c r="A63" s="59" t="s">
        <v>250</v>
      </c>
      <c r="B63" s="59" t="s">
        <v>709</v>
      </c>
    </row>
    <row r="64" spans="1:2" x14ac:dyDescent="0.3">
      <c r="A64" s="59" t="s">
        <v>246</v>
      </c>
      <c r="B64" s="59" t="s">
        <v>247</v>
      </c>
    </row>
    <row r="65" spans="1:2" x14ac:dyDescent="0.3">
      <c r="A65" s="59" t="s">
        <v>248</v>
      </c>
      <c r="B65" s="59" t="s">
        <v>249</v>
      </c>
    </row>
    <row r="66" spans="1:2" x14ac:dyDescent="0.3">
      <c r="A66" s="59" t="s">
        <v>19</v>
      </c>
      <c r="B66" s="59">
        <v>2011</v>
      </c>
    </row>
    <row r="67" spans="1:2" x14ac:dyDescent="0.3">
      <c r="A67" s="59" t="s">
        <v>251</v>
      </c>
      <c r="B67" s="59" t="s">
        <v>252</v>
      </c>
    </row>
    <row r="68" spans="1:2" x14ac:dyDescent="0.3">
      <c r="A68" s="59" t="s">
        <v>20</v>
      </c>
      <c r="B68" s="59">
        <v>5201</v>
      </c>
    </row>
    <row r="69" spans="1:2" x14ac:dyDescent="0.3">
      <c r="A69" s="59" t="s">
        <v>253</v>
      </c>
      <c r="B69" s="59">
        <v>206124</v>
      </c>
    </row>
    <row r="70" spans="1:2" x14ac:dyDescent="0.3">
      <c r="A70" s="59" t="s">
        <v>21</v>
      </c>
      <c r="B70" s="59">
        <v>2433</v>
      </c>
    </row>
    <row r="71" spans="1:2" x14ac:dyDescent="0.3">
      <c r="A71" s="59" t="s">
        <v>22</v>
      </c>
      <c r="B71" s="59">
        <v>2432</v>
      </c>
    </row>
    <row r="72" spans="1:2" x14ac:dyDescent="0.3">
      <c r="A72" s="59" t="s">
        <v>256</v>
      </c>
      <c r="B72" s="59" t="s">
        <v>258</v>
      </c>
    </row>
    <row r="73" spans="1:2" x14ac:dyDescent="0.3">
      <c r="A73" s="59" t="s">
        <v>188</v>
      </c>
      <c r="B73" s="59">
        <v>2447</v>
      </c>
    </row>
    <row r="74" spans="1:2" x14ac:dyDescent="0.3">
      <c r="A74" s="59" t="s">
        <v>23</v>
      </c>
      <c r="B74" s="59">
        <v>2512</v>
      </c>
    </row>
    <row r="75" spans="1:2" x14ac:dyDescent="0.3">
      <c r="A75" s="59" t="s">
        <v>259</v>
      </c>
      <c r="B75" s="59">
        <v>206126</v>
      </c>
    </row>
    <row r="76" spans="1:2" x14ac:dyDescent="0.3">
      <c r="A76" s="59" t="s">
        <v>261</v>
      </c>
      <c r="B76" s="59">
        <v>206111</v>
      </c>
    </row>
    <row r="77" spans="1:2" x14ac:dyDescent="0.3">
      <c r="A77" s="59" t="s">
        <v>263</v>
      </c>
      <c r="B77" s="59">
        <v>206091</v>
      </c>
    </row>
    <row r="78" spans="1:2" x14ac:dyDescent="0.3">
      <c r="A78" s="59" t="s">
        <v>24</v>
      </c>
      <c r="B78" s="59">
        <v>2456</v>
      </c>
    </row>
    <row r="79" spans="1:2" x14ac:dyDescent="0.3">
      <c r="A79" s="59" t="s">
        <v>3</v>
      </c>
      <c r="B79" s="59">
        <v>1017</v>
      </c>
    </row>
    <row r="80" spans="1:2" x14ac:dyDescent="0.3">
      <c r="A80" s="59" t="s">
        <v>25</v>
      </c>
      <c r="B80" s="59">
        <v>2449</v>
      </c>
    </row>
    <row r="81" spans="1:2" x14ac:dyDescent="0.3">
      <c r="A81" s="59" t="s">
        <v>26</v>
      </c>
      <c r="B81" s="59">
        <v>2448</v>
      </c>
    </row>
    <row r="82" spans="1:2" x14ac:dyDescent="0.3">
      <c r="A82" s="59" t="s">
        <v>4</v>
      </c>
      <c r="B82" s="59">
        <v>1006</v>
      </c>
    </row>
    <row r="83" spans="1:2" x14ac:dyDescent="0.3">
      <c r="A83" s="59" t="s">
        <v>27</v>
      </c>
      <c r="B83" s="59">
        <v>2467</v>
      </c>
    </row>
    <row r="84" spans="1:2" x14ac:dyDescent="0.3">
      <c r="A84" s="59" t="s">
        <v>1373</v>
      </c>
      <c r="B84" s="59">
        <v>484300</v>
      </c>
    </row>
    <row r="85" spans="1:2" x14ac:dyDescent="0.3">
      <c r="A85" s="59" t="s">
        <v>75</v>
      </c>
      <c r="B85" s="59">
        <v>5402</v>
      </c>
    </row>
    <row r="86" spans="1:2" x14ac:dyDescent="0.3">
      <c r="A86" s="59" t="s">
        <v>28</v>
      </c>
      <c r="B86" s="59">
        <v>2455</v>
      </c>
    </row>
    <row r="87" spans="1:2" x14ac:dyDescent="0.3">
      <c r="A87" s="59" t="s">
        <v>29</v>
      </c>
      <c r="B87" s="59">
        <v>5203</v>
      </c>
    </row>
    <row r="88" spans="1:2" x14ac:dyDescent="0.3">
      <c r="A88" s="59" t="s">
        <v>30</v>
      </c>
      <c r="B88" s="59">
        <v>2451</v>
      </c>
    </row>
    <row r="89" spans="1:2" x14ac:dyDescent="0.3">
      <c r="A89" s="59" t="s">
        <v>265</v>
      </c>
      <c r="B89" s="59" t="s">
        <v>266</v>
      </c>
    </row>
    <row r="90" spans="1:2" x14ac:dyDescent="0.3">
      <c r="A90" s="59" t="s">
        <v>267</v>
      </c>
      <c r="B90" s="59">
        <v>206128</v>
      </c>
    </row>
    <row r="91" spans="1:2" x14ac:dyDescent="0.3">
      <c r="A91" s="59" t="s">
        <v>438</v>
      </c>
      <c r="B91" s="59">
        <v>4002</v>
      </c>
    </row>
    <row r="92" spans="1:2" x14ac:dyDescent="0.3">
      <c r="A92" s="59" t="s">
        <v>441</v>
      </c>
      <c r="B92" s="59">
        <v>2430</v>
      </c>
    </row>
    <row r="93" spans="1:2" x14ac:dyDescent="0.3">
      <c r="A93" s="59" t="s">
        <v>269</v>
      </c>
      <c r="B93" s="59" t="s">
        <v>710</v>
      </c>
    </row>
    <row r="94" spans="1:2" x14ac:dyDescent="0.3">
      <c r="A94" s="59" t="s">
        <v>711</v>
      </c>
      <c r="B94" s="59" t="s">
        <v>712</v>
      </c>
    </row>
    <row r="95" spans="1:2" x14ac:dyDescent="0.3">
      <c r="A95" s="59" t="s">
        <v>68</v>
      </c>
      <c r="B95" s="59">
        <v>4608</v>
      </c>
    </row>
    <row r="96" spans="1:2" x14ac:dyDescent="0.3">
      <c r="A96" s="59" t="s">
        <v>31</v>
      </c>
      <c r="B96" s="59">
        <v>2409</v>
      </c>
    </row>
    <row r="97" spans="1:2" x14ac:dyDescent="0.3">
      <c r="A97" s="59" t="s">
        <v>270</v>
      </c>
      <c r="B97" s="59" t="s">
        <v>271</v>
      </c>
    </row>
    <row r="98" spans="1:2" x14ac:dyDescent="0.3">
      <c r="A98" s="59" t="s">
        <v>1283</v>
      </c>
      <c r="B98" s="59" t="s">
        <v>714</v>
      </c>
    </row>
    <row r="99" spans="1:2" x14ac:dyDescent="0.3">
      <c r="A99" s="59" t="s">
        <v>525</v>
      </c>
      <c r="B99" s="59">
        <v>205921</v>
      </c>
    </row>
    <row r="100" spans="1:2" x14ac:dyDescent="0.3">
      <c r="A100" s="59" t="s">
        <v>1256</v>
      </c>
      <c r="B100" s="59" t="s">
        <v>719</v>
      </c>
    </row>
    <row r="101" spans="1:2" x14ac:dyDescent="0.3">
      <c r="A101" s="59" t="s">
        <v>1375</v>
      </c>
      <c r="B101" s="59">
        <v>398922</v>
      </c>
    </row>
    <row r="102" spans="1:2" x14ac:dyDescent="0.3">
      <c r="A102" s="59" t="s">
        <v>1374</v>
      </c>
      <c r="B102" s="59">
        <v>479804</v>
      </c>
    </row>
    <row r="103" spans="1:2" x14ac:dyDescent="0.3">
      <c r="A103" s="59" t="s">
        <v>524</v>
      </c>
      <c r="B103" s="59">
        <v>205999</v>
      </c>
    </row>
    <row r="104" spans="1:2" x14ac:dyDescent="0.3">
      <c r="A104" s="59" t="s">
        <v>523</v>
      </c>
      <c r="B104" s="59" t="s">
        <v>272</v>
      </c>
    </row>
    <row r="105" spans="1:2" x14ac:dyDescent="0.3">
      <c r="A105" s="59" t="s">
        <v>1257</v>
      </c>
      <c r="B105" s="59">
        <v>206065</v>
      </c>
    </row>
    <row r="106" spans="1:2" x14ac:dyDescent="0.3">
      <c r="A106" s="59" t="s">
        <v>1376</v>
      </c>
      <c r="B106" s="59">
        <v>314105</v>
      </c>
    </row>
    <row r="107" spans="1:2" x14ac:dyDescent="0.3">
      <c r="A107" s="59" t="s">
        <v>1400</v>
      </c>
      <c r="B107" s="59" t="s">
        <v>277</v>
      </c>
    </row>
    <row r="108" spans="1:2" x14ac:dyDescent="0.3">
      <c r="A108" s="59" t="s">
        <v>1377</v>
      </c>
      <c r="B108" s="59">
        <v>206076</v>
      </c>
    </row>
    <row r="109" spans="1:2" x14ac:dyDescent="0.3">
      <c r="A109" s="59" t="s">
        <v>561</v>
      </c>
      <c r="B109" s="59" t="s">
        <v>727</v>
      </c>
    </row>
    <row r="110" spans="1:2" x14ac:dyDescent="0.3">
      <c r="A110" s="59" t="s">
        <v>1399</v>
      </c>
      <c r="B110" s="59" t="s">
        <v>730</v>
      </c>
    </row>
    <row r="111" spans="1:2" x14ac:dyDescent="0.3">
      <c r="A111" s="59" t="s">
        <v>562</v>
      </c>
      <c r="B111" s="59" t="s">
        <v>275</v>
      </c>
    </row>
    <row r="112" spans="1:2" x14ac:dyDescent="0.3">
      <c r="A112" s="59" t="s">
        <v>1258</v>
      </c>
      <c r="B112" s="59" t="s">
        <v>724</v>
      </c>
    </row>
    <row r="113" spans="1:2" x14ac:dyDescent="0.3">
      <c r="A113" s="59" t="s">
        <v>1259</v>
      </c>
      <c r="B113" s="59">
        <v>205919</v>
      </c>
    </row>
    <row r="114" spans="1:2" x14ac:dyDescent="0.3">
      <c r="A114" s="59" t="s">
        <v>526</v>
      </c>
      <c r="B114" s="59" t="s">
        <v>276</v>
      </c>
    </row>
    <row r="115" spans="1:2" x14ac:dyDescent="0.3">
      <c r="A115" s="59" t="s">
        <v>1378</v>
      </c>
      <c r="B115" s="59">
        <v>477405</v>
      </c>
    </row>
    <row r="116" spans="1:2" x14ac:dyDescent="0.3">
      <c r="A116" s="59" t="s">
        <v>1260</v>
      </c>
      <c r="B116" s="59" t="s">
        <v>734</v>
      </c>
    </row>
    <row r="117" spans="1:2" x14ac:dyDescent="0.3">
      <c r="A117" s="59" t="s">
        <v>1379</v>
      </c>
      <c r="B117" s="59">
        <v>401536</v>
      </c>
    </row>
    <row r="118" spans="1:2" x14ac:dyDescent="0.3">
      <c r="A118" s="59" t="s">
        <v>1261</v>
      </c>
      <c r="B118" s="59" t="s">
        <v>736</v>
      </c>
    </row>
    <row r="119" spans="1:2" x14ac:dyDescent="0.3">
      <c r="A119" s="59" t="s">
        <v>1263</v>
      </c>
      <c r="B119" s="59" t="s">
        <v>739</v>
      </c>
    </row>
    <row r="120" spans="1:2" x14ac:dyDescent="0.3">
      <c r="A120" s="59" t="s">
        <v>1262</v>
      </c>
      <c r="B120" s="59">
        <v>205849</v>
      </c>
    </row>
    <row r="121" spans="1:2" x14ac:dyDescent="0.3">
      <c r="A121" s="59" t="s">
        <v>566</v>
      </c>
      <c r="B121" s="59" t="s">
        <v>273</v>
      </c>
    </row>
    <row r="122" spans="1:2" x14ac:dyDescent="0.3">
      <c r="A122" s="59" t="s">
        <v>1264</v>
      </c>
      <c r="B122" s="59" t="s">
        <v>741</v>
      </c>
    </row>
    <row r="123" spans="1:2" x14ac:dyDescent="0.3">
      <c r="A123" s="59" t="s">
        <v>1268</v>
      </c>
      <c r="B123" s="59">
        <v>205922</v>
      </c>
    </row>
    <row r="124" spans="1:2" x14ac:dyDescent="0.3">
      <c r="A124" s="59" t="s">
        <v>1267</v>
      </c>
      <c r="B124" s="59">
        <v>205881</v>
      </c>
    </row>
    <row r="125" spans="1:2" x14ac:dyDescent="0.3">
      <c r="A125" s="59" t="s">
        <v>1265</v>
      </c>
      <c r="B125" s="59" t="s">
        <v>744</v>
      </c>
    </row>
    <row r="126" spans="1:2" x14ac:dyDescent="0.3">
      <c r="A126" s="59" t="s">
        <v>527</v>
      </c>
      <c r="B126" s="59" t="s">
        <v>278</v>
      </c>
    </row>
    <row r="127" spans="1:2" x14ac:dyDescent="0.3">
      <c r="A127" s="59" t="s">
        <v>1266</v>
      </c>
      <c r="B127" s="59" t="s">
        <v>749</v>
      </c>
    </row>
    <row r="128" spans="1:2" x14ac:dyDescent="0.3">
      <c r="A128" s="59" t="s">
        <v>1380</v>
      </c>
      <c r="B128" s="59">
        <v>462623</v>
      </c>
    </row>
    <row r="129" spans="1:2" x14ac:dyDescent="0.3">
      <c r="A129" s="59" t="s">
        <v>750</v>
      </c>
      <c r="B129" s="59" t="s">
        <v>751</v>
      </c>
    </row>
    <row r="130" spans="1:2" x14ac:dyDescent="0.3">
      <c r="A130" s="59" t="s">
        <v>1269</v>
      </c>
      <c r="B130" s="59" t="s">
        <v>754</v>
      </c>
    </row>
    <row r="131" spans="1:2" x14ac:dyDescent="0.3">
      <c r="A131" s="59" t="s">
        <v>528</v>
      </c>
      <c r="B131" s="59">
        <v>2</v>
      </c>
    </row>
    <row r="132" spans="1:2" x14ac:dyDescent="0.3">
      <c r="A132" s="59" t="s">
        <v>1270</v>
      </c>
      <c r="B132" s="59" t="s">
        <v>621</v>
      </c>
    </row>
    <row r="133" spans="1:2" x14ac:dyDescent="0.3">
      <c r="A133" s="59" t="s">
        <v>1271</v>
      </c>
      <c r="B133" s="59" t="s">
        <v>639</v>
      </c>
    </row>
    <row r="134" spans="1:2" x14ac:dyDescent="0.3">
      <c r="A134" s="59" t="s">
        <v>1271</v>
      </c>
      <c r="B134" s="59">
        <v>205878</v>
      </c>
    </row>
    <row r="135" spans="1:2" x14ac:dyDescent="0.3">
      <c r="A135" s="59" t="s">
        <v>529</v>
      </c>
      <c r="B135" s="59">
        <v>205956</v>
      </c>
    </row>
    <row r="136" spans="1:2" x14ac:dyDescent="0.3">
      <c r="A136" s="59" t="s">
        <v>1273</v>
      </c>
      <c r="B136" s="59" t="s">
        <v>759</v>
      </c>
    </row>
    <row r="137" spans="1:2" x14ac:dyDescent="0.3">
      <c r="A137" s="59" t="s">
        <v>1382</v>
      </c>
      <c r="B137" s="59">
        <v>472319</v>
      </c>
    </row>
    <row r="138" spans="1:2" x14ac:dyDescent="0.3">
      <c r="A138" s="59" t="s">
        <v>1272</v>
      </c>
      <c r="B138" s="59">
        <v>260849</v>
      </c>
    </row>
    <row r="139" spans="1:2" x14ac:dyDescent="0.3">
      <c r="A139" s="59" t="s">
        <v>1383</v>
      </c>
      <c r="B139" s="59">
        <v>482805</v>
      </c>
    </row>
    <row r="140" spans="1:2" x14ac:dyDescent="0.3">
      <c r="A140" s="59" t="s">
        <v>1381</v>
      </c>
      <c r="B140" s="59">
        <v>447579</v>
      </c>
    </row>
    <row r="141" spans="1:2" x14ac:dyDescent="0.3">
      <c r="A141" s="59" t="s">
        <v>1274</v>
      </c>
      <c r="B141" s="59" t="s">
        <v>280</v>
      </c>
    </row>
    <row r="142" spans="1:2" x14ac:dyDescent="0.3">
      <c r="A142" s="59" t="s">
        <v>1275</v>
      </c>
      <c r="B142" s="59" t="s">
        <v>762</v>
      </c>
    </row>
    <row r="143" spans="1:2" x14ac:dyDescent="0.3">
      <c r="A143" s="59" t="s">
        <v>1277</v>
      </c>
      <c r="B143" s="59" t="s">
        <v>766</v>
      </c>
    </row>
    <row r="144" spans="1:2" x14ac:dyDescent="0.3">
      <c r="A144" s="59" t="s">
        <v>1276</v>
      </c>
      <c r="B144" s="59" t="s">
        <v>764</v>
      </c>
    </row>
    <row r="145" spans="1:2" x14ac:dyDescent="0.3">
      <c r="A145" s="59" t="s">
        <v>1279</v>
      </c>
      <c r="B145" s="59" t="s">
        <v>771</v>
      </c>
    </row>
    <row r="146" spans="1:2" x14ac:dyDescent="0.3">
      <c r="A146" s="437" t="s">
        <v>1278</v>
      </c>
      <c r="B146" s="529" t="s">
        <v>768</v>
      </c>
    </row>
    <row r="147" spans="1:2" x14ac:dyDescent="0.3">
      <c r="A147" s="437" t="s">
        <v>564</v>
      </c>
      <c r="B147" s="529" t="s">
        <v>281</v>
      </c>
    </row>
    <row r="148" spans="1:2" x14ac:dyDescent="0.3">
      <c r="A148" s="59" t="s">
        <v>1284</v>
      </c>
      <c r="B148" s="59" t="s">
        <v>774</v>
      </c>
    </row>
    <row r="149" spans="1:2" x14ac:dyDescent="0.3">
      <c r="A149" s="59" t="s">
        <v>1384</v>
      </c>
      <c r="B149" s="59">
        <v>484039</v>
      </c>
    </row>
    <row r="150" spans="1:2" x14ac:dyDescent="0.3">
      <c r="A150" s="59" t="s">
        <v>1285</v>
      </c>
      <c r="B150" s="59" t="s">
        <v>776</v>
      </c>
    </row>
    <row r="151" spans="1:2" x14ac:dyDescent="0.3">
      <c r="A151" s="59" t="s">
        <v>1385</v>
      </c>
      <c r="B151" s="59">
        <v>343478</v>
      </c>
    </row>
    <row r="152" spans="1:2" x14ac:dyDescent="0.3">
      <c r="A152" s="59" t="s">
        <v>532</v>
      </c>
      <c r="B152" s="59" t="s">
        <v>283</v>
      </c>
    </row>
    <row r="153" spans="1:2" x14ac:dyDescent="0.3">
      <c r="A153" s="59" t="s">
        <v>1280</v>
      </c>
      <c r="B153" s="59">
        <v>206031</v>
      </c>
    </row>
    <row r="154" spans="1:2" x14ac:dyDescent="0.3">
      <c r="A154" s="59" t="s">
        <v>531</v>
      </c>
      <c r="B154" s="59" t="s">
        <v>284</v>
      </c>
    </row>
    <row r="155" spans="1:2" x14ac:dyDescent="0.3">
      <c r="A155" s="59" t="s">
        <v>530</v>
      </c>
      <c r="B155" s="59" t="s">
        <v>282</v>
      </c>
    </row>
    <row r="156" spans="1:2" x14ac:dyDescent="0.3">
      <c r="A156" s="59" t="s">
        <v>1281</v>
      </c>
      <c r="B156" s="59" t="s">
        <v>781</v>
      </c>
    </row>
    <row r="157" spans="1:2" x14ac:dyDescent="0.3">
      <c r="A157" s="59" t="s">
        <v>1255</v>
      </c>
      <c r="B157" s="59" t="s">
        <v>285</v>
      </c>
    </row>
    <row r="158" spans="1:2" x14ac:dyDescent="0.3">
      <c r="A158" s="59" t="s">
        <v>1289</v>
      </c>
      <c r="B158" s="59">
        <v>260848</v>
      </c>
    </row>
    <row r="159" spans="1:2" x14ac:dyDescent="0.3">
      <c r="A159" s="59" t="s">
        <v>565</v>
      </c>
      <c r="B159" s="59">
        <v>206043</v>
      </c>
    </row>
    <row r="160" spans="1:2" x14ac:dyDescent="0.3">
      <c r="A160" s="59" t="s">
        <v>533</v>
      </c>
      <c r="B160" s="59" t="s">
        <v>286</v>
      </c>
    </row>
    <row r="161" spans="1:2" x14ac:dyDescent="0.3">
      <c r="A161" s="59" t="s">
        <v>533</v>
      </c>
      <c r="B161" s="59">
        <v>505502</v>
      </c>
    </row>
    <row r="162" spans="1:2" x14ac:dyDescent="0.3">
      <c r="A162" s="59" t="s">
        <v>563</v>
      </c>
      <c r="B162" s="59">
        <v>205978</v>
      </c>
    </row>
    <row r="163" spans="1:2" x14ac:dyDescent="0.3">
      <c r="A163" s="59" t="s">
        <v>1296</v>
      </c>
      <c r="B163" s="59">
        <v>435150</v>
      </c>
    </row>
    <row r="164" spans="1:2" x14ac:dyDescent="0.3">
      <c r="A164" s="59" t="s">
        <v>1288</v>
      </c>
      <c r="B164" s="59">
        <v>206067</v>
      </c>
    </row>
    <row r="165" spans="1:2" x14ac:dyDescent="0.3">
      <c r="A165" s="59" t="s">
        <v>534</v>
      </c>
      <c r="B165" s="59" t="s">
        <v>287</v>
      </c>
    </row>
    <row r="166" spans="1:2" x14ac:dyDescent="0.3">
      <c r="A166" s="59" t="s">
        <v>1282</v>
      </c>
      <c r="B166" s="59" t="s">
        <v>279</v>
      </c>
    </row>
    <row r="167" spans="1:2" x14ac:dyDescent="0.3">
      <c r="A167" s="59" t="s">
        <v>535</v>
      </c>
      <c r="B167" s="59" t="s">
        <v>288</v>
      </c>
    </row>
    <row r="168" spans="1:2" x14ac:dyDescent="0.3">
      <c r="A168" s="59" t="s">
        <v>1286</v>
      </c>
      <c r="B168" s="59" t="s">
        <v>793</v>
      </c>
    </row>
    <row r="169" spans="1:2" x14ac:dyDescent="0.3">
      <c r="A169" s="59" t="s">
        <v>1386</v>
      </c>
      <c r="B169" s="59">
        <v>414019</v>
      </c>
    </row>
    <row r="170" spans="1:2" x14ac:dyDescent="0.3">
      <c r="A170" s="59" t="s">
        <v>567</v>
      </c>
      <c r="B170" s="59" t="s">
        <v>274</v>
      </c>
    </row>
    <row r="171" spans="1:2" x14ac:dyDescent="0.3">
      <c r="A171" s="59" t="s">
        <v>1387</v>
      </c>
      <c r="B171" s="59">
        <v>458078</v>
      </c>
    </row>
    <row r="172" spans="1:2" x14ac:dyDescent="0.3">
      <c r="A172" s="59" t="s">
        <v>1287</v>
      </c>
      <c r="B172" s="59" t="s">
        <v>795</v>
      </c>
    </row>
    <row r="173" spans="1:2" x14ac:dyDescent="0.3">
      <c r="A173" s="59" t="s">
        <v>289</v>
      </c>
      <c r="B173" s="59" t="s">
        <v>290</v>
      </c>
    </row>
    <row r="174" spans="1:2" x14ac:dyDescent="0.3">
      <c r="A174" s="59" t="s">
        <v>1306</v>
      </c>
      <c r="B174" s="59">
        <v>4003</v>
      </c>
    </row>
    <row r="175" spans="1:2" x14ac:dyDescent="0.3">
      <c r="A175" s="59" t="s">
        <v>797</v>
      </c>
      <c r="B175" s="59" t="s">
        <v>798</v>
      </c>
    </row>
    <row r="176" spans="1:2" x14ac:dyDescent="0.3">
      <c r="A176" s="59" t="s">
        <v>291</v>
      </c>
      <c r="B176" s="59" t="s">
        <v>293</v>
      </c>
    </row>
    <row r="177" spans="1:2" x14ac:dyDescent="0.3">
      <c r="A177" s="59" t="s">
        <v>111</v>
      </c>
      <c r="B177" s="59">
        <v>4178</v>
      </c>
    </row>
    <row r="178" spans="1:2" x14ac:dyDescent="0.3">
      <c r="A178" s="59" t="s">
        <v>98</v>
      </c>
      <c r="B178" s="59">
        <v>3158</v>
      </c>
    </row>
    <row r="179" spans="1:2" x14ac:dyDescent="0.3">
      <c r="A179" s="59" t="s">
        <v>32</v>
      </c>
      <c r="B179" s="59">
        <v>2619</v>
      </c>
    </row>
    <row r="180" spans="1:2" x14ac:dyDescent="0.3">
      <c r="A180" s="59" t="s">
        <v>1388</v>
      </c>
      <c r="B180" s="59">
        <v>479542</v>
      </c>
    </row>
    <row r="181" spans="1:2" x14ac:dyDescent="0.3">
      <c r="A181" s="59" t="s">
        <v>1389</v>
      </c>
      <c r="B181" s="59" t="s">
        <v>1390</v>
      </c>
    </row>
    <row r="182" spans="1:2" x14ac:dyDescent="0.3">
      <c r="A182" s="59" t="s">
        <v>799</v>
      </c>
      <c r="B182" s="59" t="s">
        <v>800</v>
      </c>
    </row>
    <row r="183" spans="1:2" x14ac:dyDescent="0.3">
      <c r="A183" s="59" t="s">
        <v>1391</v>
      </c>
      <c r="B183" s="59">
        <v>487369</v>
      </c>
    </row>
    <row r="184" spans="1:2" x14ac:dyDescent="0.3">
      <c r="A184" s="59" t="s">
        <v>1392</v>
      </c>
      <c r="B184" s="59">
        <v>477763</v>
      </c>
    </row>
    <row r="185" spans="1:2" x14ac:dyDescent="0.3">
      <c r="A185" s="59" t="s">
        <v>294</v>
      </c>
      <c r="B185" s="59" t="s">
        <v>295</v>
      </c>
    </row>
    <row r="186" spans="1:2" x14ac:dyDescent="0.3">
      <c r="A186" s="59" t="s">
        <v>296</v>
      </c>
      <c r="B186" s="59">
        <v>258417</v>
      </c>
    </row>
    <row r="187" spans="1:2" x14ac:dyDescent="0.3">
      <c r="A187" s="59" t="s">
        <v>298</v>
      </c>
      <c r="B187" s="59" t="s">
        <v>300</v>
      </c>
    </row>
    <row r="188" spans="1:2" x14ac:dyDescent="0.3">
      <c r="A188" s="59" t="s">
        <v>301</v>
      </c>
      <c r="B188" s="59" t="s">
        <v>303</v>
      </c>
    </row>
    <row r="189" spans="1:2" x14ac:dyDescent="0.3">
      <c r="A189" s="59" t="s">
        <v>33</v>
      </c>
      <c r="B189" s="59">
        <v>2518</v>
      </c>
    </row>
    <row r="190" spans="1:2" x14ac:dyDescent="0.3">
      <c r="A190" s="59" t="s">
        <v>801</v>
      </c>
      <c r="B190" s="59" t="s">
        <v>802</v>
      </c>
    </row>
    <row r="191" spans="1:2" x14ac:dyDescent="0.3">
      <c r="A191" s="59" t="s">
        <v>304</v>
      </c>
      <c r="B191" s="59">
        <v>206106</v>
      </c>
    </row>
    <row r="192" spans="1:2" x14ac:dyDescent="0.3">
      <c r="A192" s="59" t="s">
        <v>306</v>
      </c>
      <c r="B192" s="59" t="s">
        <v>307</v>
      </c>
    </row>
    <row r="193" spans="1:2" x14ac:dyDescent="0.3">
      <c r="A193" s="59" t="s">
        <v>803</v>
      </c>
      <c r="B193" s="59" t="s">
        <v>804</v>
      </c>
    </row>
    <row r="194" spans="1:2" x14ac:dyDescent="0.3">
      <c r="A194" s="59" t="s">
        <v>34</v>
      </c>
      <c r="B194" s="59">
        <v>2457</v>
      </c>
    </row>
    <row r="195" spans="1:2" x14ac:dyDescent="0.3">
      <c r="A195" s="59" t="s">
        <v>99</v>
      </c>
      <c r="B195" s="59">
        <v>2010</v>
      </c>
    </row>
    <row r="196" spans="1:2" x14ac:dyDescent="0.3">
      <c r="A196" s="59" t="s">
        <v>35</v>
      </c>
      <c r="B196" s="59">
        <v>2002</v>
      </c>
    </row>
    <row r="197" spans="1:2" x14ac:dyDescent="0.3">
      <c r="A197" s="59" t="s">
        <v>36</v>
      </c>
      <c r="B197" s="59">
        <v>3544</v>
      </c>
    </row>
    <row r="198" spans="1:2" x14ac:dyDescent="0.3">
      <c r="A198" s="59" t="s">
        <v>5</v>
      </c>
      <c r="B198" s="59">
        <v>1008</v>
      </c>
    </row>
    <row r="199" spans="1:2" x14ac:dyDescent="0.3">
      <c r="A199" s="59" t="s">
        <v>308</v>
      </c>
      <c r="B199" s="59" t="s">
        <v>309</v>
      </c>
    </row>
    <row r="200" spans="1:2" x14ac:dyDescent="0.3">
      <c r="A200" s="59" t="s">
        <v>100</v>
      </c>
      <c r="B200" s="59">
        <v>2006</v>
      </c>
    </row>
    <row r="201" spans="1:2" x14ac:dyDescent="0.3">
      <c r="A201" s="59" t="s">
        <v>310</v>
      </c>
      <c r="B201" s="59" t="s">
        <v>311</v>
      </c>
    </row>
    <row r="202" spans="1:2" x14ac:dyDescent="0.3">
      <c r="A202" s="59" t="s">
        <v>312</v>
      </c>
      <c r="B202" s="59">
        <v>206133</v>
      </c>
    </row>
    <row r="203" spans="1:2" x14ac:dyDescent="0.3">
      <c r="A203" s="59" t="s">
        <v>806</v>
      </c>
      <c r="B203" s="59" t="s">
        <v>807</v>
      </c>
    </row>
    <row r="204" spans="1:2" x14ac:dyDescent="0.3">
      <c r="A204" s="59" t="s">
        <v>314</v>
      </c>
      <c r="B204" s="59" t="s">
        <v>316</v>
      </c>
    </row>
    <row r="205" spans="1:2" x14ac:dyDescent="0.3">
      <c r="A205" s="59" t="s">
        <v>317</v>
      </c>
      <c r="B205" s="59">
        <v>206134</v>
      </c>
    </row>
    <row r="206" spans="1:2" x14ac:dyDescent="0.3">
      <c r="A206" s="59" t="s">
        <v>321</v>
      </c>
      <c r="B206" s="59" t="s">
        <v>322</v>
      </c>
    </row>
    <row r="207" spans="1:2" x14ac:dyDescent="0.3">
      <c r="A207" s="59" t="s">
        <v>319</v>
      </c>
      <c r="B207" s="59" t="s">
        <v>320</v>
      </c>
    </row>
    <row r="208" spans="1:2" x14ac:dyDescent="0.3">
      <c r="A208" s="59" t="s">
        <v>323</v>
      </c>
      <c r="B208" s="59" t="s">
        <v>324</v>
      </c>
    </row>
    <row r="209" spans="1:2" x14ac:dyDescent="0.3">
      <c r="A209" s="59" t="s">
        <v>325</v>
      </c>
      <c r="B209" s="59">
        <v>206109</v>
      </c>
    </row>
    <row r="210" spans="1:2" x14ac:dyDescent="0.3">
      <c r="A210" s="59" t="s">
        <v>37</v>
      </c>
      <c r="B210" s="59">
        <v>2434</v>
      </c>
    </row>
    <row r="211" spans="1:2" x14ac:dyDescent="0.3">
      <c r="A211" s="59" t="s">
        <v>42</v>
      </c>
      <c r="B211" s="59">
        <v>2009</v>
      </c>
    </row>
    <row r="212" spans="1:2" x14ac:dyDescent="0.3">
      <c r="A212" s="59" t="s">
        <v>569</v>
      </c>
      <c r="B212" s="59">
        <v>6905</v>
      </c>
    </row>
    <row r="213" spans="1:2" x14ac:dyDescent="0.3">
      <c r="A213" s="59" t="s">
        <v>38</v>
      </c>
      <c r="B213" s="59">
        <v>2522</v>
      </c>
    </row>
    <row r="214" spans="1:2" x14ac:dyDescent="0.3">
      <c r="A214" s="59" t="s">
        <v>327</v>
      </c>
      <c r="B214" s="59">
        <v>206110</v>
      </c>
    </row>
    <row r="215" spans="1:2" x14ac:dyDescent="0.3">
      <c r="A215" s="59" t="s">
        <v>329</v>
      </c>
      <c r="B215" s="59">
        <v>206135</v>
      </c>
    </row>
    <row r="216" spans="1:2" x14ac:dyDescent="0.3">
      <c r="A216" s="59" t="s">
        <v>69</v>
      </c>
      <c r="B216" s="59">
        <v>4181</v>
      </c>
    </row>
    <row r="217" spans="1:2" x14ac:dyDescent="0.3">
      <c r="A217" s="59" t="s">
        <v>331</v>
      </c>
      <c r="B217" s="59">
        <v>509195</v>
      </c>
    </row>
    <row r="218" spans="1:2" x14ac:dyDescent="0.3">
      <c r="A218" s="59" t="s">
        <v>1393</v>
      </c>
      <c r="B218" s="59">
        <v>480857</v>
      </c>
    </row>
    <row r="219" spans="1:2" x14ac:dyDescent="0.3">
      <c r="A219" s="59" t="s">
        <v>333</v>
      </c>
      <c r="B219" s="59" t="s">
        <v>334</v>
      </c>
    </row>
    <row r="220" spans="1:2" x14ac:dyDescent="0.3">
      <c r="A220" s="59" t="s">
        <v>335</v>
      </c>
      <c r="B220" s="59" t="s">
        <v>336</v>
      </c>
    </row>
    <row r="221" spans="1:2" x14ac:dyDescent="0.3">
      <c r="A221" s="59" t="s">
        <v>1394</v>
      </c>
      <c r="B221" s="59">
        <v>492973</v>
      </c>
    </row>
    <row r="222" spans="1:2" x14ac:dyDescent="0.3">
      <c r="A222" s="59" t="s">
        <v>337</v>
      </c>
      <c r="B222" s="59" t="s">
        <v>339</v>
      </c>
    </row>
    <row r="223" spans="1:2" x14ac:dyDescent="0.3">
      <c r="A223" s="59" t="s">
        <v>340</v>
      </c>
      <c r="B223" s="59">
        <v>509199</v>
      </c>
    </row>
    <row r="224" spans="1:2" x14ac:dyDescent="0.3">
      <c r="A224" s="59" t="s">
        <v>342</v>
      </c>
      <c r="B224" s="59">
        <v>509197</v>
      </c>
    </row>
    <row r="225" spans="1:2" x14ac:dyDescent="0.3">
      <c r="A225" s="59" t="s">
        <v>808</v>
      </c>
      <c r="B225" s="59">
        <v>479383</v>
      </c>
    </row>
    <row r="226" spans="1:2" x14ac:dyDescent="0.3">
      <c r="A226" s="59" t="s">
        <v>347</v>
      </c>
      <c r="B226" s="59" t="s">
        <v>348</v>
      </c>
    </row>
    <row r="227" spans="1:2" x14ac:dyDescent="0.3">
      <c r="A227" s="59" t="s">
        <v>70</v>
      </c>
      <c r="B227" s="59">
        <v>4182</v>
      </c>
    </row>
    <row r="228" spans="1:2" x14ac:dyDescent="0.3">
      <c r="A228" s="59" t="s">
        <v>344</v>
      </c>
      <c r="B228" s="59" t="s">
        <v>346</v>
      </c>
    </row>
    <row r="229" spans="1:2" x14ac:dyDescent="0.3">
      <c r="A229" s="59" t="s">
        <v>6</v>
      </c>
      <c r="B229" s="59">
        <v>1005</v>
      </c>
    </row>
    <row r="230" spans="1:2" x14ac:dyDescent="0.3">
      <c r="A230" s="59" t="s">
        <v>809</v>
      </c>
      <c r="B230" s="59" t="s">
        <v>810</v>
      </c>
    </row>
    <row r="231" spans="1:2" x14ac:dyDescent="0.3">
      <c r="A231" s="59" t="s">
        <v>39</v>
      </c>
      <c r="B231" s="59">
        <v>2436</v>
      </c>
    </row>
    <row r="232" spans="1:2" x14ac:dyDescent="0.3">
      <c r="A232" s="59" t="s">
        <v>349</v>
      </c>
      <c r="B232" s="59">
        <v>206117</v>
      </c>
    </row>
    <row r="233" spans="1:2" x14ac:dyDescent="0.3">
      <c r="A233" s="59" t="s">
        <v>40</v>
      </c>
      <c r="B233" s="59">
        <v>2452</v>
      </c>
    </row>
    <row r="234" spans="1:2" x14ac:dyDescent="0.3">
      <c r="A234" s="59" t="s">
        <v>71</v>
      </c>
      <c r="B234" s="59">
        <v>4001</v>
      </c>
    </row>
    <row r="235" spans="1:2" x14ac:dyDescent="0.3">
      <c r="A235" s="59" t="s">
        <v>351</v>
      </c>
      <c r="B235" s="59">
        <v>206141</v>
      </c>
    </row>
    <row r="236" spans="1:2" x14ac:dyDescent="0.3">
      <c r="A236" s="59" t="s">
        <v>41</v>
      </c>
      <c r="B236" s="59">
        <v>2627</v>
      </c>
    </row>
    <row r="237" spans="1:2" x14ac:dyDescent="0.3">
      <c r="A237" s="59" t="s">
        <v>112</v>
      </c>
      <c r="B237" s="59">
        <v>5406</v>
      </c>
    </row>
    <row r="238" spans="1:2" x14ac:dyDescent="0.3">
      <c r="A238" s="59" t="s">
        <v>113</v>
      </c>
      <c r="B238" s="59">
        <v>5407</v>
      </c>
    </row>
    <row r="239" spans="1:2" x14ac:dyDescent="0.3">
      <c r="A239" s="59" t="s">
        <v>353</v>
      </c>
      <c r="B239" s="59" t="s">
        <v>355</v>
      </c>
    </row>
    <row r="240" spans="1:2" x14ac:dyDescent="0.3">
      <c r="A240" s="59" t="s">
        <v>356</v>
      </c>
      <c r="B240" s="59">
        <v>258404</v>
      </c>
    </row>
    <row r="241" spans="1:2" x14ac:dyDescent="0.3">
      <c r="A241" s="59" t="s">
        <v>101</v>
      </c>
      <c r="B241" s="59">
        <v>2473</v>
      </c>
    </row>
    <row r="242" spans="1:2" x14ac:dyDescent="0.3">
      <c r="A242" s="59" t="s">
        <v>44</v>
      </c>
      <c r="B242" s="59">
        <v>2471</v>
      </c>
    </row>
    <row r="243" spans="1:2" x14ac:dyDescent="0.3">
      <c r="A243" s="59" t="s">
        <v>358</v>
      </c>
      <c r="B243" s="59">
        <v>258405</v>
      </c>
    </row>
    <row r="244" spans="1:2" x14ac:dyDescent="0.3">
      <c r="A244" s="59" t="s">
        <v>360</v>
      </c>
      <c r="B244" s="59">
        <v>258406</v>
      </c>
    </row>
    <row r="245" spans="1:2" x14ac:dyDescent="0.3">
      <c r="A245" s="59" t="s">
        <v>1395</v>
      </c>
      <c r="B245" s="59">
        <v>206145</v>
      </c>
    </row>
    <row r="246" spans="1:2" x14ac:dyDescent="0.3">
      <c r="A246" s="59" t="s">
        <v>43</v>
      </c>
      <c r="B246" s="59">
        <v>2420</v>
      </c>
    </row>
    <row r="247" spans="1:2" x14ac:dyDescent="0.3">
      <c r="A247" s="59" t="s">
        <v>362</v>
      </c>
      <c r="B247" s="59">
        <v>206160</v>
      </c>
    </row>
    <row r="248" spans="1:2" x14ac:dyDescent="0.3">
      <c r="A248" s="59" t="s">
        <v>45</v>
      </c>
      <c r="B248" s="59">
        <v>2003</v>
      </c>
    </row>
    <row r="249" spans="1:2" x14ac:dyDescent="0.3">
      <c r="A249" s="59" t="s">
        <v>46</v>
      </c>
      <c r="B249" s="59">
        <v>2423</v>
      </c>
    </row>
    <row r="250" spans="1:2" x14ac:dyDescent="0.3">
      <c r="A250" s="59" t="s">
        <v>47</v>
      </c>
      <c r="B250" s="59">
        <v>2424</v>
      </c>
    </row>
    <row r="251" spans="1:2" x14ac:dyDescent="0.3">
      <c r="A251" s="59" t="s">
        <v>364</v>
      </c>
      <c r="B251" s="59" t="s">
        <v>366</v>
      </c>
    </row>
    <row r="252" spans="1:2" x14ac:dyDescent="0.3">
      <c r="A252" s="59" t="s">
        <v>367</v>
      </c>
      <c r="B252" s="59" t="s">
        <v>368</v>
      </c>
    </row>
    <row r="253" spans="1:2" x14ac:dyDescent="0.3">
      <c r="A253" s="59" t="s">
        <v>369</v>
      </c>
      <c r="B253" s="59" t="s">
        <v>371</v>
      </c>
    </row>
    <row r="254" spans="1:2" x14ac:dyDescent="0.3">
      <c r="A254" s="59" t="s">
        <v>811</v>
      </c>
      <c r="B254" s="59" t="s">
        <v>812</v>
      </c>
    </row>
    <row r="255" spans="1:2" x14ac:dyDescent="0.3">
      <c r="A255" s="59" t="s">
        <v>372</v>
      </c>
      <c r="B255" s="59">
        <v>206146</v>
      </c>
    </row>
    <row r="256" spans="1:2" x14ac:dyDescent="0.3">
      <c r="A256" s="59" t="s">
        <v>48</v>
      </c>
      <c r="B256" s="59">
        <v>2439</v>
      </c>
    </row>
    <row r="257" spans="1:2" x14ac:dyDescent="0.3">
      <c r="A257" s="59" t="s">
        <v>49</v>
      </c>
      <c r="B257" s="59">
        <v>2440</v>
      </c>
    </row>
    <row r="258" spans="1:2" x14ac:dyDescent="0.3">
      <c r="A258" s="59" t="s">
        <v>374</v>
      </c>
      <c r="B258" s="59" t="s">
        <v>375</v>
      </c>
    </row>
    <row r="259" spans="1:2" x14ac:dyDescent="0.3">
      <c r="A259" s="59" t="s">
        <v>813</v>
      </c>
      <c r="B259" s="59" t="s">
        <v>814</v>
      </c>
    </row>
    <row r="260" spans="1:2" x14ac:dyDescent="0.3">
      <c r="A260" s="59" t="s">
        <v>815</v>
      </c>
      <c r="B260" s="59" t="s">
        <v>816</v>
      </c>
    </row>
    <row r="261" spans="1:2" x14ac:dyDescent="0.3">
      <c r="A261" s="67" t="s">
        <v>377</v>
      </c>
      <c r="B261" s="67" t="s">
        <v>378</v>
      </c>
    </row>
    <row r="262" spans="1:2" x14ac:dyDescent="0.3">
      <c r="A262" s="105" t="s">
        <v>377</v>
      </c>
      <c r="B262" s="110" t="s">
        <v>817</v>
      </c>
    </row>
    <row r="263" spans="1:2" x14ac:dyDescent="0.3">
      <c r="A263" s="105" t="s">
        <v>102</v>
      </c>
      <c r="B263" s="110">
        <v>2462</v>
      </c>
    </row>
    <row r="264" spans="1:2" x14ac:dyDescent="0.3">
      <c r="A264" s="105" t="s">
        <v>50</v>
      </c>
      <c r="B264" s="110">
        <v>2463</v>
      </c>
    </row>
    <row r="265" spans="1:2" x14ac:dyDescent="0.3">
      <c r="A265" s="105" t="s">
        <v>51</v>
      </c>
      <c r="B265" s="67">
        <v>2505</v>
      </c>
    </row>
    <row r="266" spans="1:2" x14ac:dyDescent="0.3">
      <c r="A266" s="105" t="s">
        <v>1304</v>
      </c>
      <c r="B266" s="110">
        <v>2000</v>
      </c>
    </row>
    <row r="267" spans="1:2" x14ac:dyDescent="0.3">
      <c r="A267" s="105" t="s">
        <v>53</v>
      </c>
      <c r="B267" s="67">
        <v>2458</v>
      </c>
    </row>
    <row r="268" spans="1:2" x14ac:dyDescent="0.3">
      <c r="A268" s="105" t="s">
        <v>379</v>
      </c>
      <c r="B268" s="67" t="s">
        <v>381</v>
      </c>
    </row>
    <row r="269" spans="1:2" x14ac:dyDescent="0.3">
      <c r="A269" s="105" t="s">
        <v>54</v>
      </c>
      <c r="B269" s="67">
        <v>2001</v>
      </c>
    </row>
    <row r="270" spans="1:2" x14ac:dyDescent="0.3">
      <c r="A270" s="105" t="s">
        <v>382</v>
      </c>
      <c r="B270" s="67" t="s">
        <v>383</v>
      </c>
    </row>
    <row r="271" spans="1:2" x14ac:dyDescent="0.3">
      <c r="A271" s="105" t="s">
        <v>55</v>
      </c>
      <c r="B271" s="67">
        <v>2429</v>
      </c>
    </row>
    <row r="272" spans="1:2" x14ac:dyDescent="0.3">
      <c r="A272" s="105" t="s">
        <v>384</v>
      </c>
      <c r="B272" s="67">
        <v>113044</v>
      </c>
    </row>
    <row r="273" spans="1:2" x14ac:dyDescent="0.3">
      <c r="A273" s="105" t="s">
        <v>386</v>
      </c>
      <c r="B273" s="67" t="s">
        <v>388</v>
      </c>
    </row>
    <row r="274" spans="1:2" x14ac:dyDescent="0.3">
      <c r="A274" s="105" t="s">
        <v>72</v>
      </c>
      <c r="B274" s="67">
        <v>4607</v>
      </c>
    </row>
    <row r="275" spans="1:2" x14ac:dyDescent="0.3">
      <c r="A275" s="105" t="s">
        <v>818</v>
      </c>
      <c r="B275" s="67" t="s">
        <v>819</v>
      </c>
    </row>
    <row r="276" spans="1:2" x14ac:dyDescent="0.3">
      <c r="A276" s="105" t="s">
        <v>820</v>
      </c>
      <c r="B276" s="67" t="s">
        <v>821</v>
      </c>
    </row>
    <row r="277" spans="1:2" x14ac:dyDescent="0.3">
      <c r="A277" s="105" t="s">
        <v>56</v>
      </c>
      <c r="B277" s="67">
        <v>2444</v>
      </c>
    </row>
    <row r="278" spans="1:2" x14ac:dyDescent="0.3">
      <c r="A278" s="105" t="s">
        <v>57</v>
      </c>
      <c r="B278" s="67">
        <v>5209</v>
      </c>
    </row>
    <row r="279" spans="1:2" x14ac:dyDescent="0.3">
      <c r="A279" s="105" t="s">
        <v>389</v>
      </c>
      <c r="B279" s="67" t="s">
        <v>391</v>
      </c>
    </row>
    <row r="280" spans="1:2" x14ac:dyDescent="0.3">
      <c r="A280" s="105" t="s">
        <v>392</v>
      </c>
      <c r="B280" s="67" t="s">
        <v>394</v>
      </c>
    </row>
    <row r="281" spans="1:2" x14ac:dyDescent="0.3">
      <c r="A281" s="105" t="s">
        <v>58</v>
      </c>
      <c r="B281" s="67">
        <v>2469</v>
      </c>
    </row>
    <row r="282" spans="1:2" x14ac:dyDescent="0.3">
      <c r="A282" s="105" t="s">
        <v>395</v>
      </c>
      <c r="B282" s="110" t="s">
        <v>397</v>
      </c>
    </row>
    <row r="283" spans="1:2" x14ac:dyDescent="0.3">
      <c r="A283" s="105" t="s">
        <v>398</v>
      </c>
      <c r="B283" s="67" t="s">
        <v>399</v>
      </c>
    </row>
    <row r="284" spans="1:2" x14ac:dyDescent="0.3">
      <c r="A284" s="59" t="s">
        <v>59</v>
      </c>
      <c r="B284" s="59">
        <v>2466</v>
      </c>
    </row>
    <row r="285" spans="1:2" x14ac:dyDescent="0.3">
      <c r="A285" s="59" t="s">
        <v>60</v>
      </c>
      <c r="B285" s="59">
        <v>3543</v>
      </c>
    </row>
    <row r="286" spans="1:2" x14ac:dyDescent="0.3">
      <c r="A286" s="59" t="s">
        <v>400</v>
      </c>
      <c r="B286" s="59">
        <v>206152</v>
      </c>
    </row>
    <row r="287" spans="1:2" x14ac:dyDescent="0.3">
      <c r="A287" s="59" t="s">
        <v>402</v>
      </c>
      <c r="B287" s="59">
        <v>206153</v>
      </c>
    </row>
    <row r="288" spans="1:2" x14ac:dyDescent="0.3">
      <c r="A288" s="59" t="s">
        <v>62</v>
      </c>
      <c r="B288" s="59">
        <v>3531</v>
      </c>
    </row>
    <row r="289" spans="1:2" x14ac:dyDescent="0.3">
      <c r="A289" s="59" t="s">
        <v>63</v>
      </c>
      <c r="B289" s="59">
        <v>3526</v>
      </c>
    </row>
    <row r="290" spans="1:2" x14ac:dyDescent="0.3">
      <c r="A290" s="59" t="s">
        <v>104</v>
      </c>
      <c r="B290" s="59">
        <v>3535</v>
      </c>
    </row>
    <row r="291" spans="1:2" x14ac:dyDescent="0.3">
      <c r="A291" s="59" t="s">
        <v>64</v>
      </c>
      <c r="B291" s="59">
        <v>2008</v>
      </c>
    </row>
    <row r="292" spans="1:2" x14ac:dyDescent="0.3">
      <c r="A292" s="59" t="s">
        <v>105</v>
      </c>
      <c r="B292" s="59">
        <v>3542</v>
      </c>
    </row>
    <row r="293" spans="1:2" x14ac:dyDescent="0.3">
      <c r="A293" s="59" t="s">
        <v>404</v>
      </c>
      <c r="B293" s="59">
        <v>206154</v>
      </c>
    </row>
    <row r="294" spans="1:2" x14ac:dyDescent="0.3">
      <c r="A294" s="59" t="s">
        <v>106</v>
      </c>
      <c r="B294" s="59">
        <v>3528</v>
      </c>
    </row>
    <row r="295" spans="1:2" x14ac:dyDescent="0.3">
      <c r="A295" s="59" t="s">
        <v>406</v>
      </c>
      <c r="B295" s="59" t="s">
        <v>407</v>
      </c>
    </row>
    <row r="296" spans="1:2" x14ac:dyDescent="0.3">
      <c r="A296" s="59" t="s">
        <v>107</v>
      </c>
      <c r="B296" s="59">
        <v>3534</v>
      </c>
    </row>
    <row r="297" spans="1:2" x14ac:dyDescent="0.3">
      <c r="A297" s="59" t="s">
        <v>108</v>
      </c>
      <c r="B297" s="59">
        <v>3532</v>
      </c>
    </row>
    <row r="298" spans="1:2" x14ac:dyDescent="0.3">
      <c r="A298" s="59" t="s">
        <v>7</v>
      </c>
      <c r="B298" s="59">
        <v>1010</v>
      </c>
    </row>
    <row r="299" spans="1:2" x14ac:dyDescent="0.3">
      <c r="A299" s="59" t="s">
        <v>1396</v>
      </c>
      <c r="B299" s="59">
        <v>484523</v>
      </c>
    </row>
    <row r="300" spans="1:2" x14ac:dyDescent="0.3">
      <c r="A300" s="59" t="s">
        <v>408</v>
      </c>
      <c r="B300" s="59" t="s">
        <v>410</v>
      </c>
    </row>
    <row r="301" spans="1:2" x14ac:dyDescent="0.3">
      <c r="A301" s="59" t="s">
        <v>114</v>
      </c>
      <c r="B301" s="59">
        <v>4177</v>
      </c>
    </row>
    <row r="302" spans="1:2" x14ac:dyDescent="0.3">
      <c r="A302" s="59" t="s">
        <v>822</v>
      </c>
      <c r="B302" s="59" t="s">
        <v>824</v>
      </c>
    </row>
    <row r="303" spans="1:2" x14ac:dyDescent="0.3">
      <c r="A303" s="59" t="s">
        <v>411</v>
      </c>
      <c r="B303" s="59" t="s">
        <v>413</v>
      </c>
    </row>
    <row r="304" spans="1:2" x14ac:dyDescent="0.3">
      <c r="A304" s="59" t="s">
        <v>414</v>
      </c>
      <c r="B304" s="59">
        <v>206103</v>
      </c>
    </row>
    <row r="305" spans="1:2" x14ac:dyDescent="0.3">
      <c r="A305" s="59" t="s">
        <v>415</v>
      </c>
      <c r="B305" s="59" t="s">
        <v>417</v>
      </c>
    </row>
    <row r="306" spans="1:2" x14ac:dyDescent="0.3">
      <c r="A306" s="59" t="s">
        <v>418</v>
      </c>
      <c r="B306" s="59" t="s">
        <v>420</v>
      </c>
    </row>
    <row r="307" spans="1:2" x14ac:dyDescent="0.3">
      <c r="A307" s="59" t="s">
        <v>421</v>
      </c>
      <c r="B307" s="59">
        <v>258420</v>
      </c>
    </row>
    <row r="308" spans="1:2" x14ac:dyDescent="0.3">
      <c r="A308" s="59" t="s">
        <v>423</v>
      </c>
      <c r="B308" s="59">
        <v>258424</v>
      </c>
    </row>
    <row r="309" spans="1:2" x14ac:dyDescent="0.3">
      <c r="A309" s="59" t="s">
        <v>1397</v>
      </c>
      <c r="B309" s="59">
        <v>482634</v>
      </c>
    </row>
    <row r="310" spans="1:2" x14ac:dyDescent="0.3">
      <c r="A310" s="59" t="s">
        <v>425</v>
      </c>
      <c r="B310" s="59" t="s">
        <v>426</v>
      </c>
    </row>
    <row r="311" spans="1:2" x14ac:dyDescent="0.3">
      <c r="A311" s="59" t="s">
        <v>65</v>
      </c>
      <c r="B311" s="59">
        <v>3546</v>
      </c>
    </row>
    <row r="312" spans="1:2" x14ac:dyDescent="0.3">
      <c r="A312" s="59" t="s">
        <v>8</v>
      </c>
      <c r="B312" s="59">
        <v>1009</v>
      </c>
    </row>
    <row r="313" spans="1:2" x14ac:dyDescent="0.3">
      <c r="A313" s="59" t="s">
        <v>1398</v>
      </c>
      <c r="B313" s="59">
        <v>476554</v>
      </c>
    </row>
    <row r="314" spans="1:2" x14ac:dyDescent="0.3">
      <c r="A314" s="59" t="s">
        <v>66</v>
      </c>
      <c r="B314" s="59">
        <v>3530</v>
      </c>
    </row>
    <row r="315" spans="1:2" x14ac:dyDescent="0.3">
      <c r="A315" s="59" t="s">
        <v>74</v>
      </c>
      <c r="B315" s="59">
        <v>5412</v>
      </c>
    </row>
    <row r="316" spans="1:2" x14ac:dyDescent="0.3">
      <c r="A316" s="59" t="s">
        <v>432</v>
      </c>
      <c r="B316" s="59" t="s">
        <v>433</v>
      </c>
    </row>
    <row r="317" spans="1:2" x14ac:dyDescent="0.3">
      <c r="A317" s="59" t="s">
        <v>427</v>
      </c>
      <c r="B317" s="59" t="s">
        <v>429</v>
      </c>
    </row>
    <row r="318" spans="1:2" x14ac:dyDescent="0.3">
      <c r="A318" s="59" t="s">
        <v>9</v>
      </c>
      <c r="B318" s="59">
        <v>1015</v>
      </c>
    </row>
    <row r="319" spans="1:2" x14ac:dyDescent="0.3">
      <c r="A319" s="59" t="s">
        <v>430</v>
      </c>
      <c r="B319" s="59" t="s">
        <v>431</v>
      </c>
    </row>
    <row r="320" spans="1:2" x14ac:dyDescent="0.3">
      <c r="A320" s="59" t="s">
        <v>434</v>
      </c>
      <c r="B320" s="59">
        <v>509204</v>
      </c>
    </row>
    <row r="321" spans="1:2" x14ac:dyDescent="0.3">
      <c r="A321" s="59" t="s">
        <v>434</v>
      </c>
      <c r="B321" s="59" t="s">
        <v>825</v>
      </c>
    </row>
    <row r="322" spans="1:2" x14ac:dyDescent="0.3">
      <c r="A322" s="59" t="s">
        <v>67</v>
      </c>
      <c r="B322" s="59">
        <v>2459</v>
      </c>
    </row>
    <row r="323" spans="1:2" x14ac:dyDescent="0.3">
      <c r="A323" s="59" t="s">
        <v>96</v>
      </c>
      <c r="B323" s="59">
        <v>2007</v>
      </c>
    </row>
    <row r="324" spans="1:2" x14ac:dyDescent="0.3">
      <c r="A324" s="11"/>
      <c r="B324" s="2"/>
    </row>
    <row r="325" spans="1:2" x14ac:dyDescent="0.3">
      <c r="A325" s="11"/>
      <c r="B325" s="2"/>
    </row>
  </sheetData>
  <sheetProtection password="EF5C" sheet="1" objects="1" scenarios="1"/>
  <mergeCells count="3">
    <mergeCell ref="D3:I3"/>
    <mergeCell ref="K3:P3"/>
    <mergeCell ref="R3:W3"/>
  </mergeCells>
  <printOptions headings="1"/>
  <pageMargins left="0.51181102362204722" right="0.51181102362204722" top="0.74803149606299213" bottom="0.74803149606299213" header="0.31496062992125984" footer="0.31496062992125984"/>
  <pageSetup paperSize="9" scale="66" orientation="landscape"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B050"/>
  </sheetPr>
  <dimension ref="A1:XFD506"/>
  <sheetViews>
    <sheetView workbookViewId="0">
      <pane xSplit="2" ySplit="1" topLeftCell="C228" activePane="bottomRight" state="frozen"/>
      <selection activeCell="S139" sqref="S139"/>
      <selection pane="topRight" activeCell="S139" sqref="S139"/>
      <selection pane="bottomLeft" activeCell="S139" sqref="S139"/>
      <selection pane="bottomRight" activeCell="D251" sqref="D251"/>
    </sheetView>
  </sheetViews>
  <sheetFormatPr defaultColWidth="9.109375" defaultRowHeight="13.2" x14ac:dyDescent="0.25"/>
  <cols>
    <col min="1" max="1" width="50.44140625" style="30" bestFit="1" customWidth="1"/>
    <col min="2" max="2" width="17.109375" style="22" bestFit="1" customWidth="1"/>
    <col min="3" max="14" width="13.88671875" style="11" customWidth="1"/>
    <col min="15" max="15" width="18.33203125" style="11" customWidth="1"/>
    <col min="16" max="16" width="13.88671875" style="11" customWidth="1"/>
    <col min="17" max="17" width="22.5546875" style="11" customWidth="1"/>
    <col min="18" max="18" width="11.88671875" style="29" customWidth="1"/>
    <col min="19" max="19" width="12.88671875" style="11" customWidth="1"/>
    <col min="20" max="20" width="10.88671875" style="11" customWidth="1"/>
    <col min="21" max="21" width="9.6640625" style="11" customWidth="1"/>
    <col min="22" max="22" width="9.109375" style="11" customWidth="1"/>
    <col min="23" max="23" width="13.5546875" style="11" customWidth="1"/>
    <col min="24" max="24" width="12.88671875" style="11" customWidth="1"/>
    <col min="25" max="25" width="20.6640625" style="11" customWidth="1"/>
    <col min="26" max="26" width="11.33203125" style="29" customWidth="1"/>
    <col min="27" max="27" width="26.33203125" style="11" customWidth="1"/>
    <col min="28" max="28" width="10.33203125" style="11" customWidth="1"/>
    <col min="29" max="29" width="12.109375" style="11" customWidth="1"/>
    <col min="30" max="30" width="11.109375" style="11" customWidth="1"/>
    <col min="31" max="31" width="9.109375" style="11" customWidth="1"/>
    <col min="32" max="32" width="9.109375" style="30" customWidth="1"/>
    <col min="33" max="33" width="12" style="30" customWidth="1"/>
    <col min="34" max="34" width="9.6640625" style="30" customWidth="1"/>
    <col min="35" max="35" width="13.5546875" style="30" customWidth="1"/>
    <col min="36" max="36" width="46.5546875" style="30" bestFit="1" customWidth="1"/>
    <col min="37" max="37" width="9.109375" style="30" customWidth="1"/>
    <col min="38" max="39" width="9.109375" style="30"/>
    <col min="40" max="40" width="11.109375" style="2" bestFit="1" customWidth="1"/>
    <col min="41" max="41" width="11.109375" style="30" bestFit="1" customWidth="1"/>
    <col min="42" max="16384" width="9.109375" style="30"/>
  </cols>
  <sheetData>
    <row r="1" spans="1:44" s="35" customFormat="1" ht="57" customHeight="1" x14ac:dyDescent="0.25">
      <c r="A1" s="34" t="s">
        <v>118</v>
      </c>
      <c r="B1" s="37" t="s">
        <v>81</v>
      </c>
      <c r="C1" s="8" t="s">
        <v>138</v>
      </c>
      <c r="D1" s="8" t="s">
        <v>129</v>
      </c>
      <c r="E1" s="8" t="s">
        <v>130</v>
      </c>
      <c r="F1" s="8" t="s">
        <v>131</v>
      </c>
      <c r="G1" s="8" t="s">
        <v>132</v>
      </c>
      <c r="H1" s="8" t="s">
        <v>133</v>
      </c>
      <c r="I1" s="8" t="s">
        <v>134</v>
      </c>
      <c r="J1" s="8" t="s">
        <v>135</v>
      </c>
      <c r="K1" s="1099" t="s">
        <v>1347</v>
      </c>
      <c r="L1" s="8" t="s">
        <v>136</v>
      </c>
      <c r="M1" s="8" t="s">
        <v>127</v>
      </c>
      <c r="N1" s="8" t="s">
        <v>128</v>
      </c>
      <c r="O1" s="8" t="s">
        <v>1206</v>
      </c>
      <c r="P1" s="8" t="s">
        <v>140</v>
      </c>
      <c r="Q1" s="36" t="s">
        <v>1207</v>
      </c>
      <c r="R1" s="36" t="s">
        <v>139</v>
      </c>
      <c r="S1" s="421" t="s">
        <v>141</v>
      </c>
      <c r="T1" s="421" t="s">
        <v>142</v>
      </c>
      <c r="U1" s="421" t="s">
        <v>1208</v>
      </c>
      <c r="V1" s="421" t="s">
        <v>536</v>
      </c>
      <c r="W1" s="1111" t="s">
        <v>144</v>
      </c>
      <c r="X1" s="421" t="s">
        <v>1348</v>
      </c>
      <c r="Y1" s="1111" t="s">
        <v>146</v>
      </c>
      <c r="Z1" s="36" t="s">
        <v>147</v>
      </c>
      <c r="AA1" s="36"/>
      <c r="AB1" s="36"/>
      <c r="AC1" s="36"/>
      <c r="AD1" s="36" t="s">
        <v>1210</v>
      </c>
      <c r="AE1" s="36"/>
      <c r="AG1" s="35" t="s">
        <v>1349</v>
      </c>
      <c r="AH1" s="35" t="s">
        <v>1350</v>
      </c>
      <c r="AI1" s="35" t="s">
        <v>1351</v>
      </c>
      <c r="AJ1" s="35" t="s">
        <v>839</v>
      </c>
      <c r="AN1" s="1112"/>
    </row>
    <row r="2" spans="1:44" ht="12.75" x14ac:dyDescent="0.2">
      <c r="A2" s="9" t="s">
        <v>1301</v>
      </c>
      <c r="B2" s="1023">
        <v>2014</v>
      </c>
      <c r="C2" s="11">
        <v>86955.919101999985</v>
      </c>
      <c r="D2" s="11">
        <v>7211.0210299319724</v>
      </c>
      <c r="E2" s="11">
        <v>0</v>
      </c>
      <c r="F2" s="11">
        <v>0</v>
      </c>
      <c r="G2" s="11">
        <v>22420.225560000003</v>
      </c>
      <c r="H2" s="11">
        <v>0</v>
      </c>
      <c r="I2" s="11">
        <v>100000</v>
      </c>
      <c r="J2" s="11">
        <v>0</v>
      </c>
      <c r="K2" s="11">
        <v>8800.0499999999956</v>
      </c>
      <c r="L2" s="11">
        <v>0</v>
      </c>
      <c r="M2" s="29">
        <f t="shared" ref="M2:M65" si="0">SUM(C2:L2)</f>
        <v>225387.21569193195</v>
      </c>
      <c r="N2" s="11">
        <v>0</v>
      </c>
      <c r="O2" s="11">
        <v>0</v>
      </c>
      <c r="P2" s="29">
        <f>SUM(M2:O2)</f>
        <v>225387.21569193195</v>
      </c>
      <c r="Q2" s="11">
        <v>0</v>
      </c>
      <c r="R2" s="29">
        <f>SUM(P2+Q2)</f>
        <v>225387.21569193195</v>
      </c>
      <c r="S2" s="11">
        <v>27307.716535433072</v>
      </c>
      <c r="U2" s="11">
        <v>0</v>
      </c>
      <c r="X2" s="11">
        <v>0</v>
      </c>
      <c r="Y2" s="11">
        <v>0</v>
      </c>
      <c r="Z2" s="29">
        <f t="shared" ref="Z2" si="1">SUM(R2:Y2)</f>
        <v>252694.93222736503</v>
      </c>
      <c r="AA2" s="11" t="s">
        <v>1352</v>
      </c>
      <c r="AD2" s="1096" t="s">
        <v>1318</v>
      </c>
      <c r="AF2" s="11"/>
      <c r="AG2" s="11">
        <f>C2</f>
        <v>86955.919101999985</v>
      </c>
      <c r="AH2" s="11">
        <f>N2</f>
        <v>0</v>
      </c>
      <c r="AI2" s="11">
        <v>0</v>
      </c>
      <c r="AJ2" s="11">
        <f>P2-AI2</f>
        <v>225387.21569193195</v>
      </c>
      <c r="AM2" s="30">
        <v>2014</v>
      </c>
      <c r="AN2" s="1096" t="s">
        <v>1318</v>
      </c>
      <c r="AO2" s="11">
        <v>0</v>
      </c>
      <c r="AP2" s="11">
        <f>AO2-P2</f>
        <v>-225387.21569193195</v>
      </c>
      <c r="AR2" s="11"/>
    </row>
    <row r="3" spans="1:44" ht="12.75" x14ac:dyDescent="0.2">
      <c r="A3" s="9" t="s">
        <v>10</v>
      </c>
      <c r="B3" s="1023">
        <v>2012</v>
      </c>
      <c r="C3" s="11">
        <v>971782.1798879999</v>
      </c>
      <c r="D3" s="11">
        <v>399185.0824999942</v>
      </c>
      <c r="E3" s="11">
        <v>4185.4420749295768</v>
      </c>
      <c r="F3" s="11">
        <v>0</v>
      </c>
      <c r="G3" s="11">
        <v>59037.430278594387</v>
      </c>
      <c r="H3" s="11">
        <v>0</v>
      </c>
      <c r="I3" s="11">
        <v>100000</v>
      </c>
      <c r="J3" s="11">
        <v>0</v>
      </c>
      <c r="K3" s="11">
        <v>-16601.281999999999</v>
      </c>
      <c r="L3" s="11">
        <v>0</v>
      </c>
      <c r="M3" s="29">
        <f t="shared" si="0"/>
        <v>1517588.8527415183</v>
      </c>
      <c r="N3" s="11">
        <v>56980.687568503898</v>
      </c>
      <c r="O3" s="11">
        <v>0</v>
      </c>
      <c r="P3" s="29">
        <f>SUM(M3:O3)</f>
        <v>1574569.5403100222</v>
      </c>
      <c r="Q3" s="11">
        <v>0</v>
      </c>
      <c r="R3" s="29">
        <f>SUM(P3+Q3)</f>
        <v>1574569.5403100222</v>
      </c>
      <c r="S3" s="11">
        <v>19759.625984251968</v>
      </c>
      <c r="U3" s="11">
        <v>22524.38</v>
      </c>
      <c r="X3" s="11">
        <v>0</v>
      </c>
      <c r="Y3" s="11">
        <v>0</v>
      </c>
      <c r="Z3" s="29">
        <f t="shared" ref="Z3" si="2">SUM(R3:Y3)</f>
        <v>1616853.546294274</v>
      </c>
      <c r="AA3" s="11" t="s">
        <v>1211</v>
      </c>
      <c r="AB3" s="982" t="s">
        <v>1212</v>
      </c>
      <c r="AD3" s="11" t="s">
        <v>1031</v>
      </c>
      <c r="AF3" s="11"/>
      <c r="AG3" s="11">
        <v>913981.76860000007</v>
      </c>
      <c r="AH3" s="11">
        <v>0</v>
      </c>
      <c r="AI3" s="11">
        <v>1603315.2558930069</v>
      </c>
      <c r="AJ3" s="11">
        <f>P3-AI3</f>
        <v>-28745.715582984732</v>
      </c>
      <c r="AM3" s="30">
        <v>2400</v>
      </c>
      <c r="AN3" s="2" t="s">
        <v>1031</v>
      </c>
      <c r="AO3" s="11">
        <v>1603315.2558930069</v>
      </c>
      <c r="AP3" s="11">
        <f>AO3-P3</f>
        <v>28745.715582984732</v>
      </c>
      <c r="AR3" s="11"/>
    </row>
    <row r="4" spans="1:44" ht="12.75" x14ac:dyDescent="0.2">
      <c r="A4" s="9" t="s">
        <v>11</v>
      </c>
      <c r="B4" s="26">
        <v>2443</v>
      </c>
      <c r="C4" s="11">
        <v>700957.6379519999</v>
      </c>
      <c r="D4" s="11">
        <v>126291.27000792125</v>
      </c>
      <c r="E4" s="11">
        <v>0</v>
      </c>
      <c r="F4" s="11">
        <v>0</v>
      </c>
      <c r="G4" s="11">
        <v>23505.474090173306</v>
      </c>
      <c r="H4" s="11">
        <v>0</v>
      </c>
      <c r="I4" s="11">
        <v>100000</v>
      </c>
      <c r="J4" s="11">
        <v>0</v>
      </c>
      <c r="K4" s="11">
        <v>12697.215</v>
      </c>
      <c r="L4" s="11">
        <v>0</v>
      </c>
      <c r="M4" s="29">
        <f t="shared" si="0"/>
        <v>963451.59705009439</v>
      </c>
      <c r="N4" s="11">
        <v>0</v>
      </c>
      <c r="O4" s="11">
        <v>0</v>
      </c>
      <c r="P4" s="29">
        <f t="shared" ref="P4:P67" si="3">SUM(M4:O4)</f>
        <v>963451.59705009439</v>
      </c>
      <c r="Q4" s="11">
        <v>-17775.12</v>
      </c>
      <c r="R4" s="29">
        <f t="shared" ref="R4:R67" si="4">SUM(P4+Q4)</f>
        <v>945676.4770500944</v>
      </c>
      <c r="S4" s="11">
        <v>15000</v>
      </c>
      <c r="U4" s="11">
        <v>16517.88</v>
      </c>
      <c r="X4" s="11">
        <v>106634.38104867368</v>
      </c>
      <c r="Y4" s="11">
        <v>0</v>
      </c>
      <c r="Z4" s="29">
        <f t="shared" ref="Z4:Z67" si="5">SUM(R4:Y4)</f>
        <v>1083828.7380987681</v>
      </c>
      <c r="AD4" s="11" t="s">
        <v>1032</v>
      </c>
      <c r="AF4" s="11"/>
      <c r="AG4" s="11">
        <v>651020.53350000002</v>
      </c>
      <c r="AH4" s="11">
        <v>0</v>
      </c>
      <c r="AI4" s="11">
        <v>899135.04631108267</v>
      </c>
      <c r="AJ4" s="11">
        <f t="shared" ref="AJ4:AJ67" si="6">P4-AI4</f>
        <v>64316.550739011727</v>
      </c>
      <c r="AM4" s="30">
        <v>2443</v>
      </c>
      <c r="AN4" s="2" t="s">
        <v>1032</v>
      </c>
      <c r="AO4" s="11">
        <v>899135.04631108278</v>
      </c>
      <c r="AP4" s="11">
        <f t="shared" ref="AP4:AP67" si="7">AO4-P4</f>
        <v>-64316.550739011611</v>
      </c>
      <c r="AQ4" s="11"/>
      <c r="AR4" s="11"/>
    </row>
    <row r="5" spans="1:44" ht="12.75" x14ac:dyDescent="0.2">
      <c r="A5" s="9" t="s">
        <v>94</v>
      </c>
      <c r="B5" s="26">
        <v>2442</v>
      </c>
      <c r="C5" s="11">
        <v>849645.62175999989</v>
      </c>
      <c r="D5" s="11">
        <v>208515.89286819525</v>
      </c>
      <c r="E5" s="11">
        <v>1349.0010716510903</v>
      </c>
      <c r="F5" s="11">
        <v>0</v>
      </c>
      <c r="G5" s="11">
        <v>3700.470486486483</v>
      </c>
      <c r="H5" s="11">
        <v>0</v>
      </c>
      <c r="I5" s="11">
        <v>100000</v>
      </c>
      <c r="J5" s="11">
        <v>0</v>
      </c>
      <c r="K5" s="11">
        <v>12697.215</v>
      </c>
      <c r="L5" s="11">
        <v>0</v>
      </c>
      <c r="M5" s="29">
        <f t="shared" si="0"/>
        <v>1175908.2011863329</v>
      </c>
      <c r="N5" s="11">
        <v>0</v>
      </c>
      <c r="O5" s="11">
        <v>0</v>
      </c>
      <c r="P5" s="29">
        <f t="shared" si="3"/>
        <v>1175908.2011863329</v>
      </c>
      <c r="Q5" s="11">
        <v>-21545.599999999999</v>
      </c>
      <c r="R5" s="29">
        <f t="shared" si="4"/>
        <v>1154362.6011863328</v>
      </c>
      <c r="S5" s="11">
        <v>0</v>
      </c>
      <c r="T5" s="11">
        <v>179675.24</v>
      </c>
      <c r="U5" s="11">
        <v>9009.75</v>
      </c>
      <c r="X5" s="11">
        <v>0</v>
      </c>
      <c r="Y5" s="11">
        <v>0</v>
      </c>
      <c r="Z5" s="29">
        <f t="shared" si="5"/>
        <v>1343047.5911863327</v>
      </c>
      <c r="AD5" s="11" t="s">
        <v>1033</v>
      </c>
      <c r="AF5" s="11"/>
      <c r="AG5" s="11">
        <v>788883.70530000003</v>
      </c>
      <c r="AH5" s="11">
        <v>0</v>
      </c>
      <c r="AI5" s="11">
        <v>1093634.7731745534</v>
      </c>
      <c r="AJ5" s="11">
        <f t="shared" si="6"/>
        <v>82273.428011779441</v>
      </c>
      <c r="AM5" s="30">
        <v>2442</v>
      </c>
      <c r="AN5" s="2" t="s">
        <v>1033</v>
      </c>
      <c r="AO5" s="11">
        <v>1093634.7731745534</v>
      </c>
      <c r="AP5" s="11">
        <f t="shared" si="7"/>
        <v>-82273.428011779441</v>
      </c>
      <c r="AQ5" s="11"/>
      <c r="AR5" s="11"/>
    </row>
    <row r="6" spans="1:44" ht="12.75" x14ac:dyDescent="0.2">
      <c r="A6" s="9" t="s">
        <v>13</v>
      </c>
      <c r="B6" s="26">
        <v>2629</v>
      </c>
      <c r="C6" s="11">
        <v>1270485.7187879998</v>
      </c>
      <c r="D6" s="11">
        <v>368444.46995795658</v>
      </c>
      <c r="E6" s="11">
        <v>1478.3429017123287</v>
      </c>
      <c r="F6" s="11">
        <v>0</v>
      </c>
      <c r="G6" s="11">
        <v>220966.44377570314</v>
      </c>
      <c r="H6" s="11">
        <v>10347.62616308991</v>
      </c>
      <c r="I6" s="11">
        <v>100000</v>
      </c>
      <c r="J6" s="11">
        <v>0</v>
      </c>
      <c r="K6" s="11">
        <v>89765.440000000002</v>
      </c>
      <c r="L6" s="11">
        <v>0</v>
      </c>
      <c r="M6" s="29">
        <f t="shared" si="0"/>
        <v>2061488.0415864617</v>
      </c>
      <c r="N6" s="11">
        <v>2111.3387121574488</v>
      </c>
      <c r="O6" s="11">
        <v>0</v>
      </c>
      <c r="P6" s="29">
        <f t="shared" si="3"/>
        <v>2063599.3802986192</v>
      </c>
      <c r="Q6" s="11">
        <v>-32217.404999999999</v>
      </c>
      <c r="R6" s="29">
        <f t="shared" si="4"/>
        <v>2031381.9752986191</v>
      </c>
      <c r="S6" s="11">
        <v>35913.484251968504</v>
      </c>
      <c r="T6" s="11">
        <v>42828.36</v>
      </c>
      <c r="U6" s="11">
        <v>6006.5</v>
      </c>
      <c r="X6" s="11">
        <v>196344.81859877738</v>
      </c>
      <c r="Y6" s="11">
        <v>0</v>
      </c>
      <c r="Z6" s="29">
        <f t="shared" si="5"/>
        <v>2312475.1381493653</v>
      </c>
      <c r="AD6" s="11" t="s">
        <v>1034</v>
      </c>
      <c r="AF6" s="11"/>
      <c r="AG6" s="11">
        <v>1100352.3527000002</v>
      </c>
      <c r="AH6" s="11">
        <v>0</v>
      </c>
      <c r="AI6" s="11">
        <v>1823925.0876606521</v>
      </c>
      <c r="AJ6" s="11">
        <f t="shared" si="6"/>
        <v>239674.29263796704</v>
      </c>
      <c r="AM6" s="30">
        <v>2629</v>
      </c>
      <c r="AN6" s="2" t="s">
        <v>1034</v>
      </c>
      <c r="AO6" s="11">
        <v>1823925.0876606521</v>
      </c>
      <c r="AP6" s="11">
        <f t="shared" si="7"/>
        <v>-239674.29263796704</v>
      </c>
      <c r="AQ6" s="11"/>
      <c r="AR6" s="11"/>
    </row>
    <row r="7" spans="1:44" ht="12.75" x14ac:dyDescent="0.2">
      <c r="A7" s="9" t="s">
        <v>14</v>
      </c>
      <c r="B7" s="26">
        <v>2509</v>
      </c>
      <c r="C7" s="11">
        <v>546959.36900799989</v>
      </c>
      <c r="D7" s="11">
        <v>90778.817933388636</v>
      </c>
      <c r="E7" s="11">
        <v>4140.0392108910892</v>
      </c>
      <c r="F7" s="11">
        <v>0</v>
      </c>
      <c r="G7" s="11">
        <v>32751.691449180336</v>
      </c>
      <c r="H7" s="11">
        <v>26872.832000000024</v>
      </c>
      <c r="I7" s="11">
        <v>100000</v>
      </c>
      <c r="J7" s="11">
        <v>0</v>
      </c>
      <c r="K7" s="11">
        <v>11565.779999999999</v>
      </c>
      <c r="L7" s="11">
        <v>0</v>
      </c>
      <c r="M7" s="29">
        <f t="shared" si="0"/>
        <v>813068.52960146009</v>
      </c>
      <c r="N7" s="11">
        <v>0</v>
      </c>
      <c r="O7" s="11">
        <v>0</v>
      </c>
      <c r="P7" s="29">
        <f t="shared" si="3"/>
        <v>813068.52960146009</v>
      </c>
      <c r="Q7" s="11">
        <v>-13869.98</v>
      </c>
      <c r="R7" s="29">
        <f t="shared" si="4"/>
        <v>799198.54960146011</v>
      </c>
      <c r="S7" s="11">
        <v>18942.322834645671</v>
      </c>
      <c r="U7" s="11">
        <v>3003.25</v>
      </c>
      <c r="X7" s="11">
        <v>0</v>
      </c>
      <c r="Y7" s="11">
        <v>0</v>
      </c>
      <c r="Z7" s="29">
        <f t="shared" si="5"/>
        <v>821144.12243610574</v>
      </c>
      <c r="AD7" s="11" t="s">
        <v>1035</v>
      </c>
      <c r="AF7" s="11"/>
      <c r="AG7" s="11">
        <v>497839.23150000005</v>
      </c>
      <c r="AH7" s="11">
        <v>0</v>
      </c>
      <c r="AI7" s="11">
        <v>737166.55640841241</v>
      </c>
      <c r="AJ7" s="11">
        <f t="shared" si="6"/>
        <v>75901.973193047685</v>
      </c>
      <c r="AM7" s="30">
        <v>2509</v>
      </c>
      <c r="AN7" s="2" t="s">
        <v>1035</v>
      </c>
      <c r="AO7" s="11">
        <v>737166.55640841241</v>
      </c>
      <c r="AP7" s="11">
        <f t="shared" si="7"/>
        <v>-75901.973193047685</v>
      </c>
      <c r="AQ7" s="11"/>
      <c r="AR7" s="11"/>
    </row>
    <row r="8" spans="1:44" ht="12.75" x14ac:dyDescent="0.2">
      <c r="A8" s="9" t="s">
        <v>15</v>
      </c>
      <c r="B8" s="26">
        <v>2005</v>
      </c>
      <c r="C8" s="11">
        <v>846990.47919199988</v>
      </c>
      <c r="D8" s="11">
        <v>263884.48153845547</v>
      </c>
      <c r="E8" s="11">
        <v>1332.3337262345678</v>
      </c>
      <c r="F8" s="11">
        <v>0</v>
      </c>
      <c r="G8" s="11">
        <v>30903.292324528211</v>
      </c>
      <c r="H8" s="11">
        <v>25313.247999999905</v>
      </c>
      <c r="I8" s="11">
        <v>100000</v>
      </c>
      <c r="J8" s="11">
        <v>0</v>
      </c>
      <c r="K8" s="11">
        <v>13954.365</v>
      </c>
      <c r="L8" s="11">
        <v>0</v>
      </c>
      <c r="M8" s="29">
        <f t="shared" si="0"/>
        <v>1282378.1997812178</v>
      </c>
      <c r="N8" s="11">
        <v>0</v>
      </c>
      <c r="O8" s="11">
        <v>0</v>
      </c>
      <c r="P8" s="29">
        <f t="shared" si="3"/>
        <v>1282378.1997812178</v>
      </c>
      <c r="Q8" s="11">
        <v>-21478.27</v>
      </c>
      <c r="R8" s="29">
        <f t="shared" si="4"/>
        <v>1260899.9297812178</v>
      </c>
      <c r="S8" s="11">
        <v>32307.716535433072</v>
      </c>
      <c r="U8" s="11">
        <v>0</v>
      </c>
      <c r="X8" s="11">
        <v>0</v>
      </c>
      <c r="Y8" s="11">
        <v>0</v>
      </c>
      <c r="Z8" s="29">
        <f t="shared" si="5"/>
        <v>1293207.6463166508</v>
      </c>
      <c r="AD8" s="11" t="s">
        <v>1036</v>
      </c>
      <c r="AF8" s="11"/>
      <c r="AG8" s="11">
        <v>824626.00910000002</v>
      </c>
      <c r="AH8" s="11">
        <v>0</v>
      </c>
      <c r="AI8" s="11">
        <v>1262947.9783585914</v>
      </c>
      <c r="AJ8" s="11">
        <f t="shared" si="6"/>
        <v>19430.221422626404</v>
      </c>
      <c r="AM8" s="30">
        <v>2005</v>
      </c>
      <c r="AN8" s="2" t="s">
        <v>1036</v>
      </c>
      <c r="AO8" s="11">
        <v>1262947.9783585914</v>
      </c>
      <c r="AP8" s="11">
        <f t="shared" si="7"/>
        <v>-19430.221422626404</v>
      </c>
      <c r="AR8" s="11"/>
    </row>
    <row r="9" spans="1:44" ht="12.75" x14ac:dyDescent="0.2">
      <c r="A9" s="9" t="s">
        <v>16</v>
      </c>
      <c r="B9" s="26">
        <v>2464</v>
      </c>
      <c r="C9" s="11">
        <v>533683.65616799996</v>
      </c>
      <c r="D9" s="11">
        <v>88354.652537874877</v>
      </c>
      <c r="E9" s="11">
        <v>1394.8541369230768</v>
      </c>
      <c r="F9" s="11">
        <v>0</v>
      </c>
      <c r="G9" s="11">
        <v>2023.5587505882281</v>
      </c>
      <c r="H9" s="11">
        <v>0</v>
      </c>
      <c r="I9" s="11">
        <v>100000</v>
      </c>
      <c r="J9" s="11">
        <v>0</v>
      </c>
      <c r="K9" s="11">
        <v>10811.49</v>
      </c>
      <c r="L9" s="11">
        <v>0</v>
      </c>
      <c r="M9" s="29">
        <f t="shared" si="0"/>
        <v>736268.21159338614</v>
      </c>
      <c r="N9" s="11">
        <v>26555.392383332015</v>
      </c>
      <c r="O9" s="11">
        <v>0</v>
      </c>
      <c r="P9" s="29">
        <f t="shared" si="3"/>
        <v>762823.60397671815</v>
      </c>
      <c r="Q9" s="11">
        <v>-13533.33</v>
      </c>
      <c r="R9" s="29">
        <f t="shared" si="4"/>
        <v>749290.27397671819</v>
      </c>
      <c r="S9" s="11">
        <v>5000</v>
      </c>
      <c r="U9" s="11">
        <v>18019.5</v>
      </c>
      <c r="X9" s="11">
        <v>52997.144567326373</v>
      </c>
      <c r="Y9" s="11">
        <v>0</v>
      </c>
      <c r="Z9" s="29">
        <f t="shared" si="5"/>
        <v>825306.9185440446</v>
      </c>
      <c r="AD9" s="11" t="s">
        <v>1037</v>
      </c>
      <c r="AF9" s="11"/>
      <c r="AG9" s="11">
        <v>490180.16640000005</v>
      </c>
      <c r="AH9" s="11">
        <v>34171.392084102263</v>
      </c>
      <c r="AI9" s="11">
        <v>722239.45170910389</v>
      </c>
      <c r="AJ9" s="11">
        <f t="shared" si="6"/>
        <v>40584.152267614263</v>
      </c>
      <c r="AM9" s="30">
        <v>2464</v>
      </c>
      <c r="AN9" s="2" t="s">
        <v>1037</v>
      </c>
      <c r="AO9" s="11">
        <v>722239.45170800004</v>
      </c>
      <c r="AP9" s="11">
        <f t="shared" si="7"/>
        <v>-40584.152268718113</v>
      </c>
      <c r="AQ9" s="11"/>
      <c r="AR9" s="11"/>
    </row>
    <row r="10" spans="1:44" ht="12.75" x14ac:dyDescent="0.2">
      <c r="A10" s="9" t="s">
        <v>17</v>
      </c>
      <c r="B10" s="26">
        <v>2004</v>
      </c>
      <c r="C10" s="11">
        <v>674406.21227199992</v>
      </c>
      <c r="D10" s="11">
        <v>288229.74842416274</v>
      </c>
      <c r="E10" s="11">
        <v>2613.8178083650191</v>
      </c>
      <c r="F10" s="11">
        <v>0</v>
      </c>
      <c r="G10" s="11">
        <v>11909.938915068491</v>
      </c>
      <c r="H10" s="11">
        <v>0</v>
      </c>
      <c r="I10" s="11">
        <v>100000</v>
      </c>
      <c r="J10" s="11">
        <v>0</v>
      </c>
      <c r="K10" s="11">
        <v>12571.5</v>
      </c>
      <c r="L10" s="11">
        <v>0</v>
      </c>
      <c r="M10" s="29">
        <f t="shared" si="0"/>
        <v>1089731.2174195962</v>
      </c>
      <c r="N10" s="11">
        <v>56981.067035882035</v>
      </c>
      <c r="O10" s="11">
        <v>0</v>
      </c>
      <c r="P10" s="29">
        <f t="shared" si="3"/>
        <v>1146712.2844554782</v>
      </c>
      <c r="Q10" s="11">
        <v>-17101.82</v>
      </c>
      <c r="R10" s="29">
        <f t="shared" si="4"/>
        <v>1129610.4644554781</v>
      </c>
      <c r="S10" s="11">
        <v>44855.807086614172</v>
      </c>
      <c r="U10" s="11">
        <v>0</v>
      </c>
      <c r="X10" s="11">
        <v>76407.92477431579</v>
      </c>
      <c r="Y10" s="11">
        <v>0</v>
      </c>
      <c r="Z10" s="29">
        <f t="shared" si="5"/>
        <v>1250874.196316408</v>
      </c>
      <c r="AD10" s="11" t="s">
        <v>1038</v>
      </c>
      <c r="AF10" s="11"/>
      <c r="AG10" s="11">
        <v>694421.90240000002</v>
      </c>
      <c r="AH10" s="11">
        <v>42598.158037388697</v>
      </c>
      <c r="AI10" s="11">
        <v>1207625.0318578349</v>
      </c>
      <c r="AJ10" s="11">
        <f t="shared" si="6"/>
        <v>-60912.747402356705</v>
      </c>
      <c r="AM10" s="30">
        <v>2004</v>
      </c>
      <c r="AN10" s="2" t="s">
        <v>1038</v>
      </c>
      <c r="AO10" s="11">
        <v>1207625.0319109999</v>
      </c>
      <c r="AP10" s="11">
        <f t="shared" si="7"/>
        <v>60912.74745552172</v>
      </c>
      <c r="AR10" s="11"/>
    </row>
    <row r="11" spans="1:44" ht="12.75" x14ac:dyDescent="0.2">
      <c r="A11" s="9" t="s">
        <v>18</v>
      </c>
      <c r="B11" s="26">
        <v>2405</v>
      </c>
      <c r="C11" s="11">
        <v>525718.22846399993</v>
      </c>
      <c r="D11" s="11">
        <v>176959.17575349135</v>
      </c>
      <c r="E11" s="11">
        <v>0</v>
      </c>
      <c r="F11" s="11">
        <v>0</v>
      </c>
      <c r="G11" s="11">
        <v>44793.238220689651</v>
      </c>
      <c r="H11" s="11">
        <v>0</v>
      </c>
      <c r="I11" s="11">
        <v>100000</v>
      </c>
      <c r="J11" s="11">
        <v>0</v>
      </c>
      <c r="K11" s="11">
        <v>10057.199999999999</v>
      </c>
      <c r="L11" s="11">
        <v>0</v>
      </c>
      <c r="M11" s="29">
        <f t="shared" si="0"/>
        <v>857527.84243818093</v>
      </c>
      <c r="N11" s="11">
        <v>0</v>
      </c>
      <c r="O11" s="11">
        <v>0</v>
      </c>
      <c r="P11" s="29">
        <f t="shared" si="3"/>
        <v>857527.84243818093</v>
      </c>
      <c r="Q11" s="11">
        <v>-13331.34</v>
      </c>
      <c r="R11" s="29">
        <f t="shared" si="4"/>
        <v>844196.50243818096</v>
      </c>
      <c r="S11" s="11">
        <v>5000</v>
      </c>
      <c r="T11" s="11">
        <v>115515.58500000001</v>
      </c>
      <c r="U11" s="11">
        <v>27029.25</v>
      </c>
      <c r="X11" s="11">
        <v>55222.606718185234</v>
      </c>
      <c r="Y11" s="11">
        <v>0</v>
      </c>
      <c r="Z11" s="29">
        <f t="shared" si="5"/>
        <v>1046963.9441563662</v>
      </c>
      <c r="AD11" s="11" t="s">
        <v>1039</v>
      </c>
      <c r="AF11" s="11"/>
      <c r="AG11" s="11">
        <v>513157.36170000007</v>
      </c>
      <c r="AH11" s="11">
        <v>0</v>
      </c>
      <c r="AI11" s="11">
        <v>831498.18000006443</v>
      </c>
      <c r="AJ11" s="11">
        <f t="shared" si="6"/>
        <v>26029.662438116502</v>
      </c>
      <c r="AM11" s="30">
        <v>2405</v>
      </c>
      <c r="AN11" s="2" t="s">
        <v>1039</v>
      </c>
      <c r="AO11" s="11">
        <v>831498.18000006443</v>
      </c>
      <c r="AP11" s="11">
        <f t="shared" si="7"/>
        <v>-26029.662438116502</v>
      </c>
      <c r="AR11" s="11"/>
    </row>
    <row r="12" spans="1:44" ht="12.75" x14ac:dyDescent="0.2">
      <c r="A12" s="9" t="s">
        <v>95</v>
      </c>
      <c r="B12" s="1023">
        <v>2011</v>
      </c>
      <c r="C12" s="11">
        <v>560235.08184799994</v>
      </c>
      <c r="D12" s="11">
        <v>130698.91602844889</v>
      </c>
      <c r="E12" s="11">
        <v>0</v>
      </c>
      <c r="F12" s="11">
        <v>0</v>
      </c>
      <c r="G12" s="11">
        <v>10317.704674285706</v>
      </c>
      <c r="H12" s="11">
        <v>0</v>
      </c>
      <c r="I12" s="11">
        <v>100000</v>
      </c>
      <c r="J12" s="11">
        <v>0</v>
      </c>
      <c r="K12" s="11">
        <v>4953.1709999999985</v>
      </c>
      <c r="L12" s="11">
        <v>0</v>
      </c>
      <c r="M12" s="29">
        <f t="shared" si="0"/>
        <v>806204.87355073448</v>
      </c>
      <c r="N12" s="11">
        <v>0</v>
      </c>
      <c r="O12" s="11">
        <v>0</v>
      </c>
      <c r="P12" s="29">
        <f t="shared" si="3"/>
        <v>806204.87355073448</v>
      </c>
      <c r="Q12" s="11">
        <v>0</v>
      </c>
      <c r="R12" s="29">
        <f t="shared" si="4"/>
        <v>806204.87355073448</v>
      </c>
      <c r="S12" s="11">
        <v>5000</v>
      </c>
      <c r="U12" s="11">
        <v>25527.63</v>
      </c>
      <c r="X12" s="11">
        <v>64153.310448834192</v>
      </c>
      <c r="Y12" s="11">
        <v>0</v>
      </c>
      <c r="Z12" s="29">
        <f t="shared" si="5"/>
        <v>900885.81399956869</v>
      </c>
      <c r="AA12" s="11" t="s">
        <v>1211</v>
      </c>
      <c r="AB12" s="982" t="s">
        <v>1213</v>
      </c>
      <c r="AD12" s="1024">
        <v>8312011</v>
      </c>
      <c r="AF12" s="11"/>
      <c r="AG12" s="11">
        <v>546346.64380000008</v>
      </c>
      <c r="AH12" s="11">
        <v>0</v>
      </c>
      <c r="AI12" s="11">
        <v>794948.67074638081</v>
      </c>
      <c r="AJ12" s="11">
        <f t="shared" si="6"/>
        <v>11256.20280435367</v>
      </c>
      <c r="AM12" s="30">
        <v>3525</v>
      </c>
      <c r="AN12" s="2" t="s">
        <v>1040</v>
      </c>
      <c r="AO12" s="11">
        <v>794948.67074638081</v>
      </c>
      <c r="AP12" s="11">
        <f t="shared" si="7"/>
        <v>-11256.20280435367</v>
      </c>
      <c r="AQ12" s="11"/>
      <c r="AR12" s="11"/>
    </row>
    <row r="13" spans="1:44" ht="12.75" x14ac:dyDescent="0.2">
      <c r="A13" s="9" t="s">
        <v>20</v>
      </c>
      <c r="B13" s="26">
        <v>5201</v>
      </c>
      <c r="C13" s="11">
        <v>1099229.0231519998</v>
      </c>
      <c r="D13" s="11">
        <v>80000.334190160327</v>
      </c>
      <c r="E13" s="11">
        <v>3963.9036353773581</v>
      </c>
      <c r="F13" s="11">
        <v>0</v>
      </c>
      <c r="G13" s="11">
        <v>6004.6405627118702</v>
      </c>
      <c r="H13" s="11">
        <v>0</v>
      </c>
      <c r="I13" s="11">
        <v>100000</v>
      </c>
      <c r="J13" s="11">
        <v>0</v>
      </c>
      <c r="K13" s="11">
        <v>16915.239999999998</v>
      </c>
      <c r="L13" s="11">
        <v>0</v>
      </c>
      <c r="M13" s="29">
        <f t="shared" si="0"/>
        <v>1306113.1415402493</v>
      </c>
      <c r="N13" s="11">
        <v>0</v>
      </c>
      <c r="O13" s="11">
        <v>0</v>
      </c>
      <c r="P13" s="29">
        <f t="shared" si="3"/>
        <v>1306113.1415402493</v>
      </c>
      <c r="Q13" s="11">
        <v>-27874.62</v>
      </c>
      <c r="R13" s="29">
        <f t="shared" si="4"/>
        <v>1278238.5215402492</v>
      </c>
      <c r="S13" s="11">
        <v>10000</v>
      </c>
      <c r="U13" s="11">
        <v>34537.379999999997</v>
      </c>
      <c r="X13" s="11">
        <v>90645.147049050531</v>
      </c>
      <c r="Y13" s="11">
        <v>0</v>
      </c>
      <c r="Z13" s="29">
        <f t="shared" si="5"/>
        <v>1413421.0485892997</v>
      </c>
      <c r="AD13" s="11" t="s">
        <v>1042</v>
      </c>
      <c r="AF13" s="11"/>
      <c r="AG13" s="11">
        <v>1069716.0923000001</v>
      </c>
      <c r="AH13" s="11">
        <v>0</v>
      </c>
      <c r="AI13" s="11">
        <v>1263072.0269810278</v>
      </c>
      <c r="AJ13" s="11">
        <f t="shared" si="6"/>
        <v>43041.114559221547</v>
      </c>
      <c r="AM13" s="30">
        <v>5201</v>
      </c>
      <c r="AN13" s="2" t="s">
        <v>1042</v>
      </c>
      <c r="AO13" s="11">
        <v>1263072.0269810278</v>
      </c>
      <c r="AP13" s="11">
        <f t="shared" si="7"/>
        <v>-43041.114559221547</v>
      </c>
      <c r="AQ13" s="11"/>
      <c r="AR13" s="11"/>
    </row>
    <row r="14" spans="1:44" ht="12.75" x14ac:dyDescent="0.2">
      <c r="A14" s="9" t="s">
        <v>96</v>
      </c>
      <c r="B14" s="26">
        <v>2007</v>
      </c>
      <c r="C14" s="11">
        <v>910713.90082399989</v>
      </c>
      <c r="D14" s="11">
        <v>308068.82472155173</v>
      </c>
      <c r="E14" s="11">
        <v>4477.3632935691321</v>
      </c>
      <c r="F14" s="11">
        <v>0</v>
      </c>
      <c r="G14" s="11">
        <v>39135.559119999903</v>
      </c>
      <c r="H14" s="11">
        <v>34430.815999999955</v>
      </c>
      <c r="I14" s="11">
        <v>100000</v>
      </c>
      <c r="J14" s="11">
        <v>0</v>
      </c>
      <c r="K14" s="11">
        <v>2564.5859999999993</v>
      </c>
      <c r="L14" s="11">
        <v>0</v>
      </c>
      <c r="M14" s="29">
        <f t="shared" si="0"/>
        <v>1399391.0499591203</v>
      </c>
      <c r="N14" s="11">
        <v>0</v>
      </c>
      <c r="O14" s="11">
        <v>0</v>
      </c>
      <c r="P14" s="29">
        <f t="shared" si="3"/>
        <v>1399391.0499591203</v>
      </c>
      <c r="Q14" s="11">
        <v>0</v>
      </c>
      <c r="R14" s="29">
        <f t="shared" si="4"/>
        <v>1399391.0499591203</v>
      </c>
      <c r="S14" s="11">
        <v>12788.464566929135</v>
      </c>
      <c r="U14" s="11">
        <v>28781.15</v>
      </c>
      <c r="X14" s="11">
        <v>121201.2785836565</v>
      </c>
      <c r="Y14" s="11">
        <v>0</v>
      </c>
      <c r="Z14" s="29">
        <f t="shared" si="5"/>
        <v>1562161.9431097058</v>
      </c>
      <c r="AD14" s="11" t="s">
        <v>1043</v>
      </c>
      <c r="AF14" s="11"/>
      <c r="AG14" s="11">
        <v>776118.59680000006</v>
      </c>
      <c r="AH14" s="11">
        <v>0</v>
      </c>
      <c r="AI14" s="11">
        <v>1247236.3551036895</v>
      </c>
      <c r="AJ14" s="11">
        <f t="shared" si="6"/>
        <v>152154.69485543086</v>
      </c>
      <c r="AM14" s="30">
        <v>2007</v>
      </c>
      <c r="AN14" s="2" t="s">
        <v>1043</v>
      </c>
      <c r="AO14" s="11">
        <v>1247236.3551036892</v>
      </c>
      <c r="AP14" s="11">
        <f t="shared" si="7"/>
        <v>-152154.69485543109</v>
      </c>
      <c r="AQ14" s="11"/>
      <c r="AR14" s="11"/>
    </row>
    <row r="15" spans="1:44" ht="12.75" x14ac:dyDescent="0.2">
      <c r="A15" s="9" t="s">
        <v>21</v>
      </c>
      <c r="B15" s="26">
        <v>2433</v>
      </c>
      <c r="C15" s="11">
        <v>440753.66628799995</v>
      </c>
      <c r="D15" s="11">
        <v>99690.890345167136</v>
      </c>
      <c r="E15" s="11">
        <v>0</v>
      </c>
      <c r="F15" s="11">
        <v>0</v>
      </c>
      <c r="G15" s="11">
        <v>9612.5285503759351</v>
      </c>
      <c r="H15" s="11">
        <v>0</v>
      </c>
      <c r="I15" s="11">
        <v>100000</v>
      </c>
      <c r="J15" s="11">
        <v>0</v>
      </c>
      <c r="K15" s="11">
        <v>7040.04</v>
      </c>
      <c r="L15" s="11">
        <v>0</v>
      </c>
      <c r="M15" s="29">
        <f t="shared" si="0"/>
        <v>657097.12518354307</v>
      </c>
      <c r="N15" s="11">
        <v>56519.196358682122</v>
      </c>
      <c r="O15" s="11">
        <v>0</v>
      </c>
      <c r="P15" s="29">
        <f t="shared" si="3"/>
        <v>713616.3215422252</v>
      </c>
      <c r="Q15" s="11">
        <v>-11176.779999999999</v>
      </c>
      <c r="R15" s="29">
        <f t="shared" si="4"/>
        <v>702439.54154222517</v>
      </c>
      <c r="S15" s="11">
        <v>54038.503937007874</v>
      </c>
      <c r="T15" s="11">
        <v>430021.97</v>
      </c>
      <c r="U15" s="11">
        <v>9009.75</v>
      </c>
      <c r="X15" s="11">
        <v>109099.75329570359</v>
      </c>
      <c r="Y15" s="11">
        <v>0</v>
      </c>
      <c r="Z15" s="29">
        <f t="shared" si="5"/>
        <v>1304609.5187749367</v>
      </c>
      <c r="AD15" s="11" t="s">
        <v>1045</v>
      </c>
      <c r="AF15" s="11"/>
      <c r="AG15" s="11">
        <v>439119.73240000004</v>
      </c>
      <c r="AH15" s="11">
        <v>49631.092158890795</v>
      </c>
      <c r="AI15" s="11">
        <v>729586.46045338991</v>
      </c>
      <c r="AJ15" s="11">
        <f t="shared" si="6"/>
        <v>-15970.138911164715</v>
      </c>
      <c r="AM15" s="30">
        <v>2433</v>
      </c>
      <c r="AN15" s="2" t="s">
        <v>1045</v>
      </c>
      <c r="AO15" s="11">
        <v>729586.45546249999</v>
      </c>
      <c r="AP15" s="11">
        <f t="shared" si="7"/>
        <v>15970.133920274791</v>
      </c>
      <c r="AQ15" s="11"/>
      <c r="AR15" s="11"/>
    </row>
    <row r="16" spans="1:44" ht="12.75" x14ac:dyDescent="0.2">
      <c r="A16" s="9" t="s">
        <v>22</v>
      </c>
      <c r="B16" s="26">
        <v>2432</v>
      </c>
      <c r="C16" s="11">
        <v>541649.08387199999</v>
      </c>
      <c r="D16" s="11">
        <v>148093.32569059875</v>
      </c>
      <c r="E16" s="11">
        <v>1117.636464777328</v>
      </c>
      <c r="F16" s="11">
        <v>0</v>
      </c>
      <c r="G16" s="11">
        <v>5091.6161100000054</v>
      </c>
      <c r="H16" s="11">
        <v>0</v>
      </c>
      <c r="I16" s="11">
        <v>100000</v>
      </c>
      <c r="J16" s="11">
        <v>0</v>
      </c>
      <c r="K16" s="11">
        <v>7040.04</v>
      </c>
      <c r="L16" s="11">
        <v>0</v>
      </c>
      <c r="M16" s="29">
        <f t="shared" si="0"/>
        <v>802991.70213737607</v>
      </c>
      <c r="N16" s="11">
        <v>6833.8866254332243</v>
      </c>
      <c r="O16" s="11">
        <v>0</v>
      </c>
      <c r="P16" s="29">
        <f t="shared" si="3"/>
        <v>809825.58876280929</v>
      </c>
      <c r="Q16" s="11">
        <v>-13735.32</v>
      </c>
      <c r="R16" s="29">
        <f t="shared" si="4"/>
        <v>796090.26876280934</v>
      </c>
      <c r="S16" s="11">
        <v>0</v>
      </c>
      <c r="T16" s="11">
        <v>527830.49</v>
      </c>
      <c r="U16" s="11">
        <v>31534.13</v>
      </c>
      <c r="X16" s="11">
        <v>0</v>
      </c>
      <c r="Y16" s="11">
        <v>0</v>
      </c>
      <c r="Z16" s="29">
        <f t="shared" si="5"/>
        <v>1355454.8887628093</v>
      </c>
      <c r="AD16" s="11" t="s">
        <v>1046</v>
      </c>
      <c r="AF16" s="11"/>
      <c r="AG16" s="11">
        <v>523369.44850000006</v>
      </c>
      <c r="AH16" s="11">
        <v>16097.555256476975</v>
      </c>
      <c r="AI16" s="11">
        <v>807316.31096262694</v>
      </c>
      <c r="AJ16" s="11">
        <f t="shared" si="6"/>
        <v>2509.2778001823463</v>
      </c>
      <c r="AM16" s="30">
        <v>2432</v>
      </c>
      <c r="AN16" s="2" t="s">
        <v>1046</v>
      </c>
      <c r="AO16" s="11">
        <v>807316.30595549988</v>
      </c>
      <c r="AP16" s="11">
        <f t="shared" si="7"/>
        <v>-2509.2828073094133</v>
      </c>
      <c r="AQ16" s="11"/>
      <c r="AR16" s="11"/>
    </row>
    <row r="17" spans="1:43" s="11" customFormat="1" ht="12.75" x14ac:dyDescent="0.2">
      <c r="A17" s="9" t="s">
        <v>188</v>
      </c>
      <c r="B17" s="26">
        <v>2447</v>
      </c>
      <c r="C17" s="11">
        <v>1125780.4488319999</v>
      </c>
      <c r="D17" s="11">
        <v>257835.62975311987</v>
      </c>
      <c r="E17" s="11">
        <v>0</v>
      </c>
      <c r="F17" s="11">
        <v>0</v>
      </c>
      <c r="G17" s="11">
        <v>20615.405181818176</v>
      </c>
      <c r="H17" s="11">
        <v>0</v>
      </c>
      <c r="I17" s="11">
        <v>100000</v>
      </c>
      <c r="J17" s="11">
        <v>0</v>
      </c>
      <c r="K17" s="11">
        <v>16594.379999999997</v>
      </c>
      <c r="L17" s="11">
        <v>0</v>
      </c>
      <c r="M17" s="29">
        <f t="shared" si="0"/>
        <v>1520825.8637669377</v>
      </c>
      <c r="N17" s="11">
        <v>45808.657437435817</v>
      </c>
      <c r="O17" s="11">
        <v>0</v>
      </c>
      <c r="P17" s="29">
        <f t="shared" si="3"/>
        <v>1566634.5212043736</v>
      </c>
      <c r="Q17" s="11">
        <v>-28547.919999999998</v>
      </c>
      <c r="R17" s="29">
        <f t="shared" si="4"/>
        <v>1538086.6012043736</v>
      </c>
      <c r="S17" s="11">
        <v>54038.503937007874</v>
      </c>
      <c r="U17" s="11">
        <v>6006.5</v>
      </c>
      <c r="X17" s="11">
        <v>124184.27684210526</v>
      </c>
      <c r="Y17" s="11">
        <v>0</v>
      </c>
      <c r="Z17" s="29">
        <f t="shared" si="5"/>
        <v>1722315.8819834867</v>
      </c>
      <c r="AD17" s="11" t="s">
        <v>1047</v>
      </c>
      <c r="AG17" s="11">
        <v>1069716.0923000001</v>
      </c>
      <c r="AH17" s="11">
        <v>43494.075718099019</v>
      </c>
      <c r="AI17" s="11">
        <v>1539887.531237341</v>
      </c>
      <c r="AJ17" s="11">
        <f t="shared" si="6"/>
        <v>26746.989967032569</v>
      </c>
      <c r="AM17" s="30">
        <v>2447</v>
      </c>
      <c r="AN17" s="2" t="s">
        <v>1047</v>
      </c>
      <c r="AO17" s="11">
        <v>1539887.5311729999</v>
      </c>
      <c r="AP17" s="11">
        <f t="shared" si="7"/>
        <v>-26746.990031373687</v>
      </c>
    </row>
    <row r="18" spans="1:43" s="11" customFormat="1" ht="12.75" x14ac:dyDescent="0.2">
      <c r="A18" s="9" t="s">
        <v>23</v>
      </c>
      <c r="B18" s="26">
        <v>2512</v>
      </c>
      <c r="C18" s="11">
        <v>565545.36698399996</v>
      </c>
      <c r="D18" s="11">
        <v>33629.350642660735</v>
      </c>
      <c r="E18" s="11">
        <v>0</v>
      </c>
      <c r="F18" s="11">
        <v>0</v>
      </c>
      <c r="G18" s="11">
        <v>19920.360590163971</v>
      </c>
      <c r="H18" s="11">
        <v>0</v>
      </c>
      <c r="I18" s="11">
        <v>100000</v>
      </c>
      <c r="J18" s="11">
        <v>0</v>
      </c>
      <c r="K18" s="11">
        <v>15337.23</v>
      </c>
      <c r="L18" s="11">
        <v>0</v>
      </c>
      <c r="M18" s="29">
        <f t="shared" si="0"/>
        <v>734432.30821682466</v>
      </c>
      <c r="N18" s="11">
        <v>0</v>
      </c>
      <c r="O18" s="11">
        <v>0</v>
      </c>
      <c r="P18" s="29">
        <f t="shared" si="3"/>
        <v>734432.30821682466</v>
      </c>
      <c r="Q18" s="11">
        <v>-14341.289999999999</v>
      </c>
      <c r="R18" s="29">
        <f t="shared" si="4"/>
        <v>720091.01821682462</v>
      </c>
      <c r="S18" s="11">
        <v>5000</v>
      </c>
      <c r="U18" s="11">
        <v>28530.880000000001</v>
      </c>
      <c r="X18" s="11">
        <v>56822.365916517796</v>
      </c>
      <c r="Y18" s="11">
        <v>0</v>
      </c>
      <c r="Z18" s="29">
        <f t="shared" si="5"/>
        <v>810444.26413334243</v>
      </c>
      <c r="AD18" s="11" t="s">
        <v>1048</v>
      </c>
      <c r="AG18" s="11">
        <v>525922.4702000001</v>
      </c>
      <c r="AH18" s="11">
        <v>0</v>
      </c>
      <c r="AI18" s="11">
        <v>701364.57414320181</v>
      </c>
      <c r="AJ18" s="11">
        <f t="shared" si="6"/>
        <v>33067.734073622851</v>
      </c>
      <c r="AM18" s="30">
        <v>2512</v>
      </c>
      <c r="AN18" s="2" t="s">
        <v>1048</v>
      </c>
      <c r="AO18" s="11">
        <v>701364.57414320193</v>
      </c>
      <c r="AP18" s="11">
        <f t="shared" si="7"/>
        <v>-33067.734073622734</v>
      </c>
    </row>
    <row r="19" spans="1:43" s="11" customFormat="1" ht="12.75" x14ac:dyDescent="0.2">
      <c r="A19" s="9" t="s">
        <v>24</v>
      </c>
      <c r="B19" s="26">
        <v>2456</v>
      </c>
      <c r="C19" s="11">
        <v>467305.09196799994</v>
      </c>
      <c r="D19" s="11">
        <v>23940.486559784444</v>
      </c>
      <c r="E19" s="11">
        <v>1338.0120179775281</v>
      </c>
      <c r="F19" s="11">
        <v>0</v>
      </c>
      <c r="G19" s="11">
        <v>34050.764076521715</v>
      </c>
      <c r="H19" s="11">
        <v>0</v>
      </c>
      <c r="I19" s="11">
        <v>100000</v>
      </c>
      <c r="J19" s="11">
        <v>0</v>
      </c>
      <c r="K19" s="11">
        <v>8568.6999999999989</v>
      </c>
      <c r="L19" s="11">
        <v>0</v>
      </c>
      <c r="M19" s="29">
        <f t="shared" si="0"/>
        <v>635203.05462228355</v>
      </c>
      <c r="N19" s="11">
        <v>0</v>
      </c>
      <c r="O19" s="11">
        <v>0</v>
      </c>
      <c r="P19" s="29">
        <f t="shared" si="3"/>
        <v>635203.05462228355</v>
      </c>
      <c r="Q19" s="11">
        <v>-11850.08</v>
      </c>
      <c r="R19" s="29">
        <f t="shared" si="4"/>
        <v>623352.9746222836</v>
      </c>
      <c r="S19" s="11">
        <v>10000</v>
      </c>
      <c r="U19" s="11">
        <v>9009.75</v>
      </c>
      <c r="X19" s="11">
        <v>67044.059244129559</v>
      </c>
      <c r="Y19" s="11">
        <v>0</v>
      </c>
      <c r="Z19" s="29">
        <f t="shared" si="5"/>
        <v>709406.78386641317</v>
      </c>
      <c r="AD19" s="11" t="s">
        <v>1049</v>
      </c>
      <c r="AG19" s="11">
        <v>456990.88430000003</v>
      </c>
      <c r="AH19" s="11">
        <v>0</v>
      </c>
      <c r="AI19" s="11">
        <v>616546.33503174852</v>
      </c>
      <c r="AJ19" s="11">
        <f t="shared" si="6"/>
        <v>18656.719590535038</v>
      </c>
      <c r="AM19" s="30">
        <v>2456</v>
      </c>
      <c r="AN19" s="2" t="s">
        <v>1049</v>
      </c>
      <c r="AO19" s="11">
        <v>616546.33503174852</v>
      </c>
      <c r="AP19" s="11">
        <f t="shared" si="7"/>
        <v>-18656.719590535038</v>
      </c>
    </row>
    <row r="20" spans="1:43" s="11" customFormat="1" ht="12.75" x14ac:dyDescent="0.2">
      <c r="A20" s="9" t="s">
        <v>25</v>
      </c>
      <c r="B20" s="26">
        <v>2449</v>
      </c>
      <c r="C20" s="11">
        <v>708923.06565599993</v>
      </c>
      <c r="D20" s="11">
        <v>84617.718087593108</v>
      </c>
      <c r="E20" s="11">
        <v>0</v>
      </c>
      <c r="F20" s="11">
        <v>0</v>
      </c>
      <c r="G20" s="11">
        <v>7658.5784782122901</v>
      </c>
      <c r="H20" s="11">
        <v>0</v>
      </c>
      <c r="I20" s="11">
        <v>100000</v>
      </c>
      <c r="J20" s="11">
        <v>0</v>
      </c>
      <c r="K20" s="11">
        <v>11772.84</v>
      </c>
      <c r="L20" s="11">
        <v>0</v>
      </c>
      <c r="M20" s="29">
        <f t="shared" si="0"/>
        <v>912972.20222180523</v>
      </c>
      <c r="N20" s="11">
        <v>0</v>
      </c>
      <c r="O20" s="11">
        <v>0</v>
      </c>
      <c r="P20" s="29">
        <f t="shared" si="3"/>
        <v>912972.20222180523</v>
      </c>
      <c r="Q20" s="11">
        <v>-17977.11</v>
      </c>
      <c r="R20" s="29">
        <f t="shared" si="4"/>
        <v>894995.09222180524</v>
      </c>
      <c r="S20" s="11">
        <v>17788.464566929135</v>
      </c>
      <c r="U20" s="11">
        <v>5631.09</v>
      </c>
      <c r="X20" s="11">
        <v>172866.16315518267</v>
      </c>
      <c r="Y20" s="11">
        <v>0</v>
      </c>
      <c r="Z20" s="29">
        <f t="shared" si="5"/>
        <v>1091280.809943917</v>
      </c>
      <c r="AD20" s="11" t="s">
        <v>1050</v>
      </c>
      <c r="AG20" s="11">
        <v>689315.85900000005</v>
      </c>
      <c r="AH20" s="11">
        <v>0</v>
      </c>
      <c r="AI20" s="11">
        <v>904864.95523750631</v>
      </c>
      <c r="AJ20" s="11">
        <f t="shared" si="6"/>
        <v>8107.2469842989231</v>
      </c>
      <c r="AM20" s="30">
        <v>2449</v>
      </c>
      <c r="AN20" s="2" t="s">
        <v>1050</v>
      </c>
      <c r="AO20" s="11">
        <v>904864.95523750631</v>
      </c>
      <c r="AP20" s="11">
        <f t="shared" si="7"/>
        <v>-8107.2469842989231</v>
      </c>
    </row>
    <row r="21" spans="1:43" s="11" customFormat="1" ht="12.75" x14ac:dyDescent="0.2">
      <c r="A21" s="9" t="s">
        <v>26</v>
      </c>
      <c r="B21" s="26">
        <v>2448</v>
      </c>
      <c r="C21" s="11">
        <v>916024.18595999992</v>
      </c>
      <c r="D21" s="11">
        <v>160029.38842957764</v>
      </c>
      <c r="E21" s="11">
        <v>0</v>
      </c>
      <c r="F21" s="11">
        <v>0</v>
      </c>
      <c r="G21" s="11">
        <v>3452.9609473684095</v>
      </c>
      <c r="H21" s="11">
        <v>0</v>
      </c>
      <c r="I21" s="11">
        <v>100000</v>
      </c>
      <c r="J21" s="11">
        <v>0</v>
      </c>
      <c r="K21" s="11">
        <v>23723.16</v>
      </c>
      <c r="L21" s="11">
        <v>0</v>
      </c>
      <c r="M21" s="29">
        <f t="shared" si="0"/>
        <v>1203229.6953369458</v>
      </c>
      <c r="N21" s="11">
        <v>0</v>
      </c>
      <c r="O21" s="11">
        <v>0</v>
      </c>
      <c r="P21" s="29">
        <f t="shared" si="3"/>
        <v>1203229.6953369458</v>
      </c>
      <c r="Q21" s="11">
        <v>-23228.85</v>
      </c>
      <c r="R21" s="29">
        <f t="shared" si="4"/>
        <v>1180000.8453369457</v>
      </c>
      <c r="S21" s="11">
        <v>0</v>
      </c>
      <c r="U21" s="11">
        <v>32660.34</v>
      </c>
      <c r="X21" s="11">
        <v>0</v>
      </c>
      <c r="Y21" s="11">
        <v>0</v>
      </c>
      <c r="Z21" s="29">
        <f t="shared" si="5"/>
        <v>1212661.1853369458</v>
      </c>
      <c r="AD21" s="11" t="s">
        <v>1051</v>
      </c>
      <c r="AG21" s="11">
        <v>852709.24780000013</v>
      </c>
      <c r="AH21" s="11">
        <v>0</v>
      </c>
      <c r="AI21" s="11">
        <v>1132561.3022385533</v>
      </c>
      <c r="AJ21" s="11">
        <f t="shared" si="6"/>
        <v>70668.393098392524</v>
      </c>
      <c r="AM21" s="30">
        <v>2448</v>
      </c>
      <c r="AN21" s="2" t="s">
        <v>1051</v>
      </c>
      <c r="AO21" s="11">
        <v>1132561.3022385533</v>
      </c>
      <c r="AP21" s="11">
        <f t="shared" si="7"/>
        <v>-70668.393098392524</v>
      </c>
    </row>
    <row r="22" spans="1:43" s="11" customFormat="1" ht="12.75" x14ac:dyDescent="0.2">
      <c r="A22" s="9" t="s">
        <v>126</v>
      </c>
      <c r="B22" s="26">
        <v>2467</v>
      </c>
      <c r="C22" s="11">
        <v>897438.18798399996</v>
      </c>
      <c r="D22" s="11">
        <v>152725.87612343498</v>
      </c>
      <c r="E22" s="11">
        <v>0</v>
      </c>
      <c r="F22" s="11">
        <v>0</v>
      </c>
      <c r="G22" s="11">
        <v>13452.931367441848</v>
      </c>
      <c r="H22" s="11">
        <v>0</v>
      </c>
      <c r="I22" s="11">
        <v>100000</v>
      </c>
      <c r="J22" s="11">
        <v>0</v>
      </c>
      <c r="K22" s="11">
        <v>11314.349999999999</v>
      </c>
      <c r="L22" s="11">
        <v>0</v>
      </c>
      <c r="M22" s="29">
        <f t="shared" si="0"/>
        <v>1174931.3454748767</v>
      </c>
      <c r="N22" s="11">
        <v>11806.330096870661</v>
      </c>
      <c r="O22" s="11">
        <v>0</v>
      </c>
      <c r="P22" s="29">
        <f t="shared" si="3"/>
        <v>1186737.6755717474</v>
      </c>
      <c r="Q22" s="11">
        <v>-22757.54</v>
      </c>
      <c r="R22" s="29">
        <f t="shared" si="4"/>
        <v>1163980.1355717473</v>
      </c>
      <c r="S22" s="11">
        <v>42067.342519685044</v>
      </c>
      <c r="U22" s="11">
        <v>0</v>
      </c>
      <c r="X22" s="11">
        <v>93465.092107274744</v>
      </c>
      <c r="Y22" s="11">
        <v>0</v>
      </c>
      <c r="Z22" s="29">
        <f t="shared" si="5"/>
        <v>1299512.570198707</v>
      </c>
      <c r="AD22" s="11" t="s">
        <v>1052</v>
      </c>
      <c r="AG22" s="11">
        <v>891004.57330000005</v>
      </c>
      <c r="AH22" s="11">
        <v>44855.849775098497</v>
      </c>
      <c r="AI22" s="11">
        <v>1210856.6095400588</v>
      </c>
      <c r="AJ22" s="11">
        <f t="shared" si="6"/>
        <v>-24118.933968311409</v>
      </c>
      <c r="AM22" s="30">
        <v>2467</v>
      </c>
      <c r="AN22" s="2" t="s">
        <v>1052</v>
      </c>
      <c r="AO22" s="11">
        <v>1210856.60959</v>
      </c>
      <c r="AP22" s="11">
        <f t="shared" si="7"/>
        <v>24118.93401825265</v>
      </c>
    </row>
    <row r="23" spans="1:43" s="11" customFormat="1" ht="12.75" x14ac:dyDescent="0.2">
      <c r="A23" s="9" t="s">
        <v>28</v>
      </c>
      <c r="B23" s="26">
        <v>2455</v>
      </c>
      <c r="C23" s="11">
        <v>939920.46907199989</v>
      </c>
      <c r="D23" s="11">
        <v>71937.37267533991</v>
      </c>
      <c r="E23" s="11">
        <v>0</v>
      </c>
      <c r="F23" s="11">
        <v>0</v>
      </c>
      <c r="G23" s="11">
        <v>22007.717984615396</v>
      </c>
      <c r="H23" s="11">
        <v>0</v>
      </c>
      <c r="I23" s="11">
        <v>100000</v>
      </c>
      <c r="J23" s="11">
        <v>0</v>
      </c>
      <c r="K23" s="11">
        <v>25143</v>
      </c>
      <c r="L23" s="11">
        <v>0</v>
      </c>
      <c r="M23" s="29">
        <f t="shared" si="0"/>
        <v>1159008.5597319552</v>
      </c>
      <c r="N23" s="11">
        <v>0</v>
      </c>
      <c r="O23" s="11">
        <v>0</v>
      </c>
      <c r="P23" s="29">
        <f t="shared" si="3"/>
        <v>1159008.5597319552</v>
      </c>
      <c r="Q23" s="11">
        <v>-23834.82</v>
      </c>
      <c r="R23" s="29">
        <f t="shared" si="4"/>
        <v>1135173.7397319551</v>
      </c>
      <c r="S23" s="11">
        <v>20000</v>
      </c>
      <c r="U23" s="11">
        <v>0</v>
      </c>
      <c r="X23" s="11">
        <v>0</v>
      </c>
      <c r="Y23" s="11">
        <v>0</v>
      </c>
      <c r="Z23" s="29">
        <f t="shared" si="5"/>
        <v>1155173.7397319551</v>
      </c>
      <c r="AD23" s="11" t="s">
        <v>1053</v>
      </c>
      <c r="AG23" s="11">
        <v>896110.61670000013</v>
      </c>
      <c r="AH23" s="11">
        <v>0</v>
      </c>
      <c r="AI23" s="11">
        <v>1105904.5268823537</v>
      </c>
      <c r="AJ23" s="11">
        <f t="shared" si="6"/>
        <v>53104.03284960147</v>
      </c>
      <c r="AM23" s="30">
        <v>2455</v>
      </c>
      <c r="AN23" s="2" t="s">
        <v>1053</v>
      </c>
      <c r="AO23" s="11">
        <v>1105904.5268823539</v>
      </c>
      <c r="AP23" s="11">
        <f t="shared" si="7"/>
        <v>-53104.032849601237</v>
      </c>
    </row>
    <row r="24" spans="1:43" s="11" customFormat="1" ht="12.75" x14ac:dyDescent="0.2">
      <c r="A24" s="9" t="s">
        <v>29</v>
      </c>
      <c r="B24" s="26">
        <v>5203</v>
      </c>
      <c r="C24" s="11">
        <v>1303675.0008879998</v>
      </c>
      <c r="D24" s="11">
        <v>121311.81771140057</v>
      </c>
      <c r="E24" s="11">
        <v>1375.6302271221532</v>
      </c>
      <c r="F24" s="11">
        <v>0</v>
      </c>
      <c r="G24" s="11">
        <v>6873.8698699386514</v>
      </c>
      <c r="H24" s="11">
        <v>0</v>
      </c>
      <c r="I24" s="11">
        <v>100000</v>
      </c>
      <c r="J24" s="11">
        <v>0</v>
      </c>
      <c r="K24" s="11">
        <v>4877.7419999999984</v>
      </c>
      <c r="L24" s="11">
        <v>0</v>
      </c>
      <c r="M24" s="29">
        <f t="shared" si="0"/>
        <v>1538114.0606964612</v>
      </c>
      <c r="N24" s="11">
        <v>0</v>
      </c>
      <c r="O24" s="11">
        <v>0</v>
      </c>
      <c r="P24" s="29">
        <f t="shared" si="3"/>
        <v>1538114.0606964612</v>
      </c>
      <c r="Q24" s="11">
        <v>-33059.03</v>
      </c>
      <c r="R24" s="29">
        <f t="shared" si="4"/>
        <v>1505055.0306964612</v>
      </c>
      <c r="S24" s="11">
        <v>0</v>
      </c>
      <c r="U24" s="11">
        <v>20752.75</v>
      </c>
      <c r="X24" s="11">
        <v>0</v>
      </c>
      <c r="Y24" s="11">
        <v>0</v>
      </c>
      <c r="Z24" s="29">
        <f t="shared" si="5"/>
        <v>1525807.7806964612</v>
      </c>
      <c r="AD24" s="11" t="s">
        <v>1054</v>
      </c>
      <c r="AG24" s="11">
        <v>1238215.5245000001</v>
      </c>
      <c r="AH24" s="11">
        <v>0</v>
      </c>
      <c r="AI24" s="11">
        <v>1485622.7295909501</v>
      </c>
      <c r="AJ24" s="11">
        <f t="shared" si="6"/>
        <v>52491.33110551117</v>
      </c>
      <c r="AM24" s="30">
        <v>5203</v>
      </c>
      <c r="AN24" s="2" t="s">
        <v>1054</v>
      </c>
      <c r="AO24" s="11">
        <v>1485622.72759095</v>
      </c>
      <c r="AP24" s="11">
        <f t="shared" si="7"/>
        <v>-52491.333105511265</v>
      </c>
    </row>
    <row r="25" spans="1:43" s="11" customFormat="1" ht="12.75" x14ac:dyDescent="0.2">
      <c r="A25" s="9" t="s">
        <v>30</v>
      </c>
      <c r="B25" s="26">
        <v>2451</v>
      </c>
      <c r="C25" s="11">
        <v>1348812.4245439998</v>
      </c>
      <c r="D25" s="11">
        <v>151327.83646503178</v>
      </c>
      <c r="E25" s="11">
        <v>0</v>
      </c>
      <c r="F25" s="11">
        <v>0</v>
      </c>
      <c r="G25" s="11">
        <v>9141.1563869158999</v>
      </c>
      <c r="H25" s="11">
        <v>0</v>
      </c>
      <c r="I25" s="11">
        <v>100000</v>
      </c>
      <c r="J25" s="11">
        <v>0</v>
      </c>
      <c r="K25" s="11">
        <v>22880.129999999997</v>
      </c>
      <c r="L25" s="11">
        <v>0</v>
      </c>
      <c r="M25" s="29">
        <f t="shared" si="0"/>
        <v>1632161.5473959474</v>
      </c>
      <c r="N25" s="11">
        <v>0</v>
      </c>
      <c r="O25" s="11">
        <v>0</v>
      </c>
      <c r="P25" s="29">
        <f t="shared" si="3"/>
        <v>1632161.5473959474</v>
      </c>
      <c r="Q25" s="11">
        <v>-34203.64</v>
      </c>
      <c r="R25" s="29">
        <f t="shared" si="4"/>
        <v>1597957.9073959475</v>
      </c>
      <c r="S25" s="11">
        <v>30336.555118110235</v>
      </c>
      <c r="U25" s="11">
        <v>17518.96</v>
      </c>
      <c r="X25" s="11">
        <v>115821.73523729797</v>
      </c>
      <c r="Y25" s="11">
        <v>0</v>
      </c>
      <c r="Z25" s="29">
        <f t="shared" si="5"/>
        <v>1761635.1577513558</v>
      </c>
      <c r="AD25" s="11" t="s">
        <v>1056</v>
      </c>
      <c r="AG25" s="11">
        <v>1205026.2424000001</v>
      </c>
      <c r="AH25" s="11">
        <v>0</v>
      </c>
      <c r="AI25" s="11">
        <v>1484569.6138552281</v>
      </c>
      <c r="AJ25" s="11">
        <f t="shared" si="6"/>
        <v>147591.93354071933</v>
      </c>
      <c r="AM25" s="30">
        <v>2451</v>
      </c>
      <c r="AN25" s="2" t="s">
        <v>1056</v>
      </c>
      <c r="AO25" s="11">
        <v>1484569.6138552278</v>
      </c>
      <c r="AP25" s="11">
        <f t="shared" si="7"/>
        <v>-147591.93354071956</v>
      </c>
    </row>
    <row r="26" spans="1:43" s="11" customFormat="1" ht="12.75" x14ac:dyDescent="0.2">
      <c r="A26" s="9" t="s">
        <v>31</v>
      </c>
      <c r="B26" s="26">
        <v>2409</v>
      </c>
      <c r="C26" s="11">
        <v>1444397.556992</v>
      </c>
      <c r="D26" s="11">
        <v>304623.65539205808</v>
      </c>
      <c r="E26" s="11">
        <v>0</v>
      </c>
      <c r="F26" s="11">
        <v>0</v>
      </c>
      <c r="G26" s="11">
        <v>179601.63763370289</v>
      </c>
      <c r="H26" s="11">
        <v>0</v>
      </c>
      <c r="I26" s="11">
        <v>100000</v>
      </c>
      <c r="J26" s="11">
        <v>0</v>
      </c>
      <c r="K26" s="11">
        <v>29920.17</v>
      </c>
      <c r="L26" s="11">
        <v>0</v>
      </c>
      <c r="M26" s="29">
        <f t="shared" si="0"/>
        <v>2058543.020017761</v>
      </c>
      <c r="N26" s="11">
        <v>41336.728513587732</v>
      </c>
      <c r="O26" s="11">
        <v>0</v>
      </c>
      <c r="P26" s="29">
        <f t="shared" si="3"/>
        <v>2099879.748531349</v>
      </c>
      <c r="Q26" s="11">
        <v>-36627.519999999997</v>
      </c>
      <c r="R26" s="29">
        <f t="shared" si="4"/>
        <v>2063252.228531349</v>
      </c>
      <c r="S26" s="11">
        <v>35913.484251968504</v>
      </c>
      <c r="U26" s="11">
        <v>30658.18</v>
      </c>
      <c r="X26" s="11">
        <v>0</v>
      </c>
      <c r="Y26" s="11">
        <v>0</v>
      </c>
      <c r="Z26" s="29">
        <f t="shared" si="5"/>
        <v>2129823.8927833177</v>
      </c>
      <c r="AD26" s="11" t="s">
        <v>1057</v>
      </c>
      <c r="AG26" s="11">
        <v>1409267.9784000001</v>
      </c>
      <c r="AH26" s="11">
        <v>110705.88207861548</v>
      </c>
      <c r="AI26" s="11">
        <v>2111935.7123332806</v>
      </c>
      <c r="AJ26" s="11">
        <f t="shared" si="6"/>
        <v>-12055.96380193159</v>
      </c>
      <c r="AM26" s="30">
        <v>2409</v>
      </c>
      <c r="AN26" s="2" t="s">
        <v>1057</v>
      </c>
      <c r="AO26" s="11">
        <v>2111935.7123369998</v>
      </c>
      <c r="AP26" s="11">
        <f t="shared" si="7"/>
        <v>12055.963805650827</v>
      </c>
    </row>
    <row r="27" spans="1:43" s="11" customFormat="1" ht="12.75" x14ac:dyDescent="0.2">
      <c r="A27" s="9" t="s">
        <v>98</v>
      </c>
      <c r="B27" s="26">
        <v>3158</v>
      </c>
      <c r="C27" s="11">
        <v>318617.10815999995</v>
      </c>
      <c r="D27" s="11">
        <v>69082.990925914666</v>
      </c>
      <c r="E27" s="11">
        <v>0</v>
      </c>
      <c r="F27" s="11">
        <v>0</v>
      </c>
      <c r="G27" s="11">
        <v>93589.114329113916</v>
      </c>
      <c r="H27" s="11">
        <v>0</v>
      </c>
      <c r="I27" s="11">
        <v>100000</v>
      </c>
      <c r="J27" s="11">
        <v>0</v>
      </c>
      <c r="K27" s="11">
        <v>1080.6759999999997</v>
      </c>
      <c r="L27" s="11">
        <v>0</v>
      </c>
      <c r="M27" s="29">
        <f t="shared" si="0"/>
        <v>582369.88941502851</v>
      </c>
      <c r="N27" s="11">
        <v>0</v>
      </c>
      <c r="O27" s="11">
        <v>0</v>
      </c>
      <c r="P27" s="29">
        <f t="shared" si="3"/>
        <v>582369.88941502851</v>
      </c>
      <c r="Q27" s="11">
        <v>-8079.5999999999995</v>
      </c>
      <c r="R27" s="29">
        <f t="shared" si="4"/>
        <v>574290.28941502853</v>
      </c>
      <c r="S27" s="11">
        <v>37884.645669291342</v>
      </c>
      <c r="U27" s="11">
        <v>5756.23</v>
      </c>
      <c r="X27" s="11">
        <v>107888.57112776386</v>
      </c>
      <c r="Y27" s="11">
        <v>0</v>
      </c>
      <c r="Z27" s="29">
        <f t="shared" si="5"/>
        <v>725819.73621208372</v>
      </c>
      <c r="AD27" s="11" t="s">
        <v>1058</v>
      </c>
      <c r="AG27" s="11">
        <v>306362.60400000005</v>
      </c>
      <c r="AH27" s="11">
        <v>0</v>
      </c>
      <c r="AI27" s="11">
        <v>569345.0596576602</v>
      </c>
      <c r="AJ27" s="11">
        <f t="shared" si="6"/>
        <v>13024.829757368308</v>
      </c>
      <c r="AM27" s="30">
        <v>3158</v>
      </c>
      <c r="AN27" s="2" t="s">
        <v>1058</v>
      </c>
      <c r="AO27" s="11">
        <v>569345.06365766015</v>
      </c>
      <c r="AP27" s="11">
        <f t="shared" si="7"/>
        <v>-13024.825757368351</v>
      </c>
    </row>
    <row r="28" spans="1:43" s="11" customFormat="1" ht="12.75" x14ac:dyDescent="0.2">
      <c r="A28" s="9" t="s">
        <v>32</v>
      </c>
      <c r="B28" s="26">
        <v>2619</v>
      </c>
      <c r="C28" s="11">
        <v>587007.76940866653</v>
      </c>
      <c r="D28" s="11">
        <v>244419.37245482486</v>
      </c>
      <c r="E28" s="11">
        <v>1445.2833756441221</v>
      </c>
      <c r="F28" s="11">
        <v>0</v>
      </c>
      <c r="G28" s="11">
        <v>21257.13269101128</v>
      </c>
      <c r="H28" s="11">
        <v>0</v>
      </c>
      <c r="I28" s="11">
        <v>100000</v>
      </c>
      <c r="J28" s="11">
        <v>0</v>
      </c>
      <c r="K28" s="11">
        <v>20491.544999999998</v>
      </c>
      <c r="L28" s="11">
        <v>0</v>
      </c>
      <c r="M28" s="29">
        <f t="shared" si="0"/>
        <v>974621.10293014685</v>
      </c>
      <c r="N28" s="11">
        <v>12438.647196252015</v>
      </c>
      <c r="O28" s="11">
        <v>0</v>
      </c>
      <c r="P28" s="29">
        <f t="shared" si="3"/>
        <v>987059.75012639887</v>
      </c>
      <c r="Q28" s="11">
        <v>-14885.540833333333</v>
      </c>
      <c r="R28" s="29">
        <f t="shared" si="4"/>
        <v>972174.20929306559</v>
      </c>
      <c r="S28" s="11">
        <v>5000</v>
      </c>
      <c r="U28" s="11">
        <v>22524.38</v>
      </c>
      <c r="X28" s="11">
        <v>99376.625564894275</v>
      </c>
      <c r="Y28" s="11">
        <v>0</v>
      </c>
      <c r="Z28" s="29">
        <f t="shared" si="5"/>
        <v>1099075.2148579599</v>
      </c>
      <c r="AD28" s="11" t="s">
        <v>1059</v>
      </c>
      <c r="AG28" s="11">
        <v>520816.42680000007</v>
      </c>
      <c r="AH28" s="11">
        <v>0</v>
      </c>
      <c r="AI28" s="11">
        <v>906883.82676396391</v>
      </c>
      <c r="AJ28" s="11">
        <f t="shared" si="6"/>
        <v>80175.923362434958</v>
      </c>
      <c r="AM28" s="30">
        <v>2619</v>
      </c>
      <c r="AN28" s="2" t="s">
        <v>1059</v>
      </c>
      <c r="AO28" s="11">
        <v>906883.82676396403</v>
      </c>
      <c r="AP28" s="11">
        <f t="shared" si="7"/>
        <v>-80175.923362434842</v>
      </c>
    </row>
    <row r="29" spans="1:43" s="11" customFormat="1" ht="12.75" x14ac:dyDescent="0.2">
      <c r="A29" s="9" t="s">
        <v>33</v>
      </c>
      <c r="B29" s="1023">
        <v>2518</v>
      </c>
      <c r="C29" s="11">
        <v>836369.90891999996</v>
      </c>
      <c r="D29" s="11">
        <v>269498.50577151973</v>
      </c>
      <c r="E29" s="11">
        <v>2478.2747703488371</v>
      </c>
      <c r="F29" s="11">
        <v>0</v>
      </c>
      <c r="G29" s="11">
        <v>129894.80996739118</v>
      </c>
      <c r="H29" s="11">
        <v>84577.440000000075</v>
      </c>
      <c r="I29" s="11">
        <v>100000</v>
      </c>
      <c r="J29" s="11">
        <v>0</v>
      </c>
      <c r="K29" s="11">
        <v>8201.4699999999993</v>
      </c>
      <c r="L29" s="11">
        <v>0</v>
      </c>
      <c r="M29" s="29">
        <f t="shared" si="0"/>
        <v>1431020.4094292598</v>
      </c>
      <c r="N29" s="11">
        <v>0</v>
      </c>
      <c r="O29" s="11">
        <v>0</v>
      </c>
      <c r="P29" s="29">
        <f t="shared" si="3"/>
        <v>1431020.4094292598</v>
      </c>
      <c r="Q29" s="11">
        <v>-21208.95</v>
      </c>
      <c r="R29" s="29">
        <f t="shared" si="4"/>
        <v>1409811.4594292599</v>
      </c>
      <c r="S29" s="11">
        <v>47644.271653543306</v>
      </c>
      <c r="U29" s="11">
        <v>13109.63</v>
      </c>
      <c r="X29" s="11">
        <v>23857.017079630896</v>
      </c>
      <c r="Y29" s="11">
        <v>0</v>
      </c>
      <c r="Z29" s="29">
        <f t="shared" si="5"/>
        <v>1494422.3781624339</v>
      </c>
      <c r="AD29" s="11" t="s">
        <v>1060</v>
      </c>
      <c r="AG29" s="11">
        <v>868027.37800000003</v>
      </c>
      <c r="AH29" s="11">
        <v>0</v>
      </c>
      <c r="AI29" s="11">
        <v>1508314.0545060947</v>
      </c>
      <c r="AJ29" s="11">
        <f t="shared" si="6"/>
        <v>-77293.64507683483</v>
      </c>
      <c r="AM29" s="30">
        <v>2518</v>
      </c>
      <c r="AN29" s="2" t="s">
        <v>1060</v>
      </c>
      <c r="AO29" s="11">
        <v>1508314.0545060949</v>
      </c>
      <c r="AP29" s="11">
        <f t="shared" si="7"/>
        <v>77293.645076835062</v>
      </c>
      <c r="AQ29" s="30"/>
    </row>
    <row r="30" spans="1:43" s="11" customFormat="1" ht="12.75" x14ac:dyDescent="0.2">
      <c r="A30" s="9" t="s">
        <v>34</v>
      </c>
      <c r="B30" s="26">
        <v>2457</v>
      </c>
      <c r="C30" s="11">
        <v>971782.1798879999</v>
      </c>
      <c r="D30" s="11">
        <v>123718.43766753576</v>
      </c>
      <c r="E30" s="11">
        <v>6803.2597829670322</v>
      </c>
      <c r="F30" s="11">
        <v>0</v>
      </c>
      <c r="G30" s="11">
        <v>33373.618199999895</v>
      </c>
      <c r="H30" s="11">
        <v>0</v>
      </c>
      <c r="I30" s="11">
        <v>100000</v>
      </c>
      <c r="J30" s="11">
        <v>0</v>
      </c>
      <c r="K30" s="11">
        <v>15965.804999999998</v>
      </c>
      <c r="L30" s="11">
        <v>0</v>
      </c>
      <c r="M30" s="29">
        <f t="shared" si="0"/>
        <v>1251643.3005385024</v>
      </c>
      <c r="N30" s="11">
        <v>0</v>
      </c>
      <c r="O30" s="11">
        <v>0</v>
      </c>
      <c r="P30" s="29">
        <f t="shared" si="3"/>
        <v>1251643.3005385024</v>
      </c>
      <c r="Q30" s="11">
        <v>-24642.78</v>
      </c>
      <c r="R30" s="29">
        <f t="shared" si="4"/>
        <v>1227000.5205385024</v>
      </c>
      <c r="S30" s="11">
        <v>0</v>
      </c>
      <c r="U30" s="11">
        <v>0</v>
      </c>
      <c r="X30" s="11">
        <v>0</v>
      </c>
      <c r="Y30" s="11">
        <v>0</v>
      </c>
      <c r="Z30" s="29">
        <f t="shared" si="5"/>
        <v>1227000.5205385024</v>
      </c>
      <c r="AD30" s="11" t="s">
        <v>1061</v>
      </c>
      <c r="AG30" s="11">
        <v>924193.85540000012</v>
      </c>
      <c r="AH30" s="11">
        <v>0</v>
      </c>
      <c r="AI30" s="11">
        <v>1191595.9269630609</v>
      </c>
      <c r="AJ30" s="11">
        <f t="shared" si="6"/>
        <v>60047.373575441539</v>
      </c>
      <c r="AM30" s="30">
        <v>2457</v>
      </c>
      <c r="AN30" s="2" t="s">
        <v>1061</v>
      </c>
      <c r="AO30" s="11">
        <v>1191595.9269630609</v>
      </c>
      <c r="AP30" s="11">
        <f t="shared" si="7"/>
        <v>-60047.373575441539</v>
      </c>
    </row>
    <row r="31" spans="1:43" s="11" customFormat="1" ht="12.75" x14ac:dyDescent="0.2">
      <c r="A31" s="9" t="s">
        <v>99</v>
      </c>
      <c r="B31" s="26">
        <v>2010</v>
      </c>
      <c r="C31" s="11">
        <v>560235.08184799994</v>
      </c>
      <c r="D31" s="11">
        <v>185046.62005054636</v>
      </c>
      <c r="E31" s="11">
        <v>0</v>
      </c>
      <c r="F31" s="11">
        <v>0</v>
      </c>
      <c r="G31" s="11">
        <v>32099.525653333378</v>
      </c>
      <c r="H31" s="11">
        <v>0</v>
      </c>
      <c r="I31" s="11">
        <v>100000</v>
      </c>
      <c r="J31" s="11">
        <v>0</v>
      </c>
      <c r="K31" s="11">
        <v>2992.0169999999998</v>
      </c>
      <c r="L31" s="11">
        <v>0</v>
      </c>
      <c r="M31" s="29">
        <f t="shared" si="0"/>
        <v>880373.2445518797</v>
      </c>
      <c r="N31" s="11">
        <v>51172.725021714577</v>
      </c>
      <c r="O31" s="11">
        <v>0</v>
      </c>
      <c r="P31" s="29">
        <f t="shared" si="3"/>
        <v>931545.96957359428</v>
      </c>
      <c r="Q31" s="11">
        <v>0</v>
      </c>
      <c r="R31" s="29">
        <f t="shared" si="4"/>
        <v>931545.96957359428</v>
      </c>
      <c r="S31" s="11">
        <v>5000</v>
      </c>
      <c r="U31" s="11">
        <v>10010.83</v>
      </c>
      <c r="X31" s="11">
        <v>99941.304439604486</v>
      </c>
      <c r="Y31" s="11">
        <v>0</v>
      </c>
      <c r="Z31" s="29">
        <f t="shared" si="5"/>
        <v>1046498.1040131988</v>
      </c>
      <c r="AD31" s="11" t="s">
        <v>1062</v>
      </c>
      <c r="AG31" s="11">
        <v>520816.42680000007</v>
      </c>
      <c r="AH31" s="11">
        <v>61092.583484608564</v>
      </c>
      <c r="AI31" s="11">
        <v>903999.73068726656</v>
      </c>
      <c r="AJ31" s="11">
        <f t="shared" si="6"/>
        <v>27546.238886327716</v>
      </c>
      <c r="AM31" s="30">
        <v>2010</v>
      </c>
      <c r="AN31" s="2" t="s">
        <v>1062</v>
      </c>
      <c r="AO31" s="11">
        <v>903999.73068349995</v>
      </c>
      <c r="AP31" s="11">
        <f t="shared" si="7"/>
        <v>-27546.238890094333</v>
      </c>
    </row>
    <row r="32" spans="1:43" s="11" customFormat="1" ht="12.75" x14ac:dyDescent="0.2">
      <c r="A32" s="9" t="s">
        <v>35</v>
      </c>
      <c r="B32" s="26">
        <v>2002</v>
      </c>
      <c r="C32" s="11">
        <v>1141711.30424</v>
      </c>
      <c r="D32" s="11">
        <v>44150.837308183312</v>
      </c>
      <c r="E32" s="11">
        <v>1356.3710512820512</v>
      </c>
      <c r="F32" s="11">
        <v>0</v>
      </c>
      <c r="G32" s="11">
        <v>15998.501478260863</v>
      </c>
      <c r="H32" s="11">
        <v>0</v>
      </c>
      <c r="I32" s="11">
        <v>100000</v>
      </c>
      <c r="J32" s="11">
        <v>0</v>
      </c>
      <c r="K32" s="11">
        <v>44000.25</v>
      </c>
      <c r="L32" s="11">
        <v>0</v>
      </c>
      <c r="M32" s="29">
        <f t="shared" si="0"/>
        <v>1347217.2640777263</v>
      </c>
      <c r="N32" s="11">
        <v>0</v>
      </c>
      <c r="O32" s="11">
        <v>0</v>
      </c>
      <c r="P32" s="29">
        <f t="shared" si="3"/>
        <v>1347217.2640777263</v>
      </c>
      <c r="Q32" s="11">
        <v>-28951.899999999998</v>
      </c>
      <c r="R32" s="29">
        <f t="shared" si="4"/>
        <v>1318265.3640777264</v>
      </c>
      <c r="S32" s="11">
        <v>10000</v>
      </c>
      <c r="U32" s="11">
        <v>76582.880000000005</v>
      </c>
      <c r="X32" s="11">
        <v>96990.952334520131</v>
      </c>
      <c r="Y32" s="11">
        <v>0</v>
      </c>
      <c r="Z32" s="29">
        <f t="shared" si="5"/>
        <v>1501839.1964122464</v>
      </c>
      <c r="AD32" s="11" t="s">
        <v>1064</v>
      </c>
      <c r="AG32" s="11">
        <v>1097799.331</v>
      </c>
      <c r="AH32" s="11">
        <v>0</v>
      </c>
      <c r="AI32" s="11">
        <v>1306612.914981606</v>
      </c>
      <c r="AJ32" s="11">
        <f t="shared" si="6"/>
        <v>40604.349096120335</v>
      </c>
      <c r="AM32" s="30">
        <v>2002</v>
      </c>
      <c r="AN32" s="2" t="s">
        <v>1064</v>
      </c>
      <c r="AO32" s="11">
        <v>1306612.9149816057</v>
      </c>
      <c r="AP32" s="11">
        <f t="shared" si="7"/>
        <v>-40604.349096120568</v>
      </c>
    </row>
    <row r="33" spans="1:43" s="11" customFormat="1" ht="12.75" x14ac:dyDescent="0.2">
      <c r="A33" s="9" t="s">
        <v>36</v>
      </c>
      <c r="B33" s="26">
        <v>3544</v>
      </c>
      <c r="C33" s="11">
        <v>1412535.8461759998</v>
      </c>
      <c r="D33" s="11">
        <v>394700.13321867283</v>
      </c>
      <c r="E33" s="11">
        <v>13356.424571428572</v>
      </c>
      <c r="F33" s="11">
        <v>0</v>
      </c>
      <c r="G33" s="11">
        <v>219909.08263728805</v>
      </c>
      <c r="H33" s="11">
        <v>0</v>
      </c>
      <c r="I33" s="11">
        <v>100000</v>
      </c>
      <c r="J33" s="11">
        <v>0</v>
      </c>
      <c r="K33" s="11">
        <v>58331.759999999995</v>
      </c>
      <c r="L33" s="11">
        <v>131811.16</v>
      </c>
      <c r="M33" s="29">
        <f t="shared" si="0"/>
        <v>2330644.4066033894</v>
      </c>
      <c r="N33" s="11">
        <v>0</v>
      </c>
      <c r="O33" s="11">
        <v>0</v>
      </c>
      <c r="P33" s="29">
        <f t="shared" si="3"/>
        <v>2330644.4066033894</v>
      </c>
      <c r="Q33" s="11">
        <v>-35819.56</v>
      </c>
      <c r="R33" s="29">
        <f t="shared" si="4"/>
        <v>2294824.8466033894</v>
      </c>
      <c r="S33" s="11">
        <v>10000</v>
      </c>
      <c r="U33" s="11">
        <v>104112.67</v>
      </c>
      <c r="X33" s="11">
        <v>141211.81065281463</v>
      </c>
      <c r="Y33" s="11">
        <v>0</v>
      </c>
      <c r="Z33" s="29">
        <f t="shared" si="5"/>
        <v>2550149.3272562041</v>
      </c>
      <c r="AD33" s="11" t="s">
        <v>1065</v>
      </c>
      <c r="AG33" s="11">
        <v>1370972.6529000001</v>
      </c>
      <c r="AH33" s="11">
        <v>7073.3412139154971</v>
      </c>
      <c r="AI33" s="11">
        <v>2276475.9013045901</v>
      </c>
      <c r="AJ33" s="11">
        <f t="shared" si="6"/>
        <v>54168.505298799369</v>
      </c>
      <c r="AM33" s="30">
        <v>3544</v>
      </c>
      <c r="AN33" s="2" t="s">
        <v>1065</v>
      </c>
      <c r="AO33" s="11">
        <v>2276475.9013359998</v>
      </c>
      <c r="AP33" s="11">
        <f t="shared" si="7"/>
        <v>-54168.505267389584</v>
      </c>
    </row>
    <row r="34" spans="1:43" s="11" customFormat="1" ht="12.75" x14ac:dyDescent="0.2">
      <c r="A34" s="9" t="s">
        <v>100</v>
      </c>
      <c r="B34" s="26">
        <v>2006</v>
      </c>
      <c r="C34" s="11">
        <v>764681.05958399992</v>
      </c>
      <c r="D34" s="11">
        <v>14876.788480009202</v>
      </c>
      <c r="E34" s="11">
        <v>0</v>
      </c>
      <c r="F34" s="11">
        <v>0</v>
      </c>
      <c r="G34" s="11">
        <v>5381.0335021834107</v>
      </c>
      <c r="H34" s="11">
        <v>0</v>
      </c>
      <c r="I34" s="11">
        <v>100000</v>
      </c>
      <c r="J34" s="11">
        <v>0</v>
      </c>
      <c r="K34" s="11">
        <v>25897.289999999997</v>
      </c>
      <c r="L34" s="11">
        <v>0</v>
      </c>
      <c r="M34" s="29">
        <f t="shared" si="0"/>
        <v>910836.17156619253</v>
      </c>
      <c r="N34" s="11">
        <v>0</v>
      </c>
      <c r="O34" s="11">
        <v>0</v>
      </c>
      <c r="P34" s="29">
        <f t="shared" si="3"/>
        <v>910836.17156619253</v>
      </c>
      <c r="Q34" s="11">
        <v>-19391.04</v>
      </c>
      <c r="R34" s="29">
        <f t="shared" si="4"/>
        <v>891445.13156619249</v>
      </c>
      <c r="S34" s="11">
        <v>28125.01968503937</v>
      </c>
      <c r="U34" s="11">
        <v>88220.47</v>
      </c>
      <c r="X34" s="11">
        <v>103437.35522482838</v>
      </c>
      <c r="Y34" s="11">
        <v>0</v>
      </c>
      <c r="Z34" s="29">
        <f t="shared" si="5"/>
        <v>1111227.9764760602</v>
      </c>
      <c r="AD34" s="11" t="s">
        <v>1066</v>
      </c>
      <c r="AG34" s="11">
        <v>671444.70710000012</v>
      </c>
      <c r="AH34" s="11">
        <v>15661.202280907892</v>
      </c>
      <c r="AI34" s="11">
        <v>823915.78450939595</v>
      </c>
      <c r="AJ34" s="11">
        <f t="shared" si="6"/>
        <v>86920.387056796579</v>
      </c>
      <c r="AM34" s="30">
        <v>2006</v>
      </c>
      <c r="AN34" s="2" t="s">
        <v>1066</v>
      </c>
      <c r="AO34" s="11">
        <v>823915.78455099999</v>
      </c>
      <c r="AP34" s="11">
        <f t="shared" si="7"/>
        <v>-86920.387015192537</v>
      </c>
    </row>
    <row r="35" spans="1:43" s="11" customFormat="1" ht="12.75" x14ac:dyDescent="0.2">
      <c r="A35" s="9" t="s">
        <v>37</v>
      </c>
      <c r="B35" s="26">
        <v>2434</v>
      </c>
      <c r="C35" s="11">
        <v>1400587.70462</v>
      </c>
      <c r="D35" s="11">
        <v>376519.49334112532</v>
      </c>
      <c r="E35" s="11">
        <v>9151.5616570512811</v>
      </c>
      <c r="F35" s="11">
        <v>0</v>
      </c>
      <c r="G35" s="11">
        <v>17560.166708237979</v>
      </c>
      <c r="H35" s="11">
        <v>15373.865310734165</v>
      </c>
      <c r="I35" s="11">
        <v>100000</v>
      </c>
      <c r="J35" s="11">
        <v>0</v>
      </c>
      <c r="K35" s="11">
        <v>44251.68</v>
      </c>
      <c r="L35" s="11">
        <v>141954.6</v>
      </c>
      <c r="M35" s="29">
        <f t="shared" si="0"/>
        <v>2105399.0716371485</v>
      </c>
      <c r="N35" s="11">
        <v>86223.582077238942</v>
      </c>
      <c r="O35" s="11">
        <v>0</v>
      </c>
      <c r="P35" s="29">
        <f t="shared" si="3"/>
        <v>2191622.6537143877</v>
      </c>
      <c r="Q35" s="11">
        <v>-35516.574999999997</v>
      </c>
      <c r="R35" s="29">
        <f t="shared" si="4"/>
        <v>2156106.0787143875</v>
      </c>
      <c r="S35" s="11">
        <v>60432.736220472441</v>
      </c>
      <c r="T35" s="11">
        <v>260890.035</v>
      </c>
      <c r="U35" s="11">
        <v>11512.46</v>
      </c>
      <c r="X35" s="11">
        <v>219789.37669034526</v>
      </c>
      <c r="Y35" s="11">
        <v>0</v>
      </c>
      <c r="Z35" s="29">
        <f t="shared" si="5"/>
        <v>2708730.6866252054</v>
      </c>
      <c r="AD35" s="11" t="s">
        <v>1067</v>
      </c>
      <c r="AG35" s="11">
        <v>1176943.0037</v>
      </c>
      <c r="AH35" s="11">
        <v>16678.063036302337</v>
      </c>
      <c r="AI35" s="11">
        <v>1883139.5265067916</v>
      </c>
      <c r="AJ35" s="11">
        <f t="shared" si="6"/>
        <v>308483.12720759609</v>
      </c>
      <c r="AM35" s="30">
        <v>2434</v>
      </c>
      <c r="AN35" s="2" t="s">
        <v>1067</v>
      </c>
      <c r="AO35" s="11">
        <v>1883139.5265299999</v>
      </c>
      <c r="AP35" s="11">
        <f t="shared" si="7"/>
        <v>-308483.12718438776</v>
      </c>
    </row>
    <row r="36" spans="1:43" s="11" customFormat="1" ht="12.75" x14ac:dyDescent="0.2">
      <c r="A36" s="9" t="s">
        <v>38</v>
      </c>
      <c r="B36" s="26">
        <v>2522</v>
      </c>
      <c r="C36" s="11">
        <v>1048781.31436</v>
      </c>
      <c r="D36" s="11">
        <v>74750.684215462912</v>
      </c>
      <c r="E36" s="11">
        <v>0</v>
      </c>
      <c r="F36" s="11">
        <v>0</v>
      </c>
      <c r="G36" s="11">
        <v>9080.9959970149102</v>
      </c>
      <c r="H36" s="11">
        <v>0</v>
      </c>
      <c r="I36" s="11">
        <v>100000</v>
      </c>
      <c r="J36" s="11">
        <v>0</v>
      </c>
      <c r="K36" s="11">
        <v>13954.365</v>
      </c>
      <c r="L36" s="11">
        <v>0</v>
      </c>
      <c r="M36" s="29">
        <f t="shared" si="0"/>
        <v>1246567.3595724779</v>
      </c>
      <c r="N36" s="11">
        <v>0</v>
      </c>
      <c r="O36" s="11">
        <v>0</v>
      </c>
      <c r="P36" s="29">
        <f t="shared" si="3"/>
        <v>1246567.3595724779</v>
      </c>
      <c r="Q36" s="11">
        <v>-26595.35</v>
      </c>
      <c r="R36" s="29">
        <f t="shared" si="4"/>
        <v>1219972.0095724778</v>
      </c>
      <c r="S36" s="11">
        <v>10000</v>
      </c>
      <c r="U36" s="11">
        <v>19521.13</v>
      </c>
      <c r="X36" s="11">
        <v>0</v>
      </c>
      <c r="Y36" s="11">
        <v>0</v>
      </c>
      <c r="Z36" s="29">
        <f t="shared" si="5"/>
        <v>1249493.1395724777</v>
      </c>
      <c r="AD36" s="11" t="s">
        <v>1068</v>
      </c>
      <c r="AG36" s="11">
        <v>990572.41960000014</v>
      </c>
      <c r="AH36" s="11">
        <v>0</v>
      </c>
      <c r="AI36" s="11">
        <v>1160654.7519757382</v>
      </c>
      <c r="AJ36" s="11">
        <f t="shared" si="6"/>
        <v>85912.607596739661</v>
      </c>
      <c r="AM36" s="30">
        <v>2522</v>
      </c>
      <c r="AN36" s="2" t="s">
        <v>1068</v>
      </c>
      <c r="AO36" s="11">
        <v>1160654.7519757382</v>
      </c>
      <c r="AP36" s="11">
        <f t="shared" si="7"/>
        <v>-85912.607596739661</v>
      </c>
      <c r="AQ36" s="30"/>
    </row>
    <row r="37" spans="1:43" s="11" customFormat="1" ht="12.75" x14ac:dyDescent="0.2">
      <c r="A37" s="9" t="s">
        <v>39</v>
      </c>
      <c r="B37" s="26">
        <v>2436</v>
      </c>
      <c r="C37" s="11">
        <v>921334.47109599994</v>
      </c>
      <c r="D37" s="11">
        <v>111910.87552562324</v>
      </c>
      <c r="E37" s="11">
        <v>1377.0269645161291</v>
      </c>
      <c r="F37" s="11">
        <v>0</v>
      </c>
      <c r="G37" s="11">
        <v>13174.795808191138</v>
      </c>
      <c r="H37" s="11">
        <v>0</v>
      </c>
      <c r="I37" s="11">
        <v>100000</v>
      </c>
      <c r="J37" s="11">
        <v>0</v>
      </c>
      <c r="K37" s="11">
        <v>13200.074999999999</v>
      </c>
      <c r="L37" s="11">
        <v>0</v>
      </c>
      <c r="M37" s="29">
        <f t="shared" si="0"/>
        <v>1160997.2443943305</v>
      </c>
      <c r="N37" s="11">
        <v>0</v>
      </c>
      <c r="O37" s="11">
        <v>0</v>
      </c>
      <c r="P37" s="29">
        <f t="shared" si="3"/>
        <v>1160997.2443943305</v>
      </c>
      <c r="Q37" s="11">
        <v>-23363.51</v>
      </c>
      <c r="R37" s="29">
        <f t="shared" si="4"/>
        <v>1137633.7343943305</v>
      </c>
      <c r="S37" s="11">
        <v>12788.464566929135</v>
      </c>
      <c r="T37" s="11">
        <v>200860.35</v>
      </c>
      <c r="U37" s="11">
        <v>25027.08</v>
      </c>
      <c r="X37" s="11">
        <v>0</v>
      </c>
      <c r="Y37" s="11">
        <v>0</v>
      </c>
      <c r="Z37" s="29">
        <f t="shared" si="5"/>
        <v>1376309.6289612597</v>
      </c>
      <c r="AD37" s="11" t="s">
        <v>1069</v>
      </c>
      <c r="AG37" s="11">
        <v>857815.29120000009</v>
      </c>
      <c r="AH37" s="11">
        <v>998.27332781895529</v>
      </c>
      <c r="AI37" s="11">
        <v>1075670.8306228933</v>
      </c>
      <c r="AJ37" s="11">
        <f t="shared" si="6"/>
        <v>85326.413771437248</v>
      </c>
      <c r="AM37" s="30">
        <v>2436</v>
      </c>
      <c r="AN37" s="2" t="s">
        <v>1069</v>
      </c>
      <c r="AO37" s="11">
        <v>1075670.8305830001</v>
      </c>
      <c r="AP37" s="11">
        <f t="shared" si="7"/>
        <v>-85326.413811330451</v>
      </c>
    </row>
    <row r="38" spans="1:43" s="11" customFormat="1" ht="12.75" x14ac:dyDescent="0.2">
      <c r="A38" s="9" t="s">
        <v>40</v>
      </c>
      <c r="B38" s="26">
        <v>2452</v>
      </c>
      <c r="C38" s="11">
        <v>517752.80075999995</v>
      </c>
      <c r="D38" s="11">
        <v>107023.52846809843</v>
      </c>
      <c r="E38" s="11">
        <v>0</v>
      </c>
      <c r="F38" s="11">
        <v>0</v>
      </c>
      <c r="G38" s="11">
        <v>11057.524102409645</v>
      </c>
      <c r="H38" s="11">
        <v>0</v>
      </c>
      <c r="I38" s="11">
        <v>100000</v>
      </c>
      <c r="J38" s="11">
        <v>0</v>
      </c>
      <c r="K38" s="11">
        <v>11565.779999999999</v>
      </c>
      <c r="L38" s="11">
        <v>0</v>
      </c>
      <c r="M38" s="29">
        <f t="shared" si="0"/>
        <v>747399.63333050802</v>
      </c>
      <c r="N38" s="11">
        <v>0</v>
      </c>
      <c r="O38" s="11">
        <v>0</v>
      </c>
      <c r="P38" s="29">
        <f t="shared" si="3"/>
        <v>747399.63333050802</v>
      </c>
      <c r="Q38" s="11">
        <v>-13129.35</v>
      </c>
      <c r="R38" s="29">
        <f t="shared" si="4"/>
        <v>734270.28333050804</v>
      </c>
      <c r="S38" s="11">
        <v>6394.2322834645674</v>
      </c>
      <c r="U38" s="11">
        <v>19521.13</v>
      </c>
      <c r="X38" s="11">
        <v>50211.386784765549</v>
      </c>
      <c r="Y38" s="11">
        <v>0</v>
      </c>
      <c r="Z38" s="29">
        <f t="shared" si="5"/>
        <v>810397.03239873808</v>
      </c>
      <c r="AD38" s="11" t="s">
        <v>1070</v>
      </c>
      <c r="AG38" s="11">
        <v>515710.38340000005</v>
      </c>
      <c r="AH38" s="11">
        <v>0</v>
      </c>
      <c r="AI38" s="11">
        <v>741456.8020864916</v>
      </c>
      <c r="AJ38" s="11">
        <f t="shared" si="6"/>
        <v>5942.8312440164154</v>
      </c>
      <c r="AM38" s="30">
        <v>2452</v>
      </c>
      <c r="AN38" s="2" t="s">
        <v>1070</v>
      </c>
      <c r="AO38" s="11">
        <v>741456.80208649172</v>
      </c>
      <c r="AP38" s="11">
        <f t="shared" si="7"/>
        <v>-5942.831244016299</v>
      </c>
      <c r="AQ38" s="30"/>
    </row>
    <row r="39" spans="1:43" s="11" customFormat="1" ht="12.75" x14ac:dyDescent="0.2">
      <c r="A39" s="9" t="s">
        <v>41</v>
      </c>
      <c r="B39" s="26">
        <v>2627</v>
      </c>
      <c r="C39" s="11">
        <v>1046126.171792</v>
      </c>
      <c r="D39" s="11">
        <v>40974.595081402345</v>
      </c>
      <c r="E39" s="11">
        <v>0</v>
      </c>
      <c r="F39" s="11">
        <v>0</v>
      </c>
      <c r="G39" s="11">
        <v>29450.645779518058</v>
      </c>
      <c r="H39" s="11">
        <v>0</v>
      </c>
      <c r="I39" s="11">
        <v>100000</v>
      </c>
      <c r="J39" s="11">
        <v>0</v>
      </c>
      <c r="K39" s="11">
        <v>18102.96</v>
      </c>
      <c r="L39" s="11">
        <v>0</v>
      </c>
      <c r="M39" s="29">
        <f t="shared" si="0"/>
        <v>1234654.3726529202</v>
      </c>
      <c r="N39" s="11">
        <v>0</v>
      </c>
      <c r="O39" s="11">
        <v>0</v>
      </c>
      <c r="P39" s="29">
        <f t="shared" si="3"/>
        <v>1234654.3726529202</v>
      </c>
      <c r="Q39" s="11">
        <v>-26528.02</v>
      </c>
      <c r="R39" s="29">
        <f t="shared" si="4"/>
        <v>1208126.3526529202</v>
      </c>
      <c r="S39" s="11">
        <v>10000</v>
      </c>
      <c r="U39" s="11">
        <v>8329.2099999999991</v>
      </c>
      <c r="X39" s="11">
        <v>0</v>
      </c>
      <c r="Y39" s="11">
        <v>0</v>
      </c>
      <c r="Z39" s="29">
        <f t="shared" si="5"/>
        <v>1226455.5626529201</v>
      </c>
      <c r="AD39" s="11" t="s">
        <v>1071</v>
      </c>
      <c r="AG39" s="11">
        <v>1000784.5064000001</v>
      </c>
      <c r="AH39" s="11">
        <v>0</v>
      </c>
      <c r="AI39" s="11">
        <v>1181094.3178910282</v>
      </c>
      <c r="AJ39" s="11">
        <f t="shared" si="6"/>
        <v>53560.054761891952</v>
      </c>
      <c r="AM39" s="30">
        <v>2627</v>
      </c>
      <c r="AN39" s="2" t="s">
        <v>1071</v>
      </c>
      <c r="AO39" s="11">
        <v>1181094.3178910282</v>
      </c>
      <c r="AP39" s="11">
        <f t="shared" si="7"/>
        <v>-53560.054761891952</v>
      </c>
    </row>
    <row r="40" spans="1:43" s="11" customFormat="1" ht="12.75" x14ac:dyDescent="0.2">
      <c r="A40" s="9" t="s">
        <v>42</v>
      </c>
      <c r="B40" s="26">
        <v>2009</v>
      </c>
      <c r="C40" s="11">
        <v>730164.2061999999</v>
      </c>
      <c r="D40" s="11">
        <v>239307.42576284808</v>
      </c>
      <c r="E40" s="11">
        <v>0</v>
      </c>
      <c r="F40" s="11">
        <v>0</v>
      </c>
      <c r="G40" s="11">
        <v>18025.031106382987</v>
      </c>
      <c r="H40" s="11">
        <v>0</v>
      </c>
      <c r="I40" s="11">
        <v>100000</v>
      </c>
      <c r="J40" s="11">
        <v>0</v>
      </c>
      <c r="K40" s="11">
        <v>2464.0139999999992</v>
      </c>
      <c r="L40" s="11">
        <v>0</v>
      </c>
      <c r="M40" s="29">
        <f t="shared" si="0"/>
        <v>1089960.6770692309</v>
      </c>
      <c r="N40" s="11">
        <v>5949.124593038694</v>
      </c>
      <c r="O40" s="11">
        <v>0</v>
      </c>
      <c r="P40" s="29">
        <f t="shared" si="3"/>
        <v>1095909.8016622695</v>
      </c>
      <c r="Q40" s="11">
        <v>0</v>
      </c>
      <c r="R40" s="29">
        <f t="shared" si="4"/>
        <v>1095909.8016622695</v>
      </c>
      <c r="S40" s="11">
        <v>37884.645669291342</v>
      </c>
      <c r="U40" s="11">
        <v>4254.6000000000004</v>
      </c>
      <c r="X40" s="11">
        <v>0</v>
      </c>
      <c r="Y40" s="11">
        <v>0</v>
      </c>
      <c r="Z40" s="29">
        <f t="shared" si="5"/>
        <v>1138049.0473315609</v>
      </c>
      <c r="AD40" s="11" t="s">
        <v>1072</v>
      </c>
      <c r="AG40" s="11">
        <v>725058.16280000005</v>
      </c>
      <c r="AH40" s="11">
        <v>0</v>
      </c>
      <c r="AI40" s="11">
        <v>1143997.993294267</v>
      </c>
      <c r="AJ40" s="11">
        <f t="shared" si="6"/>
        <v>-48088.19163199747</v>
      </c>
      <c r="AM40" s="30">
        <v>2009</v>
      </c>
      <c r="AN40" s="2" t="s">
        <v>1072</v>
      </c>
      <c r="AO40" s="11">
        <v>1143997.993294267</v>
      </c>
      <c r="AP40" s="11">
        <f t="shared" si="7"/>
        <v>48088.19163199747</v>
      </c>
    </row>
    <row r="41" spans="1:43" s="11" customFormat="1" ht="12.75" x14ac:dyDescent="0.2">
      <c r="A41" s="9" t="s">
        <v>101</v>
      </c>
      <c r="B41" s="26">
        <v>2473</v>
      </c>
      <c r="C41" s="11">
        <v>695647.35281599988</v>
      </c>
      <c r="D41" s="11">
        <v>148498.60533756611</v>
      </c>
      <c r="E41" s="11">
        <v>0</v>
      </c>
      <c r="F41" s="11">
        <v>0</v>
      </c>
      <c r="G41" s="11">
        <v>9071.7675676300478</v>
      </c>
      <c r="H41" s="11">
        <v>0</v>
      </c>
      <c r="I41" s="11">
        <v>100000</v>
      </c>
      <c r="J41" s="11">
        <v>0</v>
      </c>
      <c r="K41" s="11">
        <v>12068.64</v>
      </c>
      <c r="L41" s="11">
        <v>0</v>
      </c>
      <c r="M41" s="29">
        <f t="shared" si="0"/>
        <v>965286.36572119605</v>
      </c>
      <c r="N41" s="11">
        <v>0</v>
      </c>
      <c r="O41" s="11">
        <v>0</v>
      </c>
      <c r="P41" s="29">
        <f t="shared" si="3"/>
        <v>965286.36572119605</v>
      </c>
      <c r="Q41" s="11">
        <v>-17640.46</v>
      </c>
      <c r="R41" s="29">
        <f t="shared" si="4"/>
        <v>947645.90572119609</v>
      </c>
      <c r="S41" s="11">
        <v>16394.232283464567</v>
      </c>
      <c r="U41" s="11">
        <v>9009.75</v>
      </c>
      <c r="X41" s="11">
        <v>177430.50702932215</v>
      </c>
      <c r="Y41" s="11">
        <v>0</v>
      </c>
      <c r="Z41" s="29">
        <f t="shared" si="5"/>
        <v>1150480.3950339828</v>
      </c>
      <c r="AD41" s="11" t="s">
        <v>1073</v>
      </c>
      <c r="AG41" s="11">
        <v>686762.83730000001</v>
      </c>
      <c r="AH41" s="11">
        <v>0</v>
      </c>
      <c r="AI41" s="11">
        <v>976577.46496276872</v>
      </c>
      <c r="AJ41" s="11">
        <f t="shared" si="6"/>
        <v>-11291.099241572665</v>
      </c>
      <c r="AM41" s="30">
        <v>2473</v>
      </c>
      <c r="AN41" s="2" t="s">
        <v>1073</v>
      </c>
      <c r="AO41" s="11">
        <v>976577.45996276871</v>
      </c>
      <c r="AP41" s="11">
        <f t="shared" si="7"/>
        <v>11291.09424157266</v>
      </c>
    </row>
    <row r="42" spans="1:43" s="11" customFormat="1" ht="12.75" x14ac:dyDescent="0.2">
      <c r="A42" s="9" t="s">
        <v>44</v>
      </c>
      <c r="B42" s="26">
        <v>2471</v>
      </c>
      <c r="C42" s="11">
        <v>937265.32650399988</v>
      </c>
      <c r="D42" s="11">
        <v>231883.42479901674</v>
      </c>
      <c r="E42" s="11">
        <v>1345.592943943662</v>
      </c>
      <c r="F42" s="11">
        <v>0</v>
      </c>
      <c r="G42" s="11">
        <v>880.6823072886292</v>
      </c>
      <c r="H42" s="11">
        <v>0</v>
      </c>
      <c r="I42" s="11">
        <v>100000</v>
      </c>
      <c r="J42" s="11">
        <v>0</v>
      </c>
      <c r="K42" s="11">
        <v>12068.64</v>
      </c>
      <c r="L42" s="11">
        <v>0</v>
      </c>
      <c r="M42" s="29">
        <f t="shared" si="0"/>
        <v>1283443.6665542487</v>
      </c>
      <c r="N42" s="11">
        <v>0</v>
      </c>
      <c r="O42" s="11">
        <v>0</v>
      </c>
      <c r="P42" s="29">
        <f t="shared" si="3"/>
        <v>1283443.6665542487</v>
      </c>
      <c r="Q42" s="11">
        <v>-23767.489999999998</v>
      </c>
      <c r="R42" s="29">
        <f t="shared" si="4"/>
        <v>1259676.1765542487</v>
      </c>
      <c r="S42" s="11">
        <v>0</v>
      </c>
      <c r="U42" s="11">
        <v>44673.34</v>
      </c>
      <c r="X42" s="11">
        <v>0</v>
      </c>
      <c r="Y42" s="11">
        <v>0</v>
      </c>
      <c r="Z42" s="29">
        <f t="shared" si="5"/>
        <v>1304349.5165542488</v>
      </c>
      <c r="AD42" s="11" t="s">
        <v>1074</v>
      </c>
      <c r="AG42" s="11">
        <v>893557.59500000009</v>
      </c>
      <c r="AH42" s="11">
        <v>0</v>
      </c>
      <c r="AI42" s="11">
        <v>1255950.3003435731</v>
      </c>
      <c r="AJ42" s="11">
        <f t="shared" si="6"/>
        <v>27493.366210675566</v>
      </c>
      <c r="AM42" s="30">
        <v>2471</v>
      </c>
      <c r="AN42" s="2" t="s">
        <v>1074</v>
      </c>
      <c r="AO42" s="11">
        <v>1255950.2953435727</v>
      </c>
      <c r="AP42" s="11">
        <f t="shared" si="7"/>
        <v>-27493.371210675919</v>
      </c>
    </row>
    <row r="43" spans="1:43" s="11" customFormat="1" ht="12.75" x14ac:dyDescent="0.2">
      <c r="A43" s="9" t="s">
        <v>43</v>
      </c>
      <c r="B43" s="26">
        <v>2420</v>
      </c>
      <c r="C43" s="11">
        <v>1382886.7541666667</v>
      </c>
      <c r="D43" s="11">
        <v>608237.06911745341</v>
      </c>
      <c r="E43" s="11">
        <v>1387.4022924868766</v>
      </c>
      <c r="F43" s="11">
        <v>0</v>
      </c>
      <c r="G43" s="11">
        <v>118514.26917613641</v>
      </c>
      <c r="H43" s="11">
        <v>67222.588157019083</v>
      </c>
      <c r="I43" s="11">
        <v>100000</v>
      </c>
      <c r="J43" s="11">
        <v>0</v>
      </c>
      <c r="K43" s="11">
        <v>18982.965</v>
      </c>
      <c r="L43" s="11">
        <v>0</v>
      </c>
      <c r="M43" s="29">
        <f t="shared" si="0"/>
        <v>2297231.0479097622</v>
      </c>
      <c r="N43" s="11">
        <v>62489.884055931121</v>
      </c>
      <c r="O43" s="11">
        <v>0</v>
      </c>
      <c r="P43" s="29">
        <f t="shared" si="3"/>
        <v>2359720.9319656934</v>
      </c>
      <c r="Q43" s="11">
        <v>-35067.708333333336</v>
      </c>
      <c r="R43" s="29">
        <f t="shared" si="4"/>
        <v>2324653.2236323599</v>
      </c>
      <c r="S43" s="11">
        <v>10000</v>
      </c>
      <c r="U43" s="11">
        <v>0</v>
      </c>
      <c r="X43" s="11">
        <v>191203.67846486255</v>
      </c>
      <c r="Y43" s="11">
        <v>0</v>
      </c>
      <c r="Z43" s="29">
        <f t="shared" si="5"/>
        <v>2525856.9020972224</v>
      </c>
      <c r="AD43" s="11" t="s">
        <v>1075</v>
      </c>
      <c r="AG43" s="11">
        <v>1284169.9151000001</v>
      </c>
      <c r="AH43" s="11">
        <v>0</v>
      </c>
      <c r="AI43" s="11">
        <v>2305206.3936312571</v>
      </c>
      <c r="AJ43" s="11">
        <f t="shared" si="6"/>
        <v>54514.538334436249</v>
      </c>
      <c r="AM43" s="30">
        <v>2420</v>
      </c>
      <c r="AN43" s="2" t="s">
        <v>1075</v>
      </c>
      <c r="AO43" s="11">
        <v>2305206.3936312567</v>
      </c>
      <c r="AP43" s="11">
        <f t="shared" si="7"/>
        <v>-54514.538334436715</v>
      </c>
    </row>
    <row r="44" spans="1:43" s="11" customFormat="1" ht="12.75" x14ac:dyDescent="0.2">
      <c r="A44" s="9" t="s">
        <v>45</v>
      </c>
      <c r="B44" s="26">
        <v>2003</v>
      </c>
      <c r="C44" s="11">
        <v>557579.93927999993</v>
      </c>
      <c r="D44" s="11">
        <v>15973.946136038865</v>
      </c>
      <c r="E44" s="11">
        <v>0</v>
      </c>
      <c r="F44" s="11">
        <v>0</v>
      </c>
      <c r="G44" s="11">
        <v>2995.0683000000058</v>
      </c>
      <c r="H44" s="11">
        <v>0</v>
      </c>
      <c r="I44" s="11">
        <v>100000</v>
      </c>
      <c r="J44" s="11">
        <v>0</v>
      </c>
      <c r="K44" s="11">
        <v>25394.43</v>
      </c>
      <c r="L44" s="11">
        <v>0</v>
      </c>
      <c r="M44" s="29">
        <f t="shared" si="0"/>
        <v>701943.38371603889</v>
      </c>
      <c r="N44" s="11">
        <v>0</v>
      </c>
      <c r="O44" s="11">
        <v>0</v>
      </c>
      <c r="P44" s="29">
        <f t="shared" si="3"/>
        <v>701943.38371603889</v>
      </c>
      <c r="Q44" s="11">
        <v>-14139.3</v>
      </c>
      <c r="R44" s="29">
        <f t="shared" si="4"/>
        <v>687804.08371603885</v>
      </c>
      <c r="S44" s="11">
        <v>5000</v>
      </c>
      <c r="U44" s="11">
        <v>12763.81</v>
      </c>
      <c r="X44" s="11">
        <v>92240.053344129556</v>
      </c>
      <c r="Y44" s="11">
        <v>0</v>
      </c>
      <c r="Z44" s="29">
        <f t="shared" si="5"/>
        <v>797807.94706016849</v>
      </c>
      <c r="AD44" s="11" t="s">
        <v>1076</v>
      </c>
      <c r="AG44" s="11">
        <v>543793.62210000004</v>
      </c>
      <c r="AH44" s="11">
        <v>0</v>
      </c>
      <c r="AI44" s="11">
        <v>670944.75057914993</v>
      </c>
      <c r="AJ44" s="11">
        <f t="shared" si="6"/>
        <v>30998.633136888966</v>
      </c>
      <c r="AM44" s="30">
        <v>2003</v>
      </c>
      <c r="AN44" s="2" t="s">
        <v>1076</v>
      </c>
      <c r="AO44" s="11">
        <v>670944.75057914993</v>
      </c>
      <c r="AP44" s="11">
        <f t="shared" si="7"/>
        <v>-30998.633136888966</v>
      </c>
    </row>
    <row r="45" spans="1:43" s="11" customFormat="1" ht="12.75" x14ac:dyDescent="0.2">
      <c r="A45" s="9" t="s">
        <v>46</v>
      </c>
      <c r="B45" s="26">
        <v>2423</v>
      </c>
      <c r="C45" s="11">
        <v>905403.61568799987</v>
      </c>
      <c r="D45" s="11">
        <v>325334.06111271377</v>
      </c>
      <c r="E45" s="11">
        <v>0</v>
      </c>
      <c r="F45" s="11">
        <v>0</v>
      </c>
      <c r="G45" s="11">
        <v>113431.70498456983</v>
      </c>
      <c r="H45" s="11">
        <v>33471.072000000066</v>
      </c>
      <c r="I45" s="11">
        <v>100000</v>
      </c>
      <c r="J45" s="11">
        <v>0</v>
      </c>
      <c r="K45" s="11">
        <v>10811.49</v>
      </c>
      <c r="L45" s="11">
        <v>0</v>
      </c>
      <c r="M45" s="29">
        <f t="shared" si="0"/>
        <v>1488451.9437852837</v>
      </c>
      <c r="N45" s="11">
        <v>61143.750815300969</v>
      </c>
      <c r="O45" s="11">
        <v>0</v>
      </c>
      <c r="P45" s="29">
        <f t="shared" si="3"/>
        <v>1549595.6946005847</v>
      </c>
      <c r="Q45" s="11">
        <v>-22959.53</v>
      </c>
      <c r="R45" s="29">
        <f t="shared" si="4"/>
        <v>1526636.1646005847</v>
      </c>
      <c r="S45" s="11">
        <v>0</v>
      </c>
      <c r="U45" s="11">
        <v>0</v>
      </c>
      <c r="X45" s="11">
        <v>0</v>
      </c>
      <c r="Y45" s="11">
        <v>0</v>
      </c>
      <c r="Z45" s="29">
        <f t="shared" si="5"/>
        <v>1526636.1646005847</v>
      </c>
      <c r="AD45" s="11" t="s">
        <v>1078</v>
      </c>
      <c r="AG45" s="11">
        <v>850156.22610000009</v>
      </c>
      <c r="AH45" s="11">
        <v>76550.024343731813</v>
      </c>
      <c r="AI45" s="11">
        <v>1507903.4164574624</v>
      </c>
      <c r="AJ45" s="11">
        <f t="shared" si="6"/>
        <v>41692.278143122327</v>
      </c>
      <c r="AM45" s="30">
        <v>2423</v>
      </c>
      <c r="AN45" s="2" t="s">
        <v>1078</v>
      </c>
      <c r="AO45" s="11">
        <v>1507903.4164739999</v>
      </c>
      <c r="AP45" s="11">
        <f t="shared" si="7"/>
        <v>-41692.278126584832</v>
      </c>
    </row>
    <row r="46" spans="1:43" s="11" customFormat="1" ht="12.75" x14ac:dyDescent="0.2">
      <c r="A46" s="9" t="s">
        <v>47</v>
      </c>
      <c r="B46" s="26">
        <v>2424</v>
      </c>
      <c r="C46" s="11">
        <v>695647.35281599988</v>
      </c>
      <c r="D46" s="11">
        <v>215408.79000169822</v>
      </c>
      <c r="E46" s="11">
        <v>3939.3641711111113</v>
      </c>
      <c r="F46" s="11">
        <v>0</v>
      </c>
      <c r="G46" s="11">
        <v>158863.31253942865</v>
      </c>
      <c r="H46" s="11">
        <v>0</v>
      </c>
      <c r="I46" s="11">
        <v>100000</v>
      </c>
      <c r="J46" s="11">
        <v>0</v>
      </c>
      <c r="K46" s="11">
        <v>10811.49</v>
      </c>
      <c r="L46" s="11">
        <v>0</v>
      </c>
      <c r="M46" s="29">
        <f t="shared" si="0"/>
        <v>1184670.3095282379</v>
      </c>
      <c r="N46" s="11">
        <v>74361.630088318605</v>
      </c>
      <c r="O46" s="11">
        <v>0</v>
      </c>
      <c r="P46" s="29">
        <f t="shared" si="3"/>
        <v>1259031.9396165565</v>
      </c>
      <c r="Q46" s="11">
        <v>-17640.46</v>
      </c>
      <c r="R46" s="29">
        <f t="shared" si="4"/>
        <v>1241391.4796165565</v>
      </c>
      <c r="S46" s="11">
        <v>21971.161417322837</v>
      </c>
      <c r="U46" s="11">
        <v>0</v>
      </c>
      <c r="X46" s="11">
        <v>0</v>
      </c>
      <c r="Y46" s="11">
        <v>0</v>
      </c>
      <c r="Z46" s="29">
        <f t="shared" si="5"/>
        <v>1263362.6410338795</v>
      </c>
      <c r="AD46" s="11" t="s">
        <v>1079</v>
      </c>
      <c r="AG46" s="11">
        <v>689315.85900000005</v>
      </c>
      <c r="AH46" s="11">
        <v>74206.720589917852</v>
      </c>
      <c r="AI46" s="11">
        <v>1286154.2960170619</v>
      </c>
      <c r="AJ46" s="11">
        <f t="shared" si="6"/>
        <v>-27122.356400505407</v>
      </c>
      <c r="AM46" s="30">
        <v>2424</v>
      </c>
      <c r="AN46" s="2" t="s">
        <v>1079</v>
      </c>
      <c r="AO46" s="11">
        <v>1286154.2959344999</v>
      </c>
      <c r="AP46" s="11">
        <f t="shared" si="7"/>
        <v>27122.356317943428</v>
      </c>
    </row>
    <row r="47" spans="1:43" s="11" customFormat="1" ht="12.75" x14ac:dyDescent="0.2">
      <c r="A47" s="9" t="s">
        <v>48</v>
      </c>
      <c r="B47" s="26">
        <v>2439</v>
      </c>
      <c r="C47" s="11">
        <v>690337.06767999998</v>
      </c>
      <c r="D47" s="11">
        <v>29031.561021879606</v>
      </c>
      <c r="E47" s="11">
        <v>0</v>
      </c>
      <c r="F47" s="11">
        <v>0</v>
      </c>
      <c r="G47" s="11">
        <v>9161.3853882352942</v>
      </c>
      <c r="H47" s="11">
        <v>0</v>
      </c>
      <c r="I47" s="11">
        <v>100000</v>
      </c>
      <c r="J47" s="11">
        <v>0</v>
      </c>
      <c r="K47" s="11">
        <v>8079.0599999999995</v>
      </c>
      <c r="L47" s="11">
        <v>0</v>
      </c>
      <c r="M47" s="29">
        <f t="shared" si="0"/>
        <v>836609.07409011503</v>
      </c>
      <c r="N47" s="11">
        <v>0</v>
      </c>
      <c r="O47" s="11">
        <v>0</v>
      </c>
      <c r="P47" s="29">
        <f t="shared" si="3"/>
        <v>836609.07409011503</v>
      </c>
      <c r="Q47" s="11">
        <v>-17505.8</v>
      </c>
      <c r="R47" s="29">
        <f t="shared" si="4"/>
        <v>819103.27409011498</v>
      </c>
      <c r="S47" s="11">
        <v>15000</v>
      </c>
      <c r="U47" s="11">
        <v>2502.71</v>
      </c>
      <c r="X47" s="11">
        <v>0</v>
      </c>
      <c r="Y47" s="11">
        <v>0</v>
      </c>
      <c r="Z47" s="29">
        <f t="shared" si="5"/>
        <v>836605.98409011494</v>
      </c>
      <c r="AD47" s="11" t="s">
        <v>1080</v>
      </c>
      <c r="AG47" s="11">
        <v>653573.55520000006</v>
      </c>
      <c r="AH47" s="11">
        <v>0</v>
      </c>
      <c r="AI47" s="11">
        <v>799025.8948675486</v>
      </c>
      <c r="AJ47" s="11">
        <f t="shared" si="6"/>
        <v>37583.179222566425</v>
      </c>
      <c r="AM47" s="30">
        <v>2439</v>
      </c>
      <c r="AN47" s="2" t="s">
        <v>1080</v>
      </c>
      <c r="AO47" s="11">
        <v>799025.8948675486</v>
      </c>
      <c r="AP47" s="11">
        <f t="shared" si="7"/>
        <v>-37583.179222566425</v>
      </c>
    </row>
    <row r="48" spans="1:43" s="11" customFormat="1" ht="12.75" x14ac:dyDescent="0.2">
      <c r="A48" s="9" t="s">
        <v>49</v>
      </c>
      <c r="B48" s="26">
        <v>2440</v>
      </c>
      <c r="C48" s="11">
        <v>865576.47716799995</v>
      </c>
      <c r="D48" s="11">
        <v>38671.627706267085</v>
      </c>
      <c r="E48" s="11">
        <v>1353.2166999999999</v>
      </c>
      <c r="F48" s="11">
        <v>0</v>
      </c>
      <c r="G48" s="11">
        <v>4278.6689999999899</v>
      </c>
      <c r="H48" s="11">
        <v>0</v>
      </c>
      <c r="I48" s="11">
        <v>100000</v>
      </c>
      <c r="J48" s="11">
        <v>0</v>
      </c>
      <c r="K48" s="11">
        <v>31931.609999999997</v>
      </c>
      <c r="L48" s="11">
        <v>0</v>
      </c>
      <c r="M48" s="29">
        <f t="shared" si="0"/>
        <v>1041811.600574267</v>
      </c>
      <c r="N48" s="11">
        <v>0</v>
      </c>
      <c r="O48" s="11">
        <v>0</v>
      </c>
      <c r="P48" s="29">
        <f t="shared" si="3"/>
        <v>1041811.600574267</v>
      </c>
      <c r="Q48" s="11">
        <v>-21949.579999999998</v>
      </c>
      <c r="R48" s="29">
        <f t="shared" si="4"/>
        <v>1019862.020574267</v>
      </c>
      <c r="S48" s="11">
        <v>0</v>
      </c>
      <c r="U48" s="11">
        <v>57812.56</v>
      </c>
      <c r="X48" s="11">
        <v>0</v>
      </c>
      <c r="Y48" s="11">
        <v>0</v>
      </c>
      <c r="Z48" s="29">
        <f t="shared" si="5"/>
        <v>1077674.5805742671</v>
      </c>
      <c r="AD48" s="11" t="s">
        <v>1081</v>
      </c>
      <c r="AG48" s="11">
        <v>832285.07420000003</v>
      </c>
      <c r="AH48" s="11">
        <v>0</v>
      </c>
      <c r="AI48" s="11">
        <v>996866.96474455681</v>
      </c>
      <c r="AJ48" s="11">
        <f t="shared" si="6"/>
        <v>44944.635829710169</v>
      </c>
      <c r="AM48" s="30">
        <v>2440</v>
      </c>
      <c r="AN48" s="2" t="s">
        <v>1081</v>
      </c>
      <c r="AO48" s="11">
        <v>996866.96474455681</v>
      </c>
      <c r="AP48" s="11">
        <f t="shared" si="7"/>
        <v>-44944.635829710169</v>
      </c>
    </row>
    <row r="49" spans="1:43" s="11" customFormat="1" ht="12.75" x14ac:dyDescent="0.2">
      <c r="A49" s="9" t="s">
        <v>102</v>
      </c>
      <c r="B49" s="26">
        <v>2462</v>
      </c>
      <c r="C49" s="11">
        <v>578821.0798239999</v>
      </c>
      <c r="D49" s="11">
        <v>56536.659459529845</v>
      </c>
      <c r="E49" s="11">
        <v>0</v>
      </c>
      <c r="F49" s="11">
        <v>0</v>
      </c>
      <c r="G49" s="11">
        <v>45113.391050980361</v>
      </c>
      <c r="H49" s="11">
        <v>0</v>
      </c>
      <c r="I49" s="11">
        <v>100000</v>
      </c>
      <c r="J49" s="11">
        <v>0</v>
      </c>
      <c r="K49" s="11">
        <v>12068.64</v>
      </c>
      <c r="L49" s="11">
        <v>0</v>
      </c>
      <c r="M49" s="29">
        <f t="shared" si="0"/>
        <v>792539.77033451002</v>
      </c>
      <c r="N49" s="11">
        <v>0</v>
      </c>
      <c r="O49" s="11">
        <v>0</v>
      </c>
      <c r="P49" s="29">
        <f t="shared" si="3"/>
        <v>792539.77033451002</v>
      </c>
      <c r="Q49" s="11">
        <v>-14677.94</v>
      </c>
      <c r="R49" s="29">
        <f t="shared" si="4"/>
        <v>777861.83033451007</v>
      </c>
      <c r="S49" s="11">
        <v>49855.807086614172</v>
      </c>
      <c r="U49" s="11">
        <v>50679.839999999997</v>
      </c>
      <c r="X49" s="11">
        <v>96804.470702916078</v>
      </c>
      <c r="Y49" s="11">
        <v>0</v>
      </c>
      <c r="Z49" s="29">
        <f t="shared" si="5"/>
        <v>975201.94812404027</v>
      </c>
      <c r="AD49" s="11" t="s">
        <v>1082</v>
      </c>
      <c r="AG49" s="11">
        <v>607619.16460000002</v>
      </c>
      <c r="AH49" s="11">
        <v>0</v>
      </c>
      <c r="AI49" s="11">
        <v>801442.16546475841</v>
      </c>
      <c r="AJ49" s="11">
        <f t="shared" si="6"/>
        <v>-8902.3951302483911</v>
      </c>
      <c r="AM49" s="30">
        <v>2462</v>
      </c>
      <c r="AN49" s="2" t="s">
        <v>1082</v>
      </c>
      <c r="AO49" s="11">
        <v>801442.16546475841</v>
      </c>
      <c r="AP49" s="11">
        <f t="shared" si="7"/>
        <v>8902.3951302483911</v>
      </c>
    </row>
    <row r="50" spans="1:43" s="11" customFormat="1" ht="12.75" x14ac:dyDescent="0.2">
      <c r="A50" s="9" t="s">
        <v>50</v>
      </c>
      <c r="B50" s="26">
        <v>2463</v>
      </c>
      <c r="C50" s="11">
        <v>923989.61366399995</v>
      </c>
      <c r="D50" s="11">
        <v>123215.19238551395</v>
      </c>
      <c r="E50" s="11">
        <v>0</v>
      </c>
      <c r="F50" s="11">
        <v>0</v>
      </c>
      <c r="G50" s="11">
        <v>18074.285001156066</v>
      </c>
      <c r="H50" s="11">
        <v>0</v>
      </c>
      <c r="I50" s="11">
        <v>100000</v>
      </c>
      <c r="J50" s="11">
        <v>0</v>
      </c>
      <c r="K50" s="11">
        <v>12068.64</v>
      </c>
      <c r="L50" s="11">
        <v>0</v>
      </c>
      <c r="M50" s="29">
        <f t="shared" si="0"/>
        <v>1177347.7310506699</v>
      </c>
      <c r="N50" s="11">
        <v>0</v>
      </c>
      <c r="O50" s="11">
        <v>0</v>
      </c>
      <c r="P50" s="29">
        <f t="shared" si="3"/>
        <v>1177347.7310506699</v>
      </c>
      <c r="Q50" s="11">
        <v>-23430.84</v>
      </c>
      <c r="R50" s="29">
        <f t="shared" si="4"/>
        <v>1153916.8910506698</v>
      </c>
      <c r="S50" s="11">
        <v>0</v>
      </c>
      <c r="U50" s="11">
        <v>5631.09</v>
      </c>
      <c r="X50" s="11">
        <v>0</v>
      </c>
      <c r="Y50" s="11">
        <v>0</v>
      </c>
      <c r="Z50" s="29">
        <f t="shared" si="5"/>
        <v>1159547.9810506699</v>
      </c>
      <c r="AD50" s="11" t="s">
        <v>1084</v>
      </c>
      <c r="AG50" s="11">
        <v>857815.29120000009</v>
      </c>
      <c r="AH50" s="11">
        <v>0</v>
      </c>
      <c r="AI50" s="11">
        <v>1081579.502990698</v>
      </c>
      <c r="AJ50" s="11">
        <f t="shared" si="6"/>
        <v>95768.228059971938</v>
      </c>
      <c r="AM50" s="30">
        <v>2463</v>
      </c>
      <c r="AN50" s="2" t="s">
        <v>1084</v>
      </c>
      <c r="AO50" s="11">
        <v>1081579.502990698</v>
      </c>
      <c r="AP50" s="11">
        <f t="shared" si="7"/>
        <v>-95768.228059971938</v>
      </c>
      <c r="AQ50" s="30"/>
    </row>
    <row r="51" spans="1:43" s="11" customFormat="1" ht="12.75" x14ac:dyDescent="0.2">
      <c r="A51" s="9" t="s">
        <v>51</v>
      </c>
      <c r="B51" s="26">
        <v>2505</v>
      </c>
      <c r="C51" s="11">
        <v>1489534.9806479998</v>
      </c>
      <c r="D51" s="11">
        <v>379136.27061611728</v>
      </c>
      <c r="E51" s="11">
        <v>1432.367110754717</v>
      </c>
      <c r="F51" s="11">
        <v>0</v>
      </c>
      <c r="G51" s="11">
        <v>93622.958940249053</v>
      </c>
      <c r="H51" s="11">
        <v>11876.831999999715</v>
      </c>
      <c r="I51" s="11">
        <v>100000</v>
      </c>
      <c r="J51" s="11">
        <v>0</v>
      </c>
      <c r="K51" s="11">
        <v>22251.555</v>
      </c>
      <c r="L51" s="11">
        <v>0</v>
      </c>
      <c r="M51" s="29">
        <f t="shared" si="0"/>
        <v>2097854.9643151206</v>
      </c>
      <c r="N51" s="11">
        <v>0</v>
      </c>
      <c r="O51" s="11">
        <v>0</v>
      </c>
      <c r="P51" s="29">
        <f t="shared" si="3"/>
        <v>2097854.9643151206</v>
      </c>
      <c r="Q51" s="11">
        <v>-37772.129999999997</v>
      </c>
      <c r="R51" s="29">
        <f t="shared" si="4"/>
        <v>2060082.8343151207</v>
      </c>
      <c r="S51" s="11">
        <v>41490.413385826774</v>
      </c>
      <c r="U51" s="11">
        <v>6757.31</v>
      </c>
      <c r="X51" s="11">
        <v>168027.5930020595</v>
      </c>
      <c r="Y51" s="11">
        <v>0</v>
      </c>
      <c r="Z51" s="29">
        <f t="shared" si="5"/>
        <v>2276358.1507030069</v>
      </c>
      <c r="AD51" s="11" t="s">
        <v>1085</v>
      </c>
      <c r="AG51" s="11">
        <v>1335230.3491000002</v>
      </c>
      <c r="AH51" s="11">
        <v>0</v>
      </c>
      <c r="AI51" s="11">
        <v>1919108.8218391775</v>
      </c>
      <c r="AJ51" s="11">
        <f t="shared" si="6"/>
        <v>178746.14247594308</v>
      </c>
      <c r="AM51" s="30">
        <v>2505</v>
      </c>
      <c r="AN51" s="2" t="s">
        <v>1085</v>
      </c>
      <c r="AO51" s="11">
        <v>1919108.8218391775</v>
      </c>
      <c r="AP51" s="11">
        <f t="shared" si="7"/>
        <v>-178746.14247594308</v>
      </c>
      <c r="AQ51" s="30"/>
    </row>
    <row r="52" spans="1:43" s="11" customFormat="1" ht="12.75" x14ac:dyDescent="0.2">
      <c r="A52" s="9" t="s">
        <v>1304</v>
      </c>
      <c r="B52" s="26">
        <v>2000</v>
      </c>
      <c r="C52" s="11">
        <v>785922.20012799988</v>
      </c>
      <c r="D52" s="11">
        <v>180145.84089571581</v>
      </c>
      <c r="E52" s="11">
        <v>0</v>
      </c>
      <c r="F52" s="11">
        <v>0</v>
      </c>
      <c r="G52" s="11">
        <v>27138.986228571393</v>
      </c>
      <c r="H52" s="11">
        <v>12713.645827160324</v>
      </c>
      <c r="I52" s="11">
        <v>100000</v>
      </c>
      <c r="J52" s="11">
        <v>0</v>
      </c>
      <c r="K52" s="11">
        <v>14834.369999999999</v>
      </c>
      <c r="L52" s="11">
        <v>0</v>
      </c>
      <c r="M52" s="29">
        <f t="shared" si="0"/>
        <v>1120755.0430794475</v>
      </c>
      <c r="N52" s="11">
        <v>0</v>
      </c>
      <c r="O52" s="11">
        <v>0</v>
      </c>
      <c r="P52" s="29">
        <f t="shared" si="3"/>
        <v>1120755.0430794475</v>
      </c>
      <c r="Q52" s="11">
        <v>-19929.68</v>
      </c>
      <c r="R52" s="29">
        <f t="shared" si="4"/>
        <v>1100825.3630794475</v>
      </c>
      <c r="S52" s="11">
        <v>32307.716535433072</v>
      </c>
      <c r="T52" s="11">
        <v>382930.95500000002</v>
      </c>
      <c r="U52" s="11">
        <v>15016.25</v>
      </c>
      <c r="X52" s="11">
        <v>78455.213153846154</v>
      </c>
      <c r="Y52" s="11">
        <v>0</v>
      </c>
      <c r="Z52" s="29">
        <f t="shared" si="5"/>
        <v>1609535.4977687267</v>
      </c>
      <c r="AD52" s="11" t="s">
        <v>1086</v>
      </c>
      <c r="AG52" s="11">
        <v>760800.46660000004</v>
      </c>
      <c r="AH52" s="11">
        <v>0</v>
      </c>
      <c r="AI52" s="11">
        <v>1095745.8213547962</v>
      </c>
      <c r="AJ52" s="11">
        <f t="shared" si="6"/>
        <v>25009.221724651288</v>
      </c>
      <c r="AM52" s="30">
        <v>2000</v>
      </c>
      <c r="AN52" s="2" t="s">
        <v>1086</v>
      </c>
      <c r="AO52" s="11">
        <v>1095745.8213547962</v>
      </c>
      <c r="AP52" s="11">
        <f t="shared" si="7"/>
        <v>-25009.221724651288</v>
      </c>
      <c r="AQ52" s="30"/>
    </row>
    <row r="53" spans="1:43" s="11" customFormat="1" ht="12.75" x14ac:dyDescent="0.2">
      <c r="A53" s="9" t="s">
        <v>53</v>
      </c>
      <c r="B53" s="26">
        <v>2458</v>
      </c>
      <c r="C53" s="11">
        <v>714233.35079199995</v>
      </c>
      <c r="D53" s="11">
        <v>56664.661316890008</v>
      </c>
      <c r="E53" s="11">
        <v>0</v>
      </c>
      <c r="F53" s="11">
        <v>0</v>
      </c>
      <c r="G53" s="11">
        <v>60441.577840223552</v>
      </c>
      <c r="H53" s="11">
        <v>0</v>
      </c>
      <c r="I53" s="11">
        <v>100000</v>
      </c>
      <c r="J53" s="11">
        <v>0</v>
      </c>
      <c r="K53" s="11">
        <v>8079.0599999999995</v>
      </c>
      <c r="L53" s="11">
        <v>0</v>
      </c>
      <c r="M53" s="29">
        <f t="shared" si="0"/>
        <v>939418.64994911361</v>
      </c>
      <c r="N53" s="11">
        <v>3283.2442406279733</v>
      </c>
      <c r="O53" s="11">
        <v>0</v>
      </c>
      <c r="P53" s="29">
        <f t="shared" si="3"/>
        <v>942701.89418974158</v>
      </c>
      <c r="Q53" s="11">
        <v>-18111.77</v>
      </c>
      <c r="R53" s="29">
        <f t="shared" si="4"/>
        <v>924590.12418974156</v>
      </c>
      <c r="S53" s="11">
        <v>15000</v>
      </c>
      <c r="U53" s="11">
        <v>22148.97</v>
      </c>
      <c r="X53" s="11">
        <v>0</v>
      </c>
      <c r="Y53" s="11">
        <v>0</v>
      </c>
      <c r="Z53" s="29">
        <f t="shared" si="5"/>
        <v>961739.09418974153</v>
      </c>
      <c r="AD53" s="11" t="s">
        <v>1088</v>
      </c>
      <c r="AG53" s="11">
        <v>689315.85900000005</v>
      </c>
      <c r="AH53" s="11">
        <v>0</v>
      </c>
      <c r="AI53" s="11">
        <v>980121.52578689193</v>
      </c>
      <c r="AJ53" s="11">
        <f t="shared" si="6"/>
        <v>-37419.63159715035</v>
      </c>
      <c r="AM53" s="30">
        <v>2458</v>
      </c>
      <c r="AN53" s="2" t="s">
        <v>1088</v>
      </c>
      <c r="AO53" s="11">
        <v>980121.52578689193</v>
      </c>
      <c r="AP53" s="11">
        <f t="shared" si="7"/>
        <v>37419.63159715035</v>
      </c>
      <c r="AQ53" s="30"/>
    </row>
    <row r="54" spans="1:43" s="11" customFormat="1" ht="12.75" x14ac:dyDescent="0.2">
      <c r="A54" s="9" t="s">
        <v>54</v>
      </c>
      <c r="B54" s="26">
        <v>2001</v>
      </c>
      <c r="C54" s="11">
        <v>947885.89677599992</v>
      </c>
      <c r="D54" s="11">
        <v>355970.99080031947</v>
      </c>
      <c r="E54" s="11">
        <v>4200.8553208695648</v>
      </c>
      <c r="F54" s="11">
        <v>0</v>
      </c>
      <c r="G54" s="11">
        <v>13139.654477419341</v>
      </c>
      <c r="H54" s="11">
        <v>1559.5839999999766</v>
      </c>
      <c r="I54" s="11">
        <v>100000</v>
      </c>
      <c r="J54" s="11">
        <v>0</v>
      </c>
      <c r="K54" s="11">
        <v>14708.654999999999</v>
      </c>
      <c r="L54" s="11">
        <v>0</v>
      </c>
      <c r="M54" s="29">
        <f t="shared" si="0"/>
        <v>1437465.6363746081</v>
      </c>
      <c r="N54" s="11">
        <v>23787.305746641243</v>
      </c>
      <c r="O54" s="11">
        <v>0</v>
      </c>
      <c r="P54" s="29">
        <f t="shared" si="3"/>
        <v>1461252.9421212494</v>
      </c>
      <c r="Q54" s="11">
        <v>-24036.809999999998</v>
      </c>
      <c r="R54" s="29">
        <f t="shared" si="4"/>
        <v>1437216.1321212493</v>
      </c>
      <c r="S54" s="11">
        <v>12788.464566929135</v>
      </c>
      <c r="U54" s="11">
        <v>13514.63</v>
      </c>
      <c r="X54" s="11">
        <v>154607.38337834008</v>
      </c>
      <c r="Y54" s="11">
        <v>0</v>
      </c>
      <c r="Z54" s="29">
        <f t="shared" si="5"/>
        <v>1618126.6100665184</v>
      </c>
      <c r="AD54" s="11" t="s">
        <v>1090</v>
      </c>
      <c r="AG54" s="11">
        <v>901216.6601000001</v>
      </c>
      <c r="AH54" s="11">
        <v>0</v>
      </c>
      <c r="AI54" s="11">
        <v>1449987.2904295556</v>
      </c>
      <c r="AJ54" s="11">
        <f t="shared" si="6"/>
        <v>11265.651691693813</v>
      </c>
      <c r="AM54" s="30">
        <v>2001</v>
      </c>
      <c r="AN54" s="2" t="s">
        <v>1090</v>
      </c>
      <c r="AO54" s="11">
        <v>1449987.2904295556</v>
      </c>
      <c r="AP54" s="11">
        <f t="shared" si="7"/>
        <v>-11265.651691693813</v>
      </c>
    </row>
    <row r="55" spans="1:43" s="11" customFormat="1" ht="12.75" x14ac:dyDescent="0.2">
      <c r="A55" s="9" t="s">
        <v>55</v>
      </c>
      <c r="B55" s="26">
        <v>2429</v>
      </c>
      <c r="C55" s="11">
        <v>390305.95749599999</v>
      </c>
      <c r="D55" s="11">
        <v>103374.65025677814</v>
      </c>
      <c r="E55" s="11">
        <v>0</v>
      </c>
      <c r="F55" s="11">
        <v>0</v>
      </c>
      <c r="G55" s="11">
        <v>93372.026177319538</v>
      </c>
      <c r="H55" s="11">
        <v>0</v>
      </c>
      <c r="I55" s="11">
        <v>100000</v>
      </c>
      <c r="J55" s="11">
        <v>0</v>
      </c>
      <c r="K55" s="11">
        <v>6854.9599999999991</v>
      </c>
      <c r="L55" s="11">
        <v>0</v>
      </c>
      <c r="M55" s="29">
        <f t="shared" si="0"/>
        <v>693907.59393009765</v>
      </c>
      <c r="N55" s="11">
        <v>0</v>
      </c>
      <c r="O55" s="11">
        <v>0</v>
      </c>
      <c r="P55" s="29">
        <f t="shared" si="3"/>
        <v>693907.59393009765</v>
      </c>
      <c r="Q55" s="11">
        <v>-9897.51</v>
      </c>
      <c r="R55" s="29">
        <f t="shared" si="4"/>
        <v>684010.08393009764</v>
      </c>
      <c r="S55" s="11">
        <v>23942.322834645671</v>
      </c>
      <c r="U55" s="11">
        <v>25527.63</v>
      </c>
      <c r="X55" s="11">
        <v>94382.327454240163</v>
      </c>
      <c r="Y55" s="11">
        <v>0</v>
      </c>
      <c r="Z55" s="29">
        <f t="shared" si="5"/>
        <v>827862.36421898345</v>
      </c>
      <c r="AD55" s="11" t="s">
        <v>1091</v>
      </c>
      <c r="AG55" s="11">
        <v>382953.25500000006</v>
      </c>
      <c r="AH55" s="11">
        <v>0</v>
      </c>
      <c r="AI55" s="11">
        <v>689036.41356901417</v>
      </c>
      <c r="AJ55" s="11">
        <f t="shared" si="6"/>
        <v>4871.1803610834759</v>
      </c>
      <c r="AM55" s="30">
        <v>2429</v>
      </c>
      <c r="AN55" s="2" t="s">
        <v>1091</v>
      </c>
      <c r="AO55" s="11">
        <v>689036.41356901429</v>
      </c>
      <c r="AP55" s="11">
        <f t="shared" si="7"/>
        <v>-4871.1803610833595</v>
      </c>
    </row>
    <row r="56" spans="1:43" s="11" customFormat="1" ht="12.75" x14ac:dyDescent="0.2">
      <c r="A56" s="9" t="s">
        <v>56</v>
      </c>
      <c r="B56" s="26">
        <v>2444</v>
      </c>
      <c r="C56" s="11">
        <v>560235.08184799994</v>
      </c>
      <c r="D56" s="11">
        <v>113720.28011787409</v>
      </c>
      <c r="E56" s="11">
        <v>0</v>
      </c>
      <c r="F56" s="11">
        <v>0</v>
      </c>
      <c r="G56" s="11">
        <v>37401.679444285684</v>
      </c>
      <c r="H56" s="11">
        <v>0</v>
      </c>
      <c r="I56" s="11">
        <v>100000</v>
      </c>
      <c r="J56" s="11">
        <v>0</v>
      </c>
      <c r="K56" s="11">
        <v>9051.48</v>
      </c>
      <c r="L56" s="11">
        <v>0</v>
      </c>
      <c r="M56" s="29">
        <f t="shared" si="0"/>
        <v>820408.52141015965</v>
      </c>
      <c r="N56" s="11">
        <v>0</v>
      </c>
      <c r="O56" s="11">
        <v>0</v>
      </c>
      <c r="P56" s="29">
        <f t="shared" si="3"/>
        <v>820408.52141015965</v>
      </c>
      <c r="Q56" s="11">
        <v>-14206.63</v>
      </c>
      <c r="R56" s="29">
        <f t="shared" si="4"/>
        <v>806201.89141015965</v>
      </c>
      <c r="S56" s="11">
        <v>41490.413385826774</v>
      </c>
      <c r="U56" s="11">
        <v>27029.25</v>
      </c>
      <c r="X56" s="11">
        <v>123147.98533141796</v>
      </c>
      <c r="Y56" s="11">
        <v>0</v>
      </c>
      <c r="Z56" s="29">
        <f t="shared" si="5"/>
        <v>997869.54012740438</v>
      </c>
      <c r="AD56" s="11" t="s">
        <v>1092</v>
      </c>
      <c r="AG56" s="11">
        <v>531028.51360000006</v>
      </c>
      <c r="AH56" s="11">
        <v>0</v>
      </c>
      <c r="AI56" s="11">
        <v>787918.46865087736</v>
      </c>
      <c r="AJ56" s="11">
        <f t="shared" si="6"/>
        <v>32490.052759282291</v>
      </c>
      <c r="AM56" s="30">
        <v>2444</v>
      </c>
      <c r="AN56" s="2" t="s">
        <v>1092</v>
      </c>
      <c r="AO56" s="11">
        <v>787918.46865087724</v>
      </c>
      <c r="AP56" s="11">
        <f t="shared" si="7"/>
        <v>-32490.052759282407</v>
      </c>
    </row>
    <row r="57" spans="1:43" s="11" customFormat="1" ht="12.75" x14ac:dyDescent="0.2">
      <c r="A57" s="9" t="s">
        <v>57</v>
      </c>
      <c r="B57" s="26">
        <v>5209</v>
      </c>
      <c r="C57" s="11">
        <v>692992.21024799999</v>
      </c>
      <c r="D57" s="11">
        <v>162615.23484185088</v>
      </c>
      <c r="E57" s="11">
        <v>0</v>
      </c>
      <c r="F57" s="11">
        <v>0</v>
      </c>
      <c r="G57" s="11">
        <v>11297.683982101158</v>
      </c>
      <c r="H57" s="11">
        <v>0</v>
      </c>
      <c r="I57" s="11">
        <v>100000</v>
      </c>
      <c r="J57" s="11">
        <v>0</v>
      </c>
      <c r="K57" s="11">
        <v>2539.4429999999993</v>
      </c>
      <c r="L57" s="11">
        <v>0</v>
      </c>
      <c r="M57" s="29">
        <f t="shared" si="0"/>
        <v>969444.57207195193</v>
      </c>
      <c r="N57" s="11">
        <v>0</v>
      </c>
      <c r="O57" s="11">
        <v>0</v>
      </c>
      <c r="P57" s="29">
        <f t="shared" si="3"/>
        <v>969444.57207195193</v>
      </c>
      <c r="Q57" s="11">
        <v>-17573.13</v>
      </c>
      <c r="R57" s="29">
        <f t="shared" si="4"/>
        <v>951871.44207195193</v>
      </c>
      <c r="S57" s="11">
        <v>0</v>
      </c>
      <c r="U57" s="11">
        <v>0</v>
      </c>
      <c r="X57" s="11">
        <v>0</v>
      </c>
      <c r="Y57" s="11">
        <v>0</v>
      </c>
      <c r="Z57" s="29">
        <f t="shared" si="5"/>
        <v>951871.44207195193</v>
      </c>
      <c r="AD57" s="11" t="s">
        <v>1093</v>
      </c>
      <c r="AG57" s="11">
        <v>699527.9458000001</v>
      </c>
      <c r="AH57" s="11">
        <v>0</v>
      </c>
      <c r="AI57" s="11">
        <v>1008142.35555051</v>
      </c>
      <c r="AJ57" s="11">
        <f t="shared" si="6"/>
        <v>-38697.783478558064</v>
      </c>
      <c r="AM57" s="30">
        <v>5209</v>
      </c>
      <c r="AN57" s="2" t="s">
        <v>1093</v>
      </c>
      <c r="AO57" s="11">
        <v>1008142.35755051</v>
      </c>
      <c r="AP57" s="11">
        <f t="shared" si="7"/>
        <v>38697.785478558042</v>
      </c>
    </row>
    <row r="58" spans="1:43" s="11" customFormat="1" ht="12.75" x14ac:dyDescent="0.2">
      <c r="A58" s="9" t="s">
        <v>58</v>
      </c>
      <c r="B58" s="26">
        <v>2469</v>
      </c>
      <c r="C58" s="11">
        <v>1107194.450856</v>
      </c>
      <c r="D58" s="11">
        <v>82165.208593829404</v>
      </c>
      <c r="E58" s="11">
        <v>0</v>
      </c>
      <c r="F58" s="11">
        <v>0</v>
      </c>
      <c r="G58" s="11">
        <v>30986.192808403357</v>
      </c>
      <c r="H58" s="11">
        <v>0</v>
      </c>
      <c r="I58" s="11">
        <v>100000</v>
      </c>
      <c r="J58" s="11">
        <v>0</v>
      </c>
      <c r="K58" s="11">
        <v>11565.779999999999</v>
      </c>
      <c r="L58" s="11">
        <v>0</v>
      </c>
      <c r="M58" s="29">
        <f t="shared" si="0"/>
        <v>1331911.6322582327</v>
      </c>
      <c r="N58" s="11">
        <v>0</v>
      </c>
      <c r="O58" s="11">
        <v>0</v>
      </c>
      <c r="P58" s="29">
        <f t="shared" si="3"/>
        <v>1331911.6322582327</v>
      </c>
      <c r="Q58" s="11">
        <v>-28076.61</v>
      </c>
      <c r="R58" s="29">
        <f t="shared" si="4"/>
        <v>1303835.0222582326</v>
      </c>
      <c r="S58" s="11">
        <v>10000</v>
      </c>
      <c r="U58" s="11">
        <v>26348.71</v>
      </c>
      <c r="X58" s="11">
        <v>0</v>
      </c>
      <c r="Y58" s="11">
        <v>0</v>
      </c>
      <c r="Z58" s="29">
        <f t="shared" si="5"/>
        <v>1340183.7322582325</v>
      </c>
      <c r="AD58" s="11" t="s">
        <v>1094</v>
      </c>
      <c r="AG58" s="11">
        <v>1049291.9187</v>
      </c>
      <c r="AH58" s="11">
        <v>0</v>
      </c>
      <c r="AI58" s="11">
        <v>1265529.1735073242</v>
      </c>
      <c r="AJ58" s="11">
        <f t="shared" si="6"/>
        <v>66382.458750908496</v>
      </c>
      <c r="AM58" s="30">
        <v>2469</v>
      </c>
      <c r="AN58" s="2" t="s">
        <v>1094</v>
      </c>
      <c r="AO58" s="11">
        <v>1265529.1735073244</v>
      </c>
      <c r="AP58" s="11">
        <f t="shared" si="7"/>
        <v>-66382.458750908263</v>
      </c>
    </row>
    <row r="59" spans="1:43" s="11" customFormat="1" ht="12.75" x14ac:dyDescent="0.2">
      <c r="A59" s="57" t="s">
        <v>437</v>
      </c>
      <c r="B59" s="26">
        <v>2430</v>
      </c>
      <c r="C59" s="11">
        <v>334547.96356799995</v>
      </c>
      <c r="D59" s="11">
        <v>162262.15652546898</v>
      </c>
      <c r="E59" s="11">
        <v>1444.9602050847457</v>
      </c>
      <c r="F59" s="11">
        <v>0</v>
      </c>
      <c r="G59" s="11">
        <v>28952.326900000051</v>
      </c>
      <c r="H59" s="11">
        <v>17275.391999999956</v>
      </c>
      <c r="I59" s="11">
        <v>100000</v>
      </c>
      <c r="J59" s="11">
        <v>0</v>
      </c>
      <c r="K59" s="11">
        <v>19611.539999999997</v>
      </c>
      <c r="L59" s="11">
        <v>23171.91</v>
      </c>
      <c r="M59" s="29">
        <f t="shared" si="0"/>
        <v>687266.24919855385</v>
      </c>
      <c r="N59" s="11">
        <v>0</v>
      </c>
      <c r="O59" s="11">
        <v>0</v>
      </c>
      <c r="P59" s="29">
        <f t="shared" si="3"/>
        <v>687266.24919855385</v>
      </c>
      <c r="Q59" s="11">
        <v>-8483.58</v>
      </c>
      <c r="R59" s="29">
        <f t="shared" si="4"/>
        <v>678782.66919855389</v>
      </c>
      <c r="S59" s="11">
        <v>21730.787401574802</v>
      </c>
      <c r="U59" s="11">
        <v>9009.75</v>
      </c>
      <c r="X59" s="11">
        <v>17704.038024988557</v>
      </c>
      <c r="Y59" s="11">
        <v>0</v>
      </c>
      <c r="Z59" s="29">
        <f t="shared" si="5"/>
        <v>727227.24462511728</v>
      </c>
      <c r="AD59" s="11" t="s">
        <v>1095</v>
      </c>
      <c r="AG59" s="11">
        <v>306362.60400000005</v>
      </c>
      <c r="AH59" s="11">
        <v>0</v>
      </c>
      <c r="AI59" s="11">
        <v>633614.18717153161</v>
      </c>
      <c r="AJ59" s="11">
        <f t="shared" si="6"/>
        <v>53652.062027022243</v>
      </c>
      <c r="AM59" s="30">
        <v>2430</v>
      </c>
      <c r="AN59" s="2" t="s">
        <v>1095</v>
      </c>
      <c r="AO59" s="11">
        <v>633614.18717153161</v>
      </c>
      <c r="AP59" s="11">
        <f t="shared" si="7"/>
        <v>-53652.062027022243</v>
      </c>
      <c r="AQ59" s="30"/>
    </row>
    <row r="60" spans="1:43" s="11" customFormat="1" ht="12.75" x14ac:dyDescent="0.2">
      <c r="A60" s="9" t="s">
        <v>59</v>
      </c>
      <c r="B60" s="26">
        <v>2466</v>
      </c>
      <c r="C60" s="11">
        <v>586786.50752799993</v>
      </c>
      <c r="D60" s="11">
        <v>103427.30293831274</v>
      </c>
      <c r="E60" s="11">
        <v>4376.5008395121949</v>
      </c>
      <c r="F60" s="11">
        <v>0</v>
      </c>
      <c r="G60" s="11">
        <v>7079.2523454545444</v>
      </c>
      <c r="H60" s="11">
        <v>37209.130712446356</v>
      </c>
      <c r="I60" s="11">
        <v>100000</v>
      </c>
      <c r="J60" s="11">
        <v>0</v>
      </c>
      <c r="K60" s="11">
        <v>11062.92</v>
      </c>
      <c r="L60" s="11">
        <v>0</v>
      </c>
      <c r="M60" s="29">
        <f t="shared" si="0"/>
        <v>849941.61436372588</v>
      </c>
      <c r="N60" s="11">
        <v>0</v>
      </c>
      <c r="O60" s="11">
        <v>0</v>
      </c>
      <c r="P60" s="29">
        <f t="shared" si="3"/>
        <v>849941.61436372588</v>
      </c>
      <c r="Q60" s="11">
        <v>-14879.93</v>
      </c>
      <c r="R60" s="29">
        <f t="shared" si="4"/>
        <v>835061.68436372583</v>
      </c>
      <c r="S60" s="11">
        <v>30913.484251968504</v>
      </c>
      <c r="T60" s="11">
        <v>315175.77</v>
      </c>
      <c r="U60" s="11">
        <v>16017.33</v>
      </c>
      <c r="X60" s="11">
        <v>0</v>
      </c>
      <c r="Y60" s="11">
        <v>0</v>
      </c>
      <c r="Z60" s="29">
        <f t="shared" si="5"/>
        <v>1197168.2686156945</v>
      </c>
      <c r="AD60" s="11" t="s">
        <v>1096</v>
      </c>
      <c r="AG60" s="11">
        <v>502945.27490000002</v>
      </c>
      <c r="AH60" s="11">
        <v>0</v>
      </c>
      <c r="AI60" s="11">
        <v>733102.621733887</v>
      </c>
      <c r="AJ60" s="11">
        <f t="shared" si="6"/>
        <v>116838.99262983887</v>
      </c>
      <c r="AM60" s="30">
        <v>2466</v>
      </c>
      <c r="AN60" s="2" t="s">
        <v>1096</v>
      </c>
      <c r="AO60" s="11">
        <v>733102.62173388712</v>
      </c>
      <c r="AP60" s="11">
        <f t="shared" si="7"/>
        <v>-116838.99262983876</v>
      </c>
    </row>
    <row r="61" spans="1:43" s="11" customFormat="1" ht="12.75" x14ac:dyDescent="0.2">
      <c r="A61" s="9" t="s">
        <v>60</v>
      </c>
      <c r="B61" s="26">
        <v>3543</v>
      </c>
      <c r="C61" s="11">
        <v>804508.19810399995</v>
      </c>
      <c r="D61" s="11">
        <v>106587.81861332542</v>
      </c>
      <c r="E61" s="11">
        <v>0</v>
      </c>
      <c r="F61" s="11">
        <v>0</v>
      </c>
      <c r="G61" s="11">
        <v>28482.321593181856</v>
      </c>
      <c r="H61" s="11">
        <v>0</v>
      </c>
      <c r="I61" s="11">
        <v>100000</v>
      </c>
      <c r="J61" s="11">
        <v>0</v>
      </c>
      <c r="K61" s="11">
        <v>2313.155999999999</v>
      </c>
      <c r="L61" s="11">
        <v>0</v>
      </c>
      <c r="M61" s="29">
        <f t="shared" si="0"/>
        <v>1041891.4943105072</v>
      </c>
      <c r="N61" s="11">
        <v>0</v>
      </c>
      <c r="O61" s="11">
        <v>0</v>
      </c>
      <c r="P61" s="29">
        <f t="shared" si="3"/>
        <v>1041891.4943105072</v>
      </c>
      <c r="Q61" s="11">
        <v>-20400.989999999998</v>
      </c>
      <c r="R61" s="29">
        <f t="shared" si="4"/>
        <v>1021490.5043105072</v>
      </c>
      <c r="S61" s="11">
        <v>39278.877952755909</v>
      </c>
      <c r="U61" s="11">
        <v>55769.56</v>
      </c>
      <c r="X61" s="11">
        <v>64556.508752814683</v>
      </c>
      <c r="Y61" s="11">
        <v>0</v>
      </c>
      <c r="Z61" s="29">
        <f t="shared" si="5"/>
        <v>1181095.451016078</v>
      </c>
      <c r="AD61" s="11" t="s">
        <v>1097</v>
      </c>
      <c r="AG61" s="11">
        <v>768459.53170000005</v>
      </c>
      <c r="AH61" s="11">
        <v>0</v>
      </c>
      <c r="AI61" s="11">
        <v>1012929.0583131936</v>
      </c>
      <c r="AJ61" s="11">
        <f t="shared" si="6"/>
        <v>28962.435997313587</v>
      </c>
      <c r="AM61" s="30">
        <v>3543</v>
      </c>
      <c r="AN61" s="2" t="s">
        <v>1097</v>
      </c>
      <c r="AO61" s="11">
        <v>1012929.0603131936</v>
      </c>
      <c r="AP61" s="11">
        <f t="shared" si="7"/>
        <v>-28962.433997313608</v>
      </c>
      <c r="AQ61" s="30"/>
    </row>
    <row r="62" spans="1:43" s="11" customFormat="1" ht="12.75" x14ac:dyDescent="0.2">
      <c r="A62" s="9" t="s">
        <v>62</v>
      </c>
      <c r="B62" s="26">
        <v>3531</v>
      </c>
      <c r="C62" s="11">
        <v>916024.18595999992</v>
      </c>
      <c r="D62" s="11">
        <v>169360.57853274309</v>
      </c>
      <c r="E62" s="11">
        <v>0</v>
      </c>
      <c r="F62" s="11">
        <v>0</v>
      </c>
      <c r="G62" s="11">
        <v>34853.324562500129</v>
      </c>
      <c r="H62" s="11">
        <v>0</v>
      </c>
      <c r="I62" s="11">
        <v>100000</v>
      </c>
      <c r="J62" s="11">
        <v>0</v>
      </c>
      <c r="K62" s="11">
        <v>2916.5879999999997</v>
      </c>
      <c r="L62" s="11">
        <v>0</v>
      </c>
      <c r="M62" s="29">
        <f t="shared" si="0"/>
        <v>1223154.6770552432</v>
      </c>
      <c r="N62" s="11">
        <v>0</v>
      </c>
      <c r="O62" s="11">
        <v>0</v>
      </c>
      <c r="P62" s="29">
        <f t="shared" si="3"/>
        <v>1223154.6770552432</v>
      </c>
      <c r="Q62" s="11">
        <v>0</v>
      </c>
      <c r="R62" s="29">
        <f t="shared" si="4"/>
        <v>1223154.6770552432</v>
      </c>
      <c r="S62" s="11">
        <v>21153.858267716536</v>
      </c>
      <c r="U62" s="11">
        <v>0</v>
      </c>
      <c r="X62" s="11">
        <v>0</v>
      </c>
      <c r="Y62" s="11">
        <v>0</v>
      </c>
      <c r="Z62" s="29">
        <f t="shared" si="5"/>
        <v>1244308.5353229598</v>
      </c>
      <c r="AD62" s="11" t="s">
        <v>1098</v>
      </c>
      <c r="AG62" s="11">
        <v>898663.63840000005</v>
      </c>
      <c r="AH62" s="11">
        <v>0</v>
      </c>
      <c r="AI62" s="11">
        <v>1240584.9697193063</v>
      </c>
      <c r="AJ62" s="11">
        <f t="shared" si="6"/>
        <v>-17430.292664063163</v>
      </c>
      <c r="AM62" s="30">
        <v>3531</v>
      </c>
      <c r="AN62" s="2" t="s">
        <v>1098</v>
      </c>
      <c r="AO62" s="11">
        <v>1240584.9697193063</v>
      </c>
      <c r="AP62" s="11">
        <f t="shared" si="7"/>
        <v>17430.292664063163</v>
      </c>
      <c r="AQ62" s="30"/>
    </row>
    <row r="63" spans="1:43" s="11" customFormat="1" ht="12.75" x14ac:dyDescent="0.2">
      <c r="A63" s="9" t="s">
        <v>103</v>
      </c>
      <c r="B63" s="26">
        <v>3526</v>
      </c>
      <c r="C63" s="11">
        <v>238962.83111999999</v>
      </c>
      <c r="D63" s="11">
        <v>70204.438682093489</v>
      </c>
      <c r="E63" s="11">
        <v>0</v>
      </c>
      <c r="F63" s="11">
        <v>0</v>
      </c>
      <c r="G63" s="11">
        <v>56748.662526315798</v>
      </c>
      <c r="H63" s="11">
        <v>4798.7199999999502</v>
      </c>
      <c r="I63" s="11">
        <v>100000</v>
      </c>
      <c r="J63" s="11">
        <v>0</v>
      </c>
      <c r="K63" s="11">
        <v>894.69919999999956</v>
      </c>
      <c r="L63" s="11">
        <v>0</v>
      </c>
      <c r="M63" s="29">
        <f t="shared" si="0"/>
        <v>471609.35152840923</v>
      </c>
      <c r="N63" s="11">
        <v>0</v>
      </c>
      <c r="O63" s="11">
        <v>0</v>
      </c>
      <c r="P63" s="29">
        <f t="shared" si="3"/>
        <v>471609.35152840923</v>
      </c>
      <c r="Q63" s="11">
        <v>-6059.7</v>
      </c>
      <c r="R63" s="29">
        <f t="shared" si="4"/>
        <v>465549.65152840922</v>
      </c>
      <c r="S63" s="11">
        <v>5000</v>
      </c>
      <c r="U63" s="11">
        <v>9009.75</v>
      </c>
      <c r="X63" s="11">
        <v>66912.714224561409</v>
      </c>
      <c r="Y63" s="11">
        <v>0</v>
      </c>
      <c r="Z63" s="29">
        <f t="shared" si="5"/>
        <v>546472.11575297057</v>
      </c>
      <c r="AD63" s="11" t="s">
        <v>1100</v>
      </c>
      <c r="AG63" s="11">
        <v>217006.84450000001</v>
      </c>
      <c r="AH63" s="11">
        <v>0</v>
      </c>
      <c r="AI63" s="11">
        <v>448205.32351295778</v>
      </c>
      <c r="AJ63" s="11">
        <f t="shared" si="6"/>
        <v>23404.028015451448</v>
      </c>
      <c r="AM63" s="30">
        <v>3526</v>
      </c>
      <c r="AN63" s="2" t="s">
        <v>1100</v>
      </c>
      <c r="AO63" s="11">
        <v>448205.31951295782</v>
      </c>
      <c r="AP63" s="11">
        <f t="shared" si="7"/>
        <v>-23404.032015451405</v>
      </c>
    </row>
    <row r="64" spans="1:43" s="11" customFormat="1" ht="12.75" x14ac:dyDescent="0.2">
      <c r="A64" s="9" t="s">
        <v>104</v>
      </c>
      <c r="B64" s="26">
        <v>3535</v>
      </c>
      <c r="C64" s="11">
        <v>751405.34674399998</v>
      </c>
      <c r="D64" s="11">
        <v>242805.69025291398</v>
      </c>
      <c r="E64" s="11">
        <v>0</v>
      </c>
      <c r="F64" s="11">
        <v>0</v>
      </c>
      <c r="G64" s="11">
        <v>64407.623776595829</v>
      </c>
      <c r="H64" s="11">
        <v>0</v>
      </c>
      <c r="I64" s="11">
        <v>100000</v>
      </c>
      <c r="J64" s="11">
        <v>0</v>
      </c>
      <c r="K64" s="11">
        <v>2187.4409999999989</v>
      </c>
      <c r="L64" s="11">
        <v>0</v>
      </c>
      <c r="M64" s="29">
        <f t="shared" si="0"/>
        <v>1160806.10177351</v>
      </c>
      <c r="N64" s="11">
        <v>53485.388255127007</v>
      </c>
      <c r="O64" s="11">
        <v>0</v>
      </c>
      <c r="P64" s="29">
        <f t="shared" si="3"/>
        <v>1214291.490028637</v>
      </c>
      <c r="Q64" s="11">
        <v>-19054.39</v>
      </c>
      <c r="R64" s="29">
        <f t="shared" si="4"/>
        <v>1195237.1000286371</v>
      </c>
      <c r="S64" s="11">
        <v>0</v>
      </c>
      <c r="U64" s="11">
        <v>3754.06</v>
      </c>
      <c r="X64" s="11">
        <v>0</v>
      </c>
      <c r="Y64" s="11">
        <v>0</v>
      </c>
      <c r="Z64" s="29">
        <f t="shared" si="5"/>
        <v>1198991.1600286372</v>
      </c>
      <c r="AD64" s="11" t="s">
        <v>1101</v>
      </c>
      <c r="AG64" s="11">
        <v>758247.44490000012</v>
      </c>
      <c r="AH64" s="11">
        <v>56226.980855125235</v>
      </c>
      <c r="AI64" s="11">
        <v>1267981.5490371208</v>
      </c>
      <c r="AJ64" s="11">
        <f t="shared" si="6"/>
        <v>-53690.059008483775</v>
      </c>
      <c r="AM64" s="30">
        <v>3535</v>
      </c>
      <c r="AN64" s="2" t="s">
        <v>1101</v>
      </c>
      <c r="AO64" s="11">
        <v>1267981.5470750001</v>
      </c>
      <c r="AP64" s="11">
        <f t="shared" si="7"/>
        <v>53690.05704636313</v>
      </c>
    </row>
    <row r="65" spans="1:42 16384:16384" s="11" customFormat="1" ht="12.75" x14ac:dyDescent="0.2">
      <c r="A65" s="12" t="s">
        <v>64</v>
      </c>
      <c r="B65" s="26">
        <v>2008</v>
      </c>
      <c r="C65" s="11">
        <v>600062.22036799998</v>
      </c>
      <c r="D65" s="11">
        <v>132448.14666499273</v>
      </c>
      <c r="E65" s="11">
        <v>0</v>
      </c>
      <c r="F65" s="11">
        <v>0</v>
      </c>
      <c r="G65" s="11">
        <v>14800.7019489796</v>
      </c>
      <c r="H65" s="11">
        <v>0</v>
      </c>
      <c r="I65" s="11">
        <v>100000</v>
      </c>
      <c r="J65" s="11">
        <v>0</v>
      </c>
      <c r="K65" s="11">
        <v>2011.4399999999996</v>
      </c>
      <c r="L65" s="11">
        <v>0</v>
      </c>
      <c r="M65" s="29">
        <f t="shared" si="0"/>
        <v>849322.50898197223</v>
      </c>
      <c r="N65" s="11">
        <v>0</v>
      </c>
      <c r="O65" s="11">
        <v>0</v>
      </c>
      <c r="P65" s="29">
        <f t="shared" si="3"/>
        <v>849322.50898197223</v>
      </c>
      <c r="Q65" s="11">
        <v>0</v>
      </c>
      <c r="R65" s="29">
        <f t="shared" si="4"/>
        <v>849322.50898197223</v>
      </c>
      <c r="S65" s="11">
        <v>5000</v>
      </c>
      <c r="U65" s="11">
        <v>6006.5</v>
      </c>
      <c r="X65" s="11">
        <v>0</v>
      </c>
      <c r="Y65" s="11">
        <v>0</v>
      </c>
      <c r="Z65" s="29">
        <f t="shared" si="5"/>
        <v>860329.00898197223</v>
      </c>
      <c r="AD65" s="11" t="s">
        <v>1102</v>
      </c>
      <c r="AG65" s="11">
        <v>582088.94760000007</v>
      </c>
      <c r="AH65" s="11">
        <v>3634.8691070290515</v>
      </c>
      <c r="AI65" s="11">
        <v>852702.18511382269</v>
      </c>
      <c r="AJ65" s="11">
        <f t="shared" si="6"/>
        <v>-3379.6761318504578</v>
      </c>
      <c r="AM65" s="30">
        <v>2008</v>
      </c>
      <c r="AN65" s="2" t="s">
        <v>1102</v>
      </c>
      <c r="AO65" s="11">
        <v>852702.18503400008</v>
      </c>
      <c r="AP65" s="11">
        <f t="shared" si="7"/>
        <v>3379.6760520278476</v>
      </c>
    </row>
    <row r="66" spans="1:42 16384:16384" s="11" customFormat="1" ht="12.75" x14ac:dyDescent="0.2">
      <c r="A66" s="9" t="s">
        <v>105</v>
      </c>
      <c r="B66" s="26">
        <v>3542</v>
      </c>
      <c r="C66" s="11">
        <v>934610.18393599987</v>
      </c>
      <c r="D66" s="11">
        <v>170046.16985602817</v>
      </c>
      <c r="E66" s="11">
        <v>4048.1496747875358</v>
      </c>
      <c r="F66" s="11">
        <v>0</v>
      </c>
      <c r="G66" s="11">
        <v>82333.001343999887</v>
      </c>
      <c r="H66" s="11">
        <v>0</v>
      </c>
      <c r="I66" s="11">
        <v>100000</v>
      </c>
      <c r="J66" s="11">
        <v>0</v>
      </c>
      <c r="K66" s="11">
        <v>4224.0239999999976</v>
      </c>
      <c r="L66" s="11">
        <v>0</v>
      </c>
      <c r="M66" s="29">
        <f t="shared" ref="M66:M73" si="8">SUM(C66:L66)</f>
        <v>1295261.5288108157</v>
      </c>
      <c r="N66" s="11">
        <v>0</v>
      </c>
      <c r="O66" s="11">
        <v>0</v>
      </c>
      <c r="P66" s="29">
        <f t="shared" si="3"/>
        <v>1295261.5288108157</v>
      </c>
      <c r="Q66" s="11">
        <v>-23700.16</v>
      </c>
      <c r="R66" s="29">
        <f t="shared" si="4"/>
        <v>1271561.3688108157</v>
      </c>
      <c r="S66" s="11">
        <v>22548.090551181103</v>
      </c>
      <c r="U66" s="11">
        <v>30032.5</v>
      </c>
      <c r="X66" s="11">
        <v>0</v>
      </c>
      <c r="Y66" s="11">
        <v>0</v>
      </c>
      <c r="Z66" s="29">
        <f t="shared" si="5"/>
        <v>1324141.9593619967</v>
      </c>
      <c r="AD66" s="11" t="s">
        <v>1104</v>
      </c>
      <c r="AG66" s="11">
        <v>896110.61670000013</v>
      </c>
      <c r="AH66" s="11">
        <v>0</v>
      </c>
      <c r="AI66" s="11">
        <v>1266465.0321832367</v>
      </c>
      <c r="AJ66" s="11">
        <f t="shared" si="6"/>
        <v>28796.496627578977</v>
      </c>
      <c r="AM66" s="30">
        <v>3542</v>
      </c>
      <c r="AN66" s="2" t="s">
        <v>1104</v>
      </c>
      <c r="AO66" s="11">
        <v>1266465.0301832366</v>
      </c>
      <c r="AP66" s="11">
        <f t="shared" si="7"/>
        <v>-28796.498627579072</v>
      </c>
    </row>
    <row r="67" spans="1:42 16384:16384" s="11" customFormat="1" ht="12.75" x14ac:dyDescent="0.2">
      <c r="A67" s="9" t="s">
        <v>106</v>
      </c>
      <c r="B67" s="26">
        <v>3528</v>
      </c>
      <c r="C67" s="11">
        <v>918679.32852799993</v>
      </c>
      <c r="D67" s="11">
        <v>156105.41643633443</v>
      </c>
      <c r="E67" s="11">
        <v>1373.0585870967741</v>
      </c>
      <c r="F67" s="11">
        <v>0</v>
      </c>
      <c r="G67" s="11">
        <v>73006.987758903982</v>
      </c>
      <c r="H67" s="11">
        <v>6478.2720000000081</v>
      </c>
      <c r="I67" s="11">
        <v>100000</v>
      </c>
      <c r="J67" s="11">
        <v>0</v>
      </c>
      <c r="K67" s="11">
        <v>7593.1859999999979</v>
      </c>
      <c r="L67" s="11">
        <v>0</v>
      </c>
      <c r="M67" s="29">
        <f t="shared" si="8"/>
        <v>1263236.2493103354</v>
      </c>
      <c r="N67" s="11">
        <v>0</v>
      </c>
      <c r="O67" s="11">
        <v>0</v>
      </c>
      <c r="P67" s="29">
        <f t="shared" si="3"/>
        <v>1263236.2493103354</v>
      </c>
      <c r="Q67" s="11">
        <v>-23296.18</v>
      </c>
      <c r="R67" s="29">
        <f t="shared" si="4"/>
        <v>1239940.0693103354</v>
      </c>
      <c r="S67" s="11">
        <v>22548.090551181103</v>
      </c>
      <c r="U67" s="11">
        <v>6006.5</v>
      </c>
      <c r="X67" s="11">
        <v>57964.920987577643</v>
      </c>
      <c r="Y67" s="11">
        <v>0</v>
      </c>
      <c r="Z67" s="29">
        <f t="shared" si="5"/>
        <v>1326459.5808490941</v>
      </c>
      <c r="AD67" s="11" t="s">
        <v>1105</v>
      </c>
      <c r="AG67" s="11">
        <v>885898.52990000008</v>
      </c>
      <c r="AH67" s="11">
        <v>0</v>
      </c>
      <c r="AI67" s="11">
        <v>1243528.5089631202</v>
      </c>
      <c r="AJ67" s="11">
        <f t="shared" si="6"/>
        <v>19707.740347215207</v>
      </c>
      <c r="AM67" s="30">
        <v>3528</v>
      </c>
      <c r="AN67" s="2" t="s">
        <v>1105</v>
      </c>
      <c r="AO67" s="11">
        <v>1243528.5089631199</v>
      </c>
      <c r="AP67" s="11">
        <f t="shared" si="7"/>
        <v>-19707.74034721544</v>
      </c>
    </row>
    <row r="68" spans="1:42 16384:16384" s="11" customFormat="1" ht="12.75" x14ac:dyDescent="0.2">
      <c r="A68" s="9" t="s">
        <v>107</v>
      </c>
      <c r="B68" s="26">
        <v>3534</v>
      </c>
      <c r="C68" s="11">
        <v>677061.35483999993</v>
      </c>
      <c r="D68" s="11">
        <v>47629.660350973252</v>
      </c>
      <c r="E68" s="11">
        <v>0</v>
      </c>
      <c r="F68" s="11">
        <v>0</v>
      </c>
      <c r="G68" s="11">
        <v>18900.262275590558</v>
      </c>
      <c r="H68" s="11">
        <v>0</v>
      </c>
      <c r="I68" s="11">
        <v>100000</v>
      </c>
      <c r="J68" s="11">
        <v>0</v>
      </c>
      <c r="K68" s="11">
        <v>2489.1569999999992</v>
      </c>
      <c r="L68" s="11">
        <v>0</v>
      </c>
      <c r="M68" s="29">
        <f t="shared" si="8"/>
        <v>846080.43446656375</v>
      </c>
      <c r="N68" s="11">
        <v>0</v>
      </c>
      <c r="O68" s="11">
        <v>0</v>
      </c>
      <c r="P68" s="29">
        <f t="shared" ref="P68:P72" si="9">SUM(M68:O68)</f>
        <v>846080.43446656375</v>
      </c>
      <c r="Q68" s="11">
        <v>-17169.149999999998</v>
      </c>
      <c r="R68" s="29">
        <f t="shared" ref="R68:R73" si="10">SUM(P68+Q68)</f>
        <v>828911.28446656372</v>
      </c>
      <c r="S68" s="11">
        <v>0</v>
      </c>
      <c r="U68" s="11">
        <v>9009.75</v>
      </c>
      <c r="X68" s="11">
        <v>0</v>
      </c>
      <c r="Y68" s="11">
        <v>0</v>
      </c>
      <c r="Z68" s="29">
        <f t="shared" ref="Z68:Z73" si="11">SUM(R68:Y68)</f>
        <v>837921.03446656372</v>
      </c>
      <c r="AD68" s="11" t="s">
        <v>1106</v>
      </c>
      <c r="AG68" s="11">
        <v>622937.29480000003</v>
      </c>
      <c r="AH68" s="11">
        <v>0</v>
      </c>
      <c r="AI68" s="11">
        <v>791299.78160170978</v>
      </c>
      <c r="AJ68" s="11">
        <f t="shared" ref="AJ68:AJ73" si="12">P68-AI68</f>
        <v>54780.652864853968</v>
      </c>
      <c r="AM68" s="30">
        <v>3534</v>
      </c>
      <c r="AN68" s="2" t="s">
        <v>1106</v>
      </c>
      <c r="AO68" s="11">
        <v>791299.78360170976</v>
      </c>
      <c r="AP68" s="11">
        <f t="shared" ref="AP68:AP73" si="13">AO68-P68</f>
        <v>-54780.650864853989</v>
      </c>
    </row>
    <row r="69" spans="1:42 16384:16384" s="11" customFormat="1" ht="12.75" x14ac:dyDescent="0.2">
      <c r="A69" s="9" t="s">
        <v>108</v>
      </c>
      <c r="B69" s="26">
        <v>3532</v>
      </c>
      <c r="C69" s="11">
        <v>841680.19405599998</v>
      </c>
      <c r="D69" s="11">
        <v>35369.63872436541</v>
      </c>
      <c r="E69" s="11">
        <v>0</v>
      </c>
      <c r="F69" s="11">
        <v>0</v>
      </c>
      <c r="G69" s="11">
        <v>0</v>
      </c>
      <c r="H69" s="11">
        <v>0</v>
      </c>
      <c r="I69" s="11">
        <v>100000</v>
      </c>
      <c r="J69" s="11">
        <v>0</v>
      </c>
      <c r="K69" s="11">
        <v>3570.3059999999987</v>
      </c>
      <c r="L69" s="11">
        <v>0</v>
      </c>
      <c r="M69" s="29">
        <f t="shared" si="8"/>
        <v>980620.13878036535</v>
      </c>
      <c r="N69" s="11">
        <v>0</v>
      </c>
      <c r="O69" s="11">
        <v>0</v>
      </c>
      <c r="P69" s="29">
        <f t="shared" si="9"/>
        <v>980620.13878036535</v>
      </c>
      <c r="Q69" s="11">
        <v>-21343.61</v>
      </c>
      <c r="R69" s="29">
        <f t="shared" si="10"/>
        <v>959276.52878036536</v>
      </c>
      <c r="S69" s="11">
        <v>30913.484251968504</v>
      </c>
      <c r="U69" s="11">
        <v>0</v>
      </c>
      <c r="X69" s="11">
        <v>0</v>
      </c>
      <c r="Y69" s="11">
        <v>0</v>
      </c>
      <c r="Z69" s="29">
        <f t="shared" si="11"/>
        <v>990190.01303233393</v>
      </c>
      <c r="AD69" s="11" t="s">
        <v>1107</v>
      </c>
      <c r="AG69" s="11">
        <v>791436.72700000007</v>
      </c>
      <c r="AH69" s="11">
        <v>0</v>
      </c>
      <c r="AI69" s="11">
        <v>936380.66188515874</v>
      </c>
      <c r="AJ69" s="11">
        <f t="shared" si="12"/>
        <v>44239.476895206608</v>
      </c>
      <c r="AM69" s="30">
        <v>3532</v>
      </c>
      <c r="AN69" s="2" t="s">
        <v>1107</v>
      </c>
      <c r="AO69" s="11">
        <v>936380.66388515872</v>
      </c>
      <c r="AP69" s="11">
        <f t="shared" si="13"/>
        <v>-44239.474895206629</v>
      </c>
    </row>
    <row r="70" spans="1:42 16384:16384" s="11" customFormat="1" ht="12.75" x14ac:dyDescent="0.2">
      <c r="A70" s="9" t="s">
        <v>65</v>
      </c>
      <c r="B70" s="26">
        <v>3546</v>
      </c>
      <c r="C70" s="11">
        <v>1553258.4022799998</v>
      </c>
      <c r="D70" s="11">
        <v>427071.29428119276</v>
      </c>
      <c r="E70" s="11">
        <v>2782.5369753954305</v>
      </c>
      <c r="F70" s="11">
        <v>0</v>
      </c>
      <c r="G70" s="11">
        <v>124392.57692727249</v>
      </c>
      <c r="H70" s="11">
        <v>599.8400000000953</v>
      </c>
      <c r="I70" s="11">
        <v>100000</v>
      </c>
      <c r="J70" s="11">
        <v>0</v>
      </c>
      <c r="K70" s="11">
        <v>62857.5</v>
      </c>
      <c r="L70" s="11">
        <v>0</v>
      </c>
      <c r="M70" s="29">
        <f t="shared" si="8"/>
        <v>2270962.1504638609</v>
      </c>
      <c r="N70" s="11">
        <v>119546.80853674281</v>
      </c>
      <c r="O70" s="11">
        <v>0</v>
      </c>
      <c r="P70" s="29">
        <f t="shared" si="9"/>
        <v>2390508.9590006038</v>
      </c>
      <c r="Q70" s="11">
        <v>-39388.049999999996</v>
      </c>
      <c r="R70" s="29">
        <f t="shared" si="10"/>
        <v>2351120.9090006039</v>
      </c>
      <c r="S70" s="11">
        <v>15000</v>
      </c>
      <c r="U70" s="11">
        <v>18019.5</v>
      </c>
      <c r="X70" s="11">
        <v>145674.43432373941</v>
      </c>
      <c r="Y70" s="11">
        <v>0</v>
      </c>
      <c r="Z70" s="29">
        <f t="shared" si="11"/>
        <v>2529814.8433243432</v>
      </c>
      <c r="AD70" s="11" t="s">
        <v>1109</v>
      </c>
      <c r="AG70" s="11">
        <v>1393949.8482000001</v>
      </c>
      <c r="AH70" s="11">
        <v>68652.869223567657</v>
      </c>
      <c r="AI70" s="11">
        <v>2154166.3817338967</v>
      </c>
      <c r="AJ70" s="11">
        <f t="shared" si="12"/>
        <v>236342.57726670709</v>
      </c>
      <c r="AM70" s="30">
        <v>3546</v>
      </c>
      <c r="AN70" s="2" t="s">
        <v>1109</v>
      </c>
      <c r="AO70" s="11">
        <v>2154166.3817065</v>
      </c>
      <c r="AP70" s="11">
        <f t="shared" si="13"/>
        <v>-236342.5772941038</v>
      </c>
    </row>
    <row r="71" spans="1:42 16384:16384" s="11" customFormat="1" ht="12.75" x14ac:dyDescent="0.2">
      <c r="A71" s="9" t="s">
        <v>109</v>
      </c>
      <c r="B71" s="26">
        <v>3530</v>
      </c>
      <c r="C71" s="11">
        <v>889472.76027999993</v>
      </c>
      <c r="D71" s="11">
        <v>18704.597107891201</v>
      </c>
      <c r="E71" s="11">
        <v>0</v>
      </c>
      <c r="F71" s="11">
        <v>0</v>
      </c>
      <c r="G71" s="11">
        <v>4231.3036605166008</v>
      </c>
      <c r="H71" s="11">
        <v>0</v>
      </c>
      <c r="I71" s="11">
        <v>100000</v>
      </c>
      <c r="J71" s="11">
        <v>0</v>
      </c>
      <c r="K71" s="11">
        <v>4903.3779999999988</v>
      </c>
      <c r="L71" s="11">
        <v>0</v>
      </c>
      <c r="M71" s="29">
        <f t="shared" si="8"/>
        <v>1017312.0390484078</v>
      </c>
      <c r="N71" s="11">
        <v>0</v>
      </c>
      <c r="O71" s="11">
        <v>0</v>
      </c>
      <c r="P71" s="29">
        <f t="shared" si="9"/>
        <v>1017312.0390484078</v>
      </c>
      <c r="Q71" s="11">
        <v>-22555.55</v>
      </c>
      <c r="R71" s="29">
        <f t="shared" si="10"/>
        <v>994756.48904840776</v>
      </c>
      <c r="S71" s="11">
        <v>10000</v>
      </c>
      <c r="U71" s="11">
        <v>13514.63</v>
      </c>
      <c r="X71" s="11">
        <v>111295.62265857586</v>
      </c>
      <c r="Y71" s="11">
        <v>0</v>
      </c>
      <c r="Z71" s="29">
        <f t="shared" si="11"/>
        <v>1129566.7417069837</v>
      </c>
      <c r="AD71" s="11" t="s">
        <v>1111</v>
      </c>
      <c r="AG71" s="11">
        <v>809307.87890000013</v>
      </c>
      <c r="AH71" s="11">
        <v>0</v>
      </c>
      <c r="AI71" s="11">
        <v>937894.54145797063</v>
      </c>
      <c r="AJ71" s="11">
        <f t="shared" si="12"/>
        <v>79417.497590437182</v>
      </c>
      <c r="AM71" s="30">
        <v>3530</v>
      </c>
      <c r="AN71" s="2" t="s">
        <v>1111</v>
      </c>
      <c r="AO71" s="11">
        <v>937894.53945797076</v>
      </c>
      <c r="AP71" s="11">
        <f t="shared" si="13"/>
        <v>-79417.499590437044</v>
      </c>
    </row>
    <row r="72" spans="1:42 16384:16384" s="11" customFormat="1" ht="12.75" x14ac:dyDescent="0.2">
      <c r="A72" s="9" t="s">
        <v>67</v>
      </c>
      <c r="B72" s="26">
        <v>2459</v>
      </c>
      <c r="C72" s="11">
        <v>1014264.4609759999</v>
      </c>
      <c r="D72" s="11">
        <v>38593.510436559533</v>
      </c>
      <c r="E72" s="11">
        <v>0</v>
      </c>
      <c r="F72" s="11">
        <v>0</v>
      </c>
      <c r="G72" s="11">
        <v>33191.939331692454</v>
      </c>
      <c r="H72" s="11">
        <v>0</v>
      </c>
      <c r="I72" s="11">
        <v>100000</v>
      </c>
      <c r="J72" s="11">
        <v>0</v>
      </c>
      <c r="K72" s="11">
        <v>13200.074999999999</v>
      </c>
      <c r="L72" s="11">
        <v>0</v>
      </c>
      <c r="M72" s="29">
        <f t="shared" si="8"/>
        <v>1199249.9857442519</v>
      </c>
      <c r="N72" s="11">
        <v>0</v>
      </c>
      <c r="O72" s="11">
        <v>0</v>
      </c>
      <c r="P72" s="29">
        <f t="shared" si="9"/>
        <v>1199249.9857442519</v>
      </c>
      <c r="Q72" s="11">
        <v>-25720.059999999998</v>
      </c>
      <c r="R72" s="29">
        <f t="shared" si="10"/>
        <v>1173529.9257442518</v>
      </c>
      <c r="S72" s="11">
        <v>18365.393700787401</v>
      </c>
      <c r="U72" s="11">
        <v>17297.759999999998</v>
      </c>
      <c r="X72" s="11">
        <v>0</v>
      </c>
      <c r="Y72" s="11">
        <v>0</v>
      </c>
      <c r="Z72" s="29">
        <f t="shared" si="11"/>
        <v>1209193.0794450392</v>
      </c>
      <c r="AD72" s="11" t="s">
        <v>1112</v>
      </c>
      <c r="AG72" s="11">
        <v>995678.46300000011</v>
      </c>
      <c r="AH72" s="11">
        <v>0</v>
      </c>
      <c r="AI72" s="11">
        <v>1153371.0923493076</v>
      </c>
      <c r="AJ72" s="11">
        <f t="shared" si="12"/>
        <v>45878.893394944258</v>
      </c>
      <c r="AM72" s="30">
        <v>2459</v>
      </c>
      <c r="AN72" s="2" t="s">
        <v>1112</v>
      </c>
      <c r="AO72" s="11">
        <v>1153371.0923493076</v>
      </c>
      <c r="AP72" s="11">
        <f t="shared" si="13"/>
        <v>-45878.893394944258</v>
      </c>
    </row>
    <row r="73" spans="1:42 16384:16384" s="11" customFormat="1" ht="12.75" x14ac:dyDescent="0.2">
      <c r="A73" s="9" t="s">
        <v>846</v>
      </c>
      <c r="B73" s="10">
        <v>4000</v>
      </c>
      <c r="C73" s="11">
        <v>567536.72390999994</v>
      </c>
      <c r="D73" s="11">
        <v>131181.12967952073</v>
      </c>
      <c r="E73" s="11">
        <v>0</v>
      </c>
      <c r="F73" s="11">
        <v>0</v>
      </c>
      <c r="G73" s="11">
        <v>124119.60340178579</v>
      </c>
      <c r="H73" s="11">
        <v>27456.312727272707</v>
      </c>
      <c r="I73" s="11">
        <v>100000</v>
      </c>
      <c r="J73" s="11">
        <v>0</v>
      </c>
      <c r="K73" s="11">
        <v>14078.108</v>
      </c>
      <c r="L73" s="11">
        <v>0</v>
      </c>
      <c r="M73" s="29">
        <f t="shared" si="8"/>
        <v>964371.87771857926</v>
      </c>
      <c r="N73" s="11">
        <v>0</v>
      </c>
      <c r="O73" s="11">
        <v>0</v>
      </c>
      <c r="P73" s="29">
        <f t="shared" ref="P73" si="14">SUM(M73:O73)</f>
        <v>964371.87771857926</v>
      </c>
      <c r="Q73" s="11">
        <v>0</v>
      </c>
      <c r="R73" s="29">
        <f t="shared" si="10"/>
        <v>964371.87771857926</v>
      </c>
      <c r="S73" s="11">
        <v>5000</v>
      </c>
      <c r="U73" s="11">
        <v>0</v>
      </c>
      <c r="X73" s="11">
        <v>0</v>
      </c>
      <c r="Y73" s="982"/>
      <c r="Z73" s="29">
        <f t="shared" si="11"/>
        <v>969371.87771857926</v>
      </c>
      <c r="AD73" s="11" t="s">
        <v>1114</v>
      </c>
      <c r="AG73" s="11">
        <v>584641.9693</v>
      </c>
      <c r="AH73" s="11">
        <v>0</v>
      </c>
      <c r="AI73" s="11">
        <v>994660.93229386024</v>
      </c>
      <c r="AJ73" s="11">
        <f t="shared" si="12"/>
        <v>-30289.054575280985</v>
      </c>
      <c r="AM73" s="30">
        <v>4000</v>
      </c>
      <c r="AN73" s="2" t="s">
        <v>1114</v>
      </c>
      <c r="AO73" s="11">
        <v>994660.93229386024</v>
      </c>
      <c r="AP73" s="11">
        <f t="shared" si="13"/>
        <v>30289.054575280985</v>
      </c>
    </row>
    <row r="74" spans="1:42 16384:16384" s="11" customFormat="1" ht="12.75" x14ac:dyDescent="0.2">
      <c r="A74" s="9"/>
      <c r="B74" s="26"/>
      <c r="R74" s="29"/>
      <c r="Z74" s="29"/>
      <c r="AM74" s="30"/>
      <c r="AN74" s="2"/>
    </row>
    <row r="75" spans="1:42 16384:16384" s="11" customFormat="1" ht="12.75" x14ac:dyDescent="0.2">
      <c r="A75" s="1" t="s">
        <v>110</v>
      </c>
      <c r="B75" s="24" t="s">
        <v>110</v>
      </c>
      <c r="C75" s="29">
        <f>SUM(C2:C74)</f>
        <v>59085993.875107348</v>
      </c>
      <c r="D75" s="29">
        <f t="shared" ref="D75:Z75" si="15">SUM(D2:D74)</f>
        <v>11680747.947238836</v>
      </c>
      <c r="E75" s="29">
        <f t="shared" si="15"/>
        <v>92418.583563810898</v>
      </c>
      <c r="F75" s="29">
        <f t="shared" si="15"/>
        <v>0</v>
      </c>
      <c r="G75" s="29">
        <f t="shared" si="15"/>
        <v>3032086.3569122106</v>
      </c>
      <c r="H75" s="29">
        <f t="shared" si="15"/>
        <v>417577.21689772222</v>
      </c>
      <c r="I75" s="29">
        <f t="shared" si="15"/>
        <v>7200000</v>
      </c>
      <c r="J75" s="29">
        <f t="shared" si="15"/>
        <v>0</v>
      </c>
      <c r="K75" s="29">
        <f t="shared" si="15"/>
        <v>1053547.8651999999</v>
      </c>
      <c r="L75" s="29">
        <f t="shared" si="15"/>
        <v>296937.67</v>
      </c>
      <c r="M75" s="29">
        <f t="shared" si="15"/>
        <v>82859309.514919937</v>
      </c>
      <c r="N75" s="29">
        <f t="shared" si="15"/>
        <v>858815.37535881891</v>
      </c>
      <c r="O75" s="29">
        <f t="shared" si="15"/>
        <v>0</v>
      </c>
      <c r="P75" s="29">
        <f t="shared" si="15"/>
        <v>83718124.890278757</v>
      </c>
      <c r="Q75" s="29">
        <f t="shared" si="15"/>
        <v>-1348614.2891666663</v>
      </c>
      <c r="R75" s="29">
        <f t="shared" si="15"/>
        <v>82369510.601112038</v>
      </c>
      <c r="S75" s="29">
        <f t="shared" si="15"/>
        <v>1324904.6062992127</v>
      </c>
      <c r="T75" s="29">
        <f t="shared" si="15"/>
        <v>2455728.7549999999</v>
      </c>
      <c r="U75" s="29">
        <f t="shared" si="15"/>
        <v>1303615.1399999999</v>
      </c>
      <c r="V75" s="29">
        <f t="shared" si="15"/>
        <v>0</v>
      </c>
      <c r="W75" s="29">
        <f t="shared" si="15"/>
        <v>0</v>
      </c>
      <c r="X75" s="106">
        <f t="shared" si="15"/>
        <v>4086021.9083195897</v>
      </c>
      <c r="Y75" s="29">
        <f t="shared" si="15"/>
        <v>0</v>
      </c>
      <c r="Z75" s="29">
        <f t="shared" si="15"/>
        <v>91539781.010730892</v>
      </c>
      <c r="AB75" s="29"/>
      <c r="AC75" s="29"/>
      <c r="AE75" s="29"/>
      <c r="AF75" s="29"/>
      <c r="AG75" s="29">
        <f t="shared" ref="AG75:AJ75" si="16">SUM(AG2:AG74)</f>
        <v>55959835.823601983</v>
      </c>
      <c r="AH75" s="29">
        <v>722328.93257159658</v>
      </c>
      <c r="AI75" s="29">
        <v>80535046.345278531</v>
      </c>
      <c r="AJ75" s="29">
        <f t="shared" si="16"/>
        <v>3183078.5450001769</v>
      </c>
      <c r="AM75" s="30"/>
      <c r="AN75" s="2"/>
      <c r="XFD75" s="29"/>
    </row>
    <row r="76" spans="1:42 16384:16384" s="11" customFormat="1" ht="12.75" x14ac:dyDescent="0.2">
      <c r="A76" s="9"/>
      <c r="B76" s="26"/>
      <c r="R76" s="29"/>
      <c r="X76" s="11">
        <v>0</v>
      </c>
      <c r="Z76" s="29"/>
      <c r="AM76" s="30"/>
      <c r="AN76" s="2"/>
    </row>
    <row r="77" spans="1:42 16384:16384" s="11" customFormat="1" ht="12.75" x14ac:dyDescent="0.2">
      <c r="A77" s="9" t="s">
        <v>75</v>
      </c>
      <c r="B77" s="26">
        <v>5402</v>
      </c>
      <c r="C77" s="11">
        <v>5129196.3565440001</v>
      </c>
      <c r="D77" s="11">
        <v>185008.49512372966</v>
      </c>
      <c r="E77" s="11">
        <v>9429.5900862537765</v>
      </c>
      <c r="F77" s="11">
        <v>153888.85172034576</v>
      </c>
      <c r="G77" s="11">
        <v>47814.91507553203</v>
      </c>
      <c r="H77" s="11">
        <v>0</v>
      </c>
      <c r="I77" s="11">
        <v>150000</v>
      </c>
      <c r="J77" s="11">
        <v>0</v>
      </c>
      <c r="K77" s="11">
        <v>40228.799999999988</v>
      </c>
      <c r="L77" s="11">
        <v>0</v>
      </c>
      <c r="M77" s="29">
        <f t="shared" ref="M77:M89" si="17">SUM(C77:L77)</f>
        <v>5715567.0085498616</v>
      </c>
      <c r="N77" s="11">
        <v>0</v>
      </c>
      <c r="O77" s="11">
        <v>0</v>
      </c>
      <c r="P77" s="29">
        <f t="shared" ref="P77:P88" si="18">SUM(M77:O77)</f>
        <v>5715567.0085498616</v>
      </c>
      <c r="Q77" s="11">
        <v>0</v>
      </c>
      <c r="R77" s="29">
        <f t="shared" ref="R77:R89" si="19">SUM(P77+Q77)</f>
        <v>5715567.0085498616</v>
      </c>
      <c r="S77" s="11">
        <v>0</v>
      </c>
      <c r="U77" s="11">
        <v>66276.44</v>
      </c>
      <c r="X77" s="11">
        <v>0</v>
      </c>
      <c r="Z77" s="29">
        <f t="shared" ref="Z77:Z91" si="20">SUM(R77:Y77)</f>
        <v>5781843.448549862</v>
      </c>
      <c r="AA77" s="9"/>
      <c r="AD77" s="11" t="s">
        <v>1117</v>
      </c>
      <c r="AG77" s="11">
        <v>4970365.2</v>
      </c>
      <c r="AH77" s="11">
        <v>0</v>
      </c>
      <c r="AI77" s="11">
        <v>5581026.966836025</v>
      </c>
      <c r="AJ77" s="11">
        <f t="shared" ref="AJ77:AJ89" si="21">P77-AI77</f>
        <v>134540.0417138366</v>
      </c>
      <c r="AM77" s="30">
        <v>5402</v>
      </c>
      <c r="AN77" s="2" t="str">
        <f>CONCATENATE(831,B77)</f>
        <v>8315402</v>
      </c>
      <c r="AO77" s="11">
        <v>5581026.9668360241</v>
      </c>
      <c r="AP77" s="11">
        <f t="shared" ref="AP77:AP95" si="22">AO77-P77</f>
        <v>-134540.04171383753</v>
      </c>
    </row>
    <row r="78" spans="1:42 16384:16384" s="11" customFormat="1" ht="12.75" x14ac:dyDescent="0.2">
      <c r="A78" s="9" t="s">
        <v>68</v>
      </c>
      <c r="B78" s="26">
        <v>4608</v>
      </c>
      <c r="C78" s="11">
        <v>2162011.0096</v>
      </c>
      <c r="D78" s="11">
        <v>407620.51015922776</v>
      </c>
      <c r="E78" s="11">
        <v>4104.0178606557374</v>
      </c>
      <c r="F78" s="11">
        <v>150065.0134078213</v>
      </c>
      <c r="G78" s="11">
        <v>30153.068399999964</v>
      </c>
      <c r="H78" s="11">
        <v>0</v>
      </c>
      <c r="I78" s="11">
        <v>150000</v>
      </c>
      <c r="J78" s="11">
        <v>0</v>
      </c>
      <c r="K78" s="11">
        <v>16915.099999999991</v>
      </c>
      <c r="L78" s="11">
        <v>21560.99</v>
      </c>
      <c r="M78" s="29">
        <f t="shared" si="17"/>
        <v>2942429.7094277046</v>
      </c>
      <c r="N78" s="11">
        <v>104551.21458545281</v>
      </c>
      <c r="O78" s="11">
        <v>0</v>
      </c>
      <c r="P78" s="29">
        <f t="shared" si="18"/>
        <v>3046980.9240131574</v>
      </c>
      <c r="Q78" s="11">
        <v>-33771.75</v>
      </c>
      <c r="R78" s="29">
        <f t="shared" si="19"/>
        <v>3013209.1740131574</v>
      </c>
      <c r="S78" s="11">
        <v>0</v>
      </c>
      <c r="U78" s="11">
        <v>83634.55</v>
      </c>
      <c r="X78" s="11">
        <v>0</v>
      </c>
      <c r="Z78" s="29">
        <f t="shared" si="20"/>
        <v>3096843.7240131572</v>
      </c>
      <c r="AA78" s="9"/>
      <c r="AD78" s="11" t="s">
        <v>1119</v>
      </c>
      <c r="AG78" s="11">
        <v>2081695.5736000002</v>
      </c>
      <c r="AH78" s="11">
        <v>112834.79917545617</v>
      </c>
      <c r="AI78" s="11">
        <v>3045414.9662221428</v>
      </c>
      <c r="AJ78" s="11">
        <f t="shared" si="21"/>
        <v>1565.9577910145745</v>
      </c>
      <c r="AM78" s="30">
        <v>4608</v>
      </c>
      <c r="AN78" s="2" t="str">
        <f t="shared" ref="AN78:AN91" si="23">CONCATENATE(831,B78)</f>
        <v>8314608</v>
      </c>
      <c r="AO78" s="11">
        <v>3045414.9661760004</v>
      </c>
      <c r="AP78" s="11">
        <f t="shared" si="22"/>
        <v>-1565.9578371569514</v>
      </c>
    </row>
    <row r="79" spans="1:42 16384:16384" s="11" customFormat="1" ht="12.75" x14ac:dyDescent="0.2">
      <c r="A79" s="9" t="s">
        <v>111</v>
      </c>
      <c r="B79" s="26">
        <v>4178</v>
      </c>
      <c r="C79" s="11">
        <v>5036660.9072000002</v>
      </c>
      <c r="D79" s="11">
        <v>643497.0779229803</v>
      </c>
      <c r="E79" s="11">
        <v>11984.30954178082</v>
      </c>
      <c r="F79" s="11">
        <v>267931.93740384566</v>
      </c>
      <c r="G79" s="11">
        <v>106110.19521321919</v>
      </c>
      <c r="H79" s="11">
        <v>0</v>
      </c>
      <c r="I79" s="11">
        <v>150000</v>
      </c>
      <c r="J79" s="11">
        <v>0</v>
      </c>
      <c r="K79" s="11">
        <v>21220.691999999995</v>
      </c>
      <c r="L79" s="11">
        <v>0</v>
      </c>
      <c r="M79" s="29">
        <f t="shared" si="17"/>
        <v>6237405.1192818256</v>
      </c>
      <c r="N79" s="11">
        <v>0</v>
      </c>
      <c r="O79" s="11">
        <v>0</v>
      </c>
      <c r="P79" s="29">
        <f t="shared" si="18"/>
        <v>6237405.1192818256</v>
      </c>
      <c r="Q79" s="11">
        <v>-78679.05</v>
      </c>
      <c r="R79" s="29">
        <f t="shared" si="19"/>
        <v>6158726.0692818258</v>
      </c>
      <c r="S79" s="11">
        <v>0</v>
      </c>
      <c r="U79" s="11">
        <v>64091.5</v>
      </c>
      <c r="X79" s="11">
        <v>0</v>
      </c>
      <c r="Z79" s="29">
        <f t="shared" si="20"/>
        <v>6222817.5692818258</v>
      </c>
      <c r="AA79" s="9"/>
      <c r="AD79" s="11" t="s">
        <v>1120</v>
      </c>
      <c r="AG79" s="11">
        <v>4900434.6136000007</v>
      </c>
      <c r="AH79" s="11">
        <v>0</v>
      </c>
      <c r="AI79" s="11">
        <v>6186207.3910757694</v>
      </c>
      <c r="AJ79" s="11">
        <f t="shared" si="21"/>
        <v>51197.72820605617</v>
      </c>
      <c r="AM79" s="30">
        <v>4178</v>
      </c>
      <c r="AN79" s="2" t="str">
        <f t="shared" si="23"/>
        <v>8314178</v>
      </c>
      <c r="AO79" s="11">
        <v>6186207.3910757694</v>
      </c>
      <c r="AP79" s="11">
        <f t="shared" si="22"/>
        <v>-51197.72820605617</v>
      </c>
    </row>
    <row r="80" spans="1:42 16384:16384" s="11" customFormat="1" ht="12.75" x14ac:dyDescent="0.2">
      <c r="A80" s="9" t="s">
        <v>69</v>
      </c>
      <c r="B80" s="26">
        <v>4181</v>
      </c>
      <c r="C80" s="11">
        <v>4152654.6613759999</v>
      </c>
      <c r="D80" s="11">
        <v>345141.84563782974</v>
      </c>
      <c r="E80" s="11">
        <v>2673.7955204081632</v>
      </c>
      <c r="F80" s="11">
        <v>242791.80113314488</v>
      </c>
      <c r="G80" s="11">
        <v>22280.077136447737</v>
      </c>
      <c r="H80" s="11">
        <v>0</v>
      </c>
      <c r="I80" s="11">
        <v>150000</v>
      </c>
      <c r="J80" s="11">
        <v>0</v>
      </c>
      <c r="K80" s="11">
        <v>18304.103999999992</v>
      </c>
      <c r="L80" s="11">
        <v>0</v>
      </c>
      <c r="M80" s="29">
        <f t="shared" si="17"/>
        <v>4933846.2848038301</v>
      </c>
      <c r="N80" s="11">
        <v>0</v>
      </c>
      <c r="O80" s="11">
        <v>0</v>
      </c>
      <c r="P80" s="29">
        <f t="shared" si="18"/>
        <v>4933846.2848038301</v>
      </c>
      <c r="Q80" s="11">
        <v>0</v>
      </c>
      <c r="R80" s="29">
        <f t="shared" si="19"/>
        <v>4933846.2848038301</v>
      </c>
      <c r="S80" s="11">
        <v>0</v>
      </c>
      <c r="T80" s="11">
        <v>340591</v>
      </c>
      <c r="U80" s="11">
        <v>14566.25</v>
      </c>
      <c r="X80" s="11">
        <v>0</v>
      </c>
      <c r="Z80" s="29">
        <f t="shared" si="20"/>
        <v>5289003.5348038301</v>
      </c>
      <c r="AA80" s="9"/>
      <c r="AD80" s="11" t="s">
        <v>1126</v>
      </c>
      <c r="AG80" s="11">
        <v>3980652.8528</v>
      </c>
      <c r="AH80" s="11">
        <v>0</v>
      </c>
      <c r="AI80" s="11">
        <v>4772060.1700059241</v>
      </c>
      <c r="AJ80" s="11">
        <f t="shared" si="21"/>
        <v>161786.11479790602</v>
      </c>
      <c r="AM80" s="30">
        <v>4181</v>
      </c>
      <c r="AN80" s="2" t="str">
        <f t="shared" si="23"/>
        <v>8314181</v>
      </c>
      <c r="AO80" s="11">
        <v>4772060.1700059231</v>
      </c>
      <c r="AP80" s="11">
        <f t="shared" si="22"/>
        <v>-161786.11479790695</v>
      </c>
    </row>
    <row r="81" spans="1:42" s="11" customFormat="1" ht="12.75" x14ac:dyDescent="0.2">
      <c r="A81" s="9" t="s">
        <v>70</v>
      </c>
      <c r="B81" s="26">
        <v>4182</v>
      </c>
      <c r="C81" s="11">
        <v>5552986.8459520005</v>
      </c>
      <c r="D81" s="11">
        <v>167516.3232306104</v>
      </c>
      <c r="E81" s="11">
        <v>15270.350519827587</v>
      </c>
      <c r="F81" s="11">
        <v>183632.87010846045</v>
      </c>
      <c r="G81" s="11">
        <v>95820.221577512115</v>
      </c>
      <c r="H81" s="11">
        <v>0</v>
      </c>
      <c r="I81" s="11">
        <v>150000</v>
      </c>
      <c r="J81" s="11">
        <v>0</v>
      </c>
      <c r="K81" s="11">
        <v>101577.72</v>
      </c>
      <c r="L81" s="11">
        <v>0</v>
      </c>
      <c r="M81" s="29">
        <f t="shared" si="17"/>
        <v>6266804.3313884102</v>
      </c>
      <c r="N81" s="11">
        <v>0</v>
      </c>
      <c r="O81" s="11">
        <v>0</v>
      </c>
      <c r="P81" s="29">
        <f t="shared" si="18"/>
        <v>6266804.3313884102</v>
      </c>
      <c r="Q81" s="11">
        <v>-86893.8</v>
      </c>
      <c r="R81" s="29">
        <f t="shared" si="19"/>
        <v>6179910.5313884104</v>
      </c>
      <c r="S81" s="11">
        <v>0</v>
      </c>
      <c r="U81" s="11">
        <v>43213.21</v>
      </c>
      <c r="X81" s="11">
        <v>0</v>
      </c>
      <c r="Z81" s="29">
        <f t="shared" si="20"/>
        <v>6223123.7413884103</v>
      </c>
      <c r="AA81" s="9"/>
      <c r="AD81" s="11" t="s">
        <v>1128</v>
      </c>
      <c r="AG81" s="11">
        <v>5223144.5624000002</v>
      </c>
      <c r="AH81" s="11">
        <v>0</v>
      </c>
      <c r="AI81" s="11">
        <v>5916459.4702773616</v>
      </c>
      <c r="AJ81" s="11">
        <f t="shared" si="21"/>
        <v>350344.86111104861</v>
      </c>
      <c r="AM81" s="30">
        <v>4182</v>
      </c>
      <c r="AN81" s="2" t="str">
        <f t="shared" si="23"/>
        <v>8314182</v>
      </c>
      <c r="AO81" s="11">
        <v>5916459.4702773606</v>
      </c>
      <c r="AP81" s="11">
        <f t="shared" si="22"/>
        <v>-350344.86111104954</v>
      </c>
    </row>
    <row r="82" spans="1:42" s="11" customFormat="1" ht="12.75" x14ac:dyDescent="0.2">
      <c r="A82" s="9" t="s">
        <v>71</v>
      </c>
      <c r="B82" s="38">
        <v>4001</v>
      </c>
      <c r="C82" s="11">
        <v>2582810.8117760001</v>
      </c>
      <c r="D82" s="11">
        <v>550166.97540022153</v>
      </c>
      <c r="E82" s="11">
        <v>7313.9891747282609</v>
      </c>
      <c r="F82" s="11">
        <v>298508.94407960214</v>
      </c>
      <c r="G82" s="11">
        <v>105535.73940000006</v>
      </c>
      <c r="H82" s="11">
        <v>0</v>
      </c>
      <c r="I82" s="11">
        <v>150000</v>
      </c>
      <c r="J82" s="11">
        <v>0</v>
      </c>
      <c r="K82" s="11">
        <v>44000.25</v>
      </c>
      <c r="L82" s="11">
        <v>330507.43</v>
      </c>
      <c r="M82" s="29">
        <f t="shared" si="17"/>
        <v>4068844.139830552</v>
      </c>
      <c r="N82" s="11">
        <v>0</v>
      </c>
      <c r="O82" s="11">
        <v>0</v>
      </c>
      <c r="P82" s="29">
        <f t="shared" si="18"/>
        <v>4068844.139830552</v>
      </c>
      <c r="Q82" s="11">
        <v>0</v>
      </c>
      <c r="R82" s="29">
        <f t="shared" si="19"/>
        <v>4068844.139830552</v>
      </c>
      <c r="S82" s="11">
        <v>0</v>
      </c>
      <c r="U82" s="11">
        <v>13109.63</v>
      </c>
      <c r="X82" s="11">
        <v>0</v>
      </c>
      <c r="Z82" s="29">
        <f t="shared" si="20"/>
        <v>4081953.7698305519</v>
      </c>
      <c r="AA82" s="9"/>
      <c r="AD82" s="11" t="s">
        <v>1129</v>
      </c>
      <c r="AG82" s="11">
        <v>2753166.2944</v>
      </c>
      <c r="AH82" s="11">
        <v>0</v>
      </c>
      <c r="AI82" s="11">
        <v>4451520.6781036863</v>
      </c>
      <c r="AJ82" s="11">
        <f t="shared" si="21"/>
        <v>-382676.53827313427</v>
      </c>
      <c r="AM82" s="30">
        <v>4001</v>
      </c>
      <c r="AN82" s="2" t="str">
        <f t="shared" si="23"/>
        <v>8314001</v>
      </c>
      <c r="AO82" s="11">
        <v>4451520.6781036863</v>
      </c>
      <c r="AP82" s="11">
        <f t="shared" si="22"/>
        <v>382676.53827313427</v>
      </c>
    </row>
    <row r="83" spans="1:42" s="11" customFormat="1" ht="12.75" x14ac:dyDescent="0.2">
      <c r="A83" s="9" t="s">
        <v>112</v>
      </c>
      <c r="B83" s="26">
        <v>5406</v>
      </c>
      <c r="C83" s="11">
        <v>3200567.6609920003</v>
      </c>
      <c r="D83" s="11">
        <v>342865.27408482716</v>
      </c>
      <c r="E83" s="11">
        <v>2648.5073581450652</v>
      </c>
      <c r="F83" s="11">
        <v>192104.45005102057</v>
      </c>
      <c r="G83" s="11">
        <v>63513.450279483994</v>
      </c>
      <c r="H83" s="11">
        <v>0</v>
      </c>
      <c r="I83" s="11">
        <v>150000</v>
      </c>
      <c r="J83" s="11">
        <v>0</v>
      </c>
      <c r="K83" s="11">
        <v>25645.859999999986</v>
      </c>
      <c r="L83" s="11">
        <v>0</v>
      </c>
      <c r="M83" s="29">
        <f t="shared" si="17"/>
        <v>3977345.2027654764</v>
      </c>
      <c r="N83" s="11">
        <v>0</v>
      </c>
      <c r="O83" s="11">
        <v>0</v>
      </c>
      <c r="P83" s="29">
        <f t="shared" si="18"/>
        <v>3977345.2027654764</v>
      </c>
      <c r="Q83" s="11">
        <v>-50079.55</v>
      </c>
      <c r="R83" s="29">
        <f t="shared" si="19"/>
        <v>3927265.6527654766</v>
      </c>
      <c r="S83" s="11">
        <v>0</v>
      </c>
      <c r="U83" s="11">
        <v>23306</v>
      </c>
      <c r="X83" s="11">
        <v>0</v>
      </c>
      <c r="Z83" s="29">
        <f t="shared" si="20"/>
        <v>3950571.6527654766</v>
      </c>
      <c r="AA83" s="9"/>
      <c r="AD83" s="11" t="s">
        <v>1131</v>
      </c>
      <c r="AG83" s="11">
        <v>3218421.4183999998</v>
      </c>
      <c r="AH83" s="11">
        <v>0</v>
      </c>
      <c r="AI83" s="11">
        <v>4079913.4783697422</v>
      </c>
      <c r="AJ83" s="11">
        <f t="shared" si="21"/>
        <v>-102568.27560426574</v>
      </c>
      <c r="AM83" s="30">
        <v>5406</v>
      </c>
      <c r="AN83" s="2" t="str">
        <f t="shared" si="23"/>
        <v>8315406</v>
      </c>
      <c r="AO83" s="11">
        <v>4079913.4783697422</v>
      </c>
      <c r="AP83" s="11">
        <f t="shared" si="22"/>
        <v>102568.27560426574</v>
      </c>
    </row>
    <row r="84" spans="1:42" s="11" customFormat="1" ht="12.75" x14ac:dyDescent="0.2">
      <c r="A84" s="9" t="s">
        <v>113</v>
      </c>
      <c r="B84" s="26">
        <v>5407</v>
      </c>
      <c r="C84" s="11">
        <v>4264023.7802240001</v>
      </c>
      <c r="D84" s="11">
        <v>615975.40256697498</v>
      </c>
      <c r="E84" s="11">
        <v>4297.5354564841491</v>
      </c>
      <c r="F84" s="11">
        <v>281815.77412206528</v>
      </c>
      <c r="G84" s="11">
        <v>52863.811281272741</v>
      </c>
      <c r="H84" s="11">
        <v>0</v>
      </c>
      <c r="I84" s="11">
        <v>150000</v>
      </c>
      <c r="J84" s="11">
        <v>0</v>
      </c>
      <c r="K84" s="11">
        <v>27908.729999999996</v>
      </c>
      <c r="L84" s="11">
        <v>395815</v>
      </c>
      <c r="M84" s="29">
        <f t="shared" si="17"/>
        <v>5792700.0336507978</v>
      </c>
      <c r="N84" s="11">
        <v>0</v>
      </c>
      <c r="O84" s="11">
        <v>0</v>
      </c>
      <c r="P84" s="29">
        <f t="shared" si="18"/>
        <v>5792700.0336507978</v>
      </c>
      <c r="Q84" s="11">
        <v>-67056.7</v>
      </c>
      <c r="R84" s="29">
        <f t="shared" si="19"/>
        <v>5725643.3336507976</v>
      </c>
      <c r="S84" s="11">
        <v>0</v>
      </c>
      <c r="U84" s="11">
        <v>94680.63</v>
      </c>
      <c r="X84" s="11">
        <v>0</v>
      </c>
      <c r="Z84" s="29">
        <f t="shared" si="20"/>
        <v>5820323.9636507975</v>
      </c>
      <c r="AA84" s="9"/>
      <c r="AD84" s="11" t="s">
        <v>1133</v>
      </c>
      <c r="AG84" s="11">
        <v>3862558.3168000001</v>
      </c>
      <c r="AH84" s="11">
        <v>0</v>
      </c>
      <c r="AI84" s="11">
        <v>5430086.147574055</v>
      </c>
      <c r="AJ84" s="11">
        <f t="shared" si="21"/>
        <v>362613.88607674278</v>
      </c>
      <c r="AM84" s="30">
        <v>5407</v>
      </c>
      <c r="AN84" s="2" t="str">
        <f t="shared" si="23"/>
        <v>8315407</v>
      </c>
      <c r="AO84" s="11">
        <v>5430086.1475740559</v>
      </c>
      <c r="AP84" s="11">
        <f t="shared" si="22"/>
        <v>-362613.88607674185</v>
      </c>
    </row>
    <row r="85" spans="1:42" s="11" customFormat="1" ht="12.75" x14ac:dyDescent="0.2">
      <c r="A85" s="9" t="s">
        <v>72</v>
      </c>
      <c r="B85" s="26">
        <v>4607</v>
      </c>
      <c r="C85" s="11">
        <v>4411342.9160320004</v>
      </c>
      <c r="D85" s="11">
        <v>552223.72826722218</v>
      </c>
      <c r="E85" s="11">
        <v>2634.3548472508592</v>
      </c>
      <c r="F85" s="11">
        <v>259994.97360072911</v>
      </c>
      <c r="G85" s="11">
        <v>110920.2159000001</v>
      </c>
      <c r="H85" s="11">
        <v>0</v>
      </c>
      <c r="I85" s="11">
        <v>150000</v>
      </c>
      <c r="J85" s="11">
        <v>0</v>
      </c>
      <c r="K85" s="11">
        <v>25143</v>
      </c>
      <c r="L85" s="11">
        <v>0</v>
      </c>
      <c r="M85" s="29">
        <f t="shared" si="17"/>
        <v>5512259.1886472022</v>
      </c>
      <c r="N85" s="11">
        <v>0</v>
      </c>
      <c r="O85" s="11">
        <v>0</v>
      </c>
      <c r="P85" s="29">
        <f t="shared" si="18"/>
        <v>5512259.1886472022</v>
      </c>
      <c r="Q85" s="11">
        <v>0</v>
      </c>
      <c r="R85" s="29">
        <f t="shared" si="19"/>
        <v>5512259.1886472022</v>
      </c>
      <c r="S85" s="11">
        <v>0</v>
      </c>
      <c r="T85" s="11">
        <v>543989</v>
      </c>
      <c r="U85" s="11">
        <v>39328.879999999997</v>
      </c>
      <c r="X85" s="11">
        <v>0</v>
      </c>
      <c r="Z85" s="29">
        <f t="shared" si="20"/>
        <v>6095577.0686472021</v>
      </c>
      <c r="AA85" s="9"/>
      <c r="AD85" s="11" t="s">
        <v>1134</v>
      </c>
      <c r="AG85" s="11">
        <v>4286846.1655999999</v>
      </c>
      <c r="AH85" s="11">
        <v>0</v>
      </c>
      <c r="AI85" s="11">
        <v>5479902.1309634736</v>
      </c>
      <c r="AJ85" s="11">
        <f t="shared" si="21"/>
        <v>32357.057683728635</v>
      </c>
      <c r="AM85" s="30">
        <v>4607</v>
      </c>
      <c r="AN85" s="2" t="str">
        <f t="shared" si="23"/>
        <v>8314607</v>
      </c>
      <c r="AO85" s="11">
        <v>5479902.1309634745</v>
      </c>
      <c r="AP85" s="11">
        <f t="shared" si="22"/>
        <v>-32357.057683727704</v>
      </c>
    </row>
    <row r="86" spans="1:42" s="11" customFormat="1" ht="12.75" x14ac:dyDescent="0.2">
      <c r="A86" s="9" t="s">
        <v>438</v>
      </c>
      <c r="B86" s="38">
        <v>4002</v>
      </c>
      <c r="C86" s="11">
        <v>2985497.6428159997</v>
      </c>
      <c r="D86" s="11">
        <v>470473.81453472504</v>
      </c>
      <c r="E86" s="11">
        <v>4028.2205508387092</v>
      </c>
      <c r="F86" s="11">
        <v>285450.07164520764</v>
      </c>
      <c r="G86" s="11">
        <v>198507.70030000046</v>
      </c>
      <c r="H86" s="11">
        <v>0</v>
      </c>
      <c r="I86" s="11">
        <v>150000</v>
      </c>
      <c r="J86" s="11">
        <v>0</v>
      </c>
      <c r="K86" s="11">
        <v>5307.4899999999834</v>
      </c>
      <c r="L86" s="11">
        <v>0</v>
      </c>
      <c r="M86" s="29">
        <f t="shared" si="17"/>
        <v>4099264.9398467718</v>
      </c>
      <c r="N86" s="11">
        <v>0</v>
      </c>
      <c r="O86" s="11">
        <v>0</v>
      </c>
      <c r="P86" s="29">
        <f t="shared" si="18"/>
        <v>4099264.9398467718</v>
      </c>
      <c r="Q86" s="11">
        <v>0</v>
      </c>
      <c r="R86" s="29">
        <f t="shared" si="19"/>
        <v>4099264.9398467718</v>
      </c>
      <c r="S86" s="11">
        <v>0</v>
      </c>
      <c r="U86" s="11">
        <v>31560.21</v>
      </c>
      <c r="X86" s="11">
        <v>0</v>
      </c>
      <c r="Z86" s="29">
        <f t="shared" si="20"/>
        <v>4130825.1498467717</v>
      </c>
      <c r="AA86" s="9"/>
      <c r="AD86" s="11" t="s">
        <v>1137</v>
      </c>
      <c r="AG86" s="11">
        <v>2925522.5912000001</v>
      </c>
      <c r="AH86" s="11">
        <v>0</v>
      </c>
      <c r="AI86" s="11">
        <v>4145647.9256211072</v>
      </c>
      <c r="AJ86" s="11">
        <f t="shared" si="21"/>
        <v>-46382.985774335451</v>
      </c>
      <c r="AM86" s="30">
        <v>4002</v>
      </c>
      <c r="AN86" s="2" t="str">
        <f t="shared" si="23"/>
        <v>8314002</v>
      </c>
      <c r="AO86" s="11">
        <v>4145647.9256211072</v>
      </c>
      <c r="AP86" s="11">
        <f t="shared" si="22"/>
        <v>46382.985774335451</v>
      </c>
    </row>
    <row r="87" spans="1:42" s="11" customFormat="1" ht="12.75" x14ac:dyDescent="0.2">
      <c r="A87" s="9" t="s">
        <v>74</v>
      </c>
      <c r="B87" s="26">
        <v>5412</v>
      </c>
      <c r="C87" s="11">
        <v>4879158.1146879997</v>
      </c>
      <c r="D87" s="11">
        <v>300526.25757773092</v>
      </c>
      <c r="E87" s="11">
        <v>8158.3352971153845</v>
      </c>
      <c r="F87" s="11">
        <v>206048.01218800616</v>
      </c>
      <c r="G87" s="11">
        <v>20118.088732960896</v>
      </c>
      <c r="H87" s="11">
        <v>0</v>
      </c>
      <c r="I87" s="11">
        <v>150000</v>
      </c>
      <c r="J87" s="11">
        <v>0</v>
      </c>
      <c r="K87" s="11">
        <v>21421.835999999996</v>
      </c>
      <c r="L87" s="11">
        <v>0</v>
      </c>
      <c r="M87" s="29">
        <f t="shared" si="17"/>
        <v>5585430.6444838131</v>
      </c>
      <c r="N87" s="11">
        <v>0</v>
      </c>
      <c r="O87" s="11">
        <v>0</v>
      </c>
      <c r="P87" s="29">
        <f t="shared" si="18"/>
        <v>5585430.6444838131</v>
      </c>
      <c r="Q87" s="11">
        <v>0</v>
      </c>
      <c r="R87" s="29">
        <f t="shared" si="19"/>
        <v>5585430.6444838131</v>
      </c>
      <c r="S87" s="11">
        <v>0</v>
      </c>
      <c r="U87" s="11">
        <v>11288.84</v>
      </c>
      <c r="X87" s="11">
        <v>0</v>
      </c>
      <c r="Z87" s="29">
        <f t="shared" si="20"/>
        <v>5596719.4844838129</v>
      </c>
      <c r="AA87" s="9"/>
      <c r="AD87" s="11" t="s">
        <v>1139</v>
      </c>
      <c r="AG87" s="11">
        <v>4714629</v>
      </c>
      <c r="AH87" s="11">
        <v>0</v>
      </c>
      <c r="AI87" s="11">
        <v>5473995.7221167302</v>
      </c>
      <c r="AJ87" s="11">
        <f t="shared" si="21"/>
        <v>111434.92236708291</v>
      </c>
      <c r="AM87" s="30">
        <v>5412</v>
      </c>
      <c r="AN87" s="2" t="str">
        <f t="shared" si="23"/>
        <v>8315412</v>
      </c>
      <c r="AO87" s="11">
        <v>5473995.7221167292</v>
      </c>
      <c r="AP87" s="11">
        <f t="shared" si="22"/>
        <v>-111434.92236708384</v>
      </c>
    </row>
    <row r="88" spans="1:42" s="11" customFormat="1" ht="12.75" x14ac:dyDescent="0.2">
      <c r="A88" s="9" t="s">
        <v>73</v>
      </c>
      <c r="B88" s="26">
        <v>5414</v>
      </c>
      <c r="C88" s="11">
        <v>4113277.0074239997</v>
      </c>
      <c r="D88" s="11">
        <v>234964.25042184009</v>
      </c>
      <c r="E88" s="11">
        <v>2721.8693319391632</v>
      </c>
      <c r="F88" s="11">
        <v>153111.79353339758</v>
      </c>
      <c r="G88" s="11">
        <v>42316.876423408285</v>
      </c>
      <c r="H88" s="11">
        <v>0</v>
      </c>
      <c r="I88" s="11">
        <v>150000</v>
      </c>
      <c r="J88" s="11">
        <v>0</v>
      </c>
      <c r="K88" s="11">
        <v>24841.284</v>
      </c>
      <c r="L88" s="11">
        <v>0</v>
      </c>
      <c r="M88" s="29">
        <f t="shared" si="17"/>
        <v>4721233.0811345847</v>
      </c>
      <c r="N88" s="11">
        <v>0</v>
      </c>
      <c r="O88" s="11">
        <v>0</v>
      </c>
      <c r="P88" s="29">
        <f t="shared" si="18"/>
        <v>4721233.0811345847</v>
      </c>
      <c r="Q88" s="11">
        <v>0</v>
      </c>
      <c r="R88" s="29">
        <f t="shared" si="19"/>
        <v>4721233.0811345847</v>
      </c>
      <c r="S88" s="11">
        <v>0</v>
      </c>
      <c r="T88" s="11">
        <v>207340.51</v>
      </c>
      <c r="U88" s="11">
        <v>52438.5</v>
      </c>
      <c r="X88" s="11">
        <v>0</v>
      </c>
      <c r="Z88" s="29">
        <f t="shared" si="20"/>
        <v>4981012.0911345845</v>
      </c>
      <c r="AA88" s="9"/>
      <c r="AD88" s="11" t="s">
        <v>1141</v>
      </c>
      <c r="AG88" s="11">
        <v>3892996.2856000001</v>
      </c>
      <c r="AH88" s="11">
        <v>0</v>
      </c>
      <c r="AI88" s="11">
        <v>4514933.8852053694</v>
      </c>
      <c r="AJ88" s="11">
        <f t="shared" si="21"/>
        <v>206299.19592921529</v>
      </c>
      <c r="AM88" s="30">
        <v>5414</v>
      </c>
      <c r="AN88" s="2" t="str">
        <f t="shared" si="23"/>
        <v>8315414</v>
      </c>
      <c r="AO88" s="11">
        <v>4514933.8852053704</v>
      </c>
      <c r="AP88" s="11">
        <f t="shared" si="22"/>
        <v>-206299.19592921436</v>
      </c>
    </row>
    <row r="89" spans="1:42" s="11" customFormat="1" ht="12.75" x14ac:dyDescent="0.2">
      <c r="A89" s="9" t="s">
        <v>1306</v>
      </c>
      <c r="B89" s="10">
        <v>4003</v>
      </c>
      <c r="C89" s="11">
        <v>832796.39040000003</v>
      </c>
      <c r="D89" s="11">
        <v>29557.33028445028</v>
      </c>
      <c r="E89" s="11">
        <v>0</v>
      </c>
      <c r="F89" s="11">
        <v>47498.276422764182</v>
      </c>
      <c r="G89" s="11">
        <v>4295.3088888888897</v>
      </c>
      <c r="H89" s="11">
        <v>0</v>
      </c>
      <c r="I89" s="11">
        <v>150000</v>
      </c>
      <c r="J89" s="11">
        <v>0</v>
      </c>
      <c r="K89" s="11">
        <v>25897.289999999994</v>
      </c>
      <c r="L89" s="11">
        <v>0</v>
      </c>
      <c r="M89" s="29">
        <f t="shared" si="17"/>
        <v>1090044.5959961035</v>
      </c>
      <c r="N89" s="11">
        <v>0</v>
      </c>
      <c r="O89" s="11">
        <v>0</v>
      </c>
      <c r="P89" s="29">
        <f t="shared" ref="P89" si="24">SUM(M89:O89)</f>
        <v>1090044.5959961035</v>
      </c>
      <c r="Q89" s="11">
        <v>0</v>
      </c>
      <c r="R89" s="29">
        <f t="shared" si="19"/>
        <v>1090044.5959961035</v>
      </c>
      <c r="S89" s="11">
        <v>0</v>
      </c>
      <c r="U89" s="11">
        <v>0</v>
      </c>
      <c r="W89" s="982"/>
      <c r="X89" s="11">
        <v>0</v>
      </c>
      <c r="Y89" s="982"/>
      <c r="Z89" s="29">
        <f t="shared" si="20"/>
        <v>1090044.5959961035</v>
      </c>
      <c r="AD89" s="11" t="s">
        <v>1124</v>
      </c>
      <c r="AG89" s="11">
        <f t="shared" ref="AG89" si="25">C89</f>
        <v>832796.39040000003</v>
      </c>
      <c r="AH89" s="11">
        <v>0</v>
      </c>
      <c r="AI89" s="11">
        <v>3875756.2640123153</v>
      </c>
      <c r="AJ89" s="11">
        <f t="shared" si="21"/>
        <v>-2785711.6680162121</v>
      </c>
      <c r="AM89" s="30">
        <v>6905</v>
      </c>
      <c r="AN89" s="2" t="str">
        <f t="shared" si="23"/>
        <v>8314003</v>
      </c>
      <c r="AO89" s="11">
        <v>0</v>
      </c>
      <c r="AP89" s="11">
        <f t="shared" si="22"/>
        <v>-1090044.5959961035</v>
      </c>
    </row>
    <row r="90" spans="1:42" s="11" customFormat="1" ht="12.75" x14ac:dyDescent="0.2">
      <c r="A90" s="9" t="s">
        <v>846</v>
      </c>
      <c r="B90" s="10"/>
      <c r="C90" s="1025">
        <v>0</v>
      </c>
      <c r="D90" s="1025">
        <v>0</v>
      </c>
      <c r="E90" s="1025">
        <v>0</v>
      </c>
      <c r="F90" s="1025">
        <v>0</v>
      </c>
      <c r="G90" s="1025">
        <v>0</v>
      </c>
      <c r="H90" s="1025">
        <v>0</v>
      </c>
      <c r="I90" s="1025">
        <v>0</v>
      </c>
      <c r="J90" s="1025">
        <v>0</v>
      </c>
      <c r="K90" s="1025">
        <v>0</v>
      </c>
      <c r="L90" s="1025">
        <v>0</v>
      </c>
      <c r="M90" s="1026">
        <f t="shared" ref="M90" si="26">SUM(C90:L90)</f>
        <v>0</v>
      </c>
      <c r="N90" s="1025">
        <v>0</v>
      </c>
      <c r="O90" s="1025">
        <v>0</v>
      </c>
      <c r="P90" s="1026">
        <f t="shared" ref="P90:Q90" si="27">SUM(M90:O90)</f>
        <v>0</v>
      </c>
      <c r="Q90" s="1026">
        <f t="shared" si="27"/>
        <v>0</v>
      </c>
      <c r="R90" s="1026">
        <f t="shared" ref="R90" si="28">SUM(P90+Q90)</f>
        <v>0</v>
      </c>
      <c r="S90" s="1025">
        <v>0</v>
      </c>
      <c r="U90" s="1025"/>
      <c r="V90" s="1025"/>
      <c r="W90" s="1025"/>
      <c r="X90" s="1025">
        <v>0</v>
      </c>
      <c r="Y90" s="1025"/>
      <c r="Z90" s="1026">
        <f t="shared" si="20"/>
        <v>0</v>
      </c>
      <c r="AH90" s="11">
        <v>0</v>
      </c>
      <c r="AI90" s="11">
        <v>0</v>
      </c>
      <c r="AM90" s="30"/>
      <c r="AN90" s="2"/>
    </row>
    <row r="91" spans="1:42" s="11" customFormat="1" ht="12.75" x14ac:dyDescent="0.2">
      <c r="A91" s="9" t="s">
        <v>569</v>
      </c>
      <c r="B91" s="10">
        <v>6905</v>
      </c>
      <c r="C91" s="11">
        <v>3233718.4921599999</v>
      </c>
      <c r="D91" s="11">
        <v>342241.96397001017</v>
      </c>
      <c r="E91" s="11">
        <v>9293.3676442080377</v>
      </c>
      <c r="F91" s="11">
        <v>113954.00549313349</v>
      </c>
      <c r="G91" s="11">
        <v>45229.602599999977</v>
      </c>
      <c r="H91" s="11">
        <v>0</v>
      </c>
      <c r="I91" s="11">
        <v>150000</v>
      </c>
      <c r="J91" s="11">
        <v>0</v>
      </c>
      <c r="K91" s="11">
        <v>39977.369999999995</v>
      </c>
      <c r="L91" s="11">
        <v>0</v>
      </c>
      <c r="M91" s="29">
        <f t="shared" ref="M91" si="29">SUM(C91:L91)</f>
        <v>3934414.8018673514</v>
      </c>
      <c r="N91" s="11">
        <v>0</v>
      </c>
      <c r="O91" s="11">
        <v>0</v>
      </c>
      <c r="P91" s="29">
        <f t="shared" ref="P91" si="30">SUM(M91:O91)</f>
        <v>3934414.8018673514</v>
      </c>
      <c r="Q91" s="11">
        <v>0</v>
      </c>
      <c r="R91" s="29">
        <f t="shared" ref="R91" si="31">SUM(P91+Q91)</f>
        <v>3934414.8018673514</v>
      </c>
      <c r="S91" s="11">
        <v>0</v>
      </c>
      <c r="U91" s="11">
        <v>121142.65</v>
      </c>
      <c r="W91" s="982"/>
      <c r="X91" s="11">
        <v>0</v>
      </c>
      <c r="Y91" s="982"/>
      <c r="Z91" s="29">
        <f t="shared" si="20"/>
        <v>4055557.4518673513</v>
      </c>
      <c r="AD91" s="11" t="s">
        <v>1124</v>
      </c>
      <c r="AG91" s="11">
        <f t="shared" ref="AG91" si="32">C91</f>
        <v>3233718.4921599999</v>
      </c>
      <c r="AH91" s="11">
        <v>0</v>
      </c>
      <c r="AI91" s="11">
        <v>3875756.2640123153</v>
      </c>
      <c r="AJ91" s="11">
        <f t="shared" ref="AJ91" si="33">P91-AI91</f>
        <v>58658.537855036091</v>
      </c>
      <c r="AM91" s="30">
        <v>6905</v>
      </c>
      <c r="AN91" s="2" t="str">
        <f t="shared" si="23"/>
        <v>8316905</v>
      </c>
      <c r="AO91" s="11">
        <v>3875756.2640123153</v>
      </c>
      <c r="AP91" s="11">
        <f t="shared" si="22"/>
        <v>-58658.537855036091</v>
      </c>
    </row>
    <row r="92" spans="1:42" s="11" customFormat="1" ht="12.75" x14ac:dyDescent="0.2">
      <c r="A92" s="9"/>
      <c r="B92" s="26"/>
      <c r="R92" s="29"/>
      <c r="Z92" s="29"/>
      <c r="AM92" s="30"/>
      <c r="AN92" s="2"/>
    </row>
    <row r="93" spans="1:42" s="11" customFormat="1" ht="12.75" x14ac:dyDescent="0.2">
      <c r="A93" s="1" t="s">
        <v>115</v>
      </c>
      <c r="B93" s="24" t="s">
        <v>115</v>
      </c>
      <c r="C93" s="29">
        <f t="shared" ref="C93:Z93" si="34">SUM(C77:C92)</f>
        <v>52536702.597183995</v>
      </c>
      <c r="D93" s="29">
        <f t="shared" si="34"/>
        <v>5187779.2491823807</v>
      </c>
      <c r="E93" s="29">
        <f t="shared" si="34"/>
        <v>84558.243189635701</v>
      </c>
      <c r="F93" s="29">
        <f t="shared" si="34"/>
        <v>2836796.7749095438</v>
      </c>
      <c r="G93" s="29">
        <f t="shared" si="34"/>
        <v>945479.27120872645</v>
      </c>
      <c r="H93" s="29">
        <f t="shared" si="34"/>
        <v>0</v>
      </c>
      <c r="I93" s="29">
        <f t="shared" si="34"/>
        <v>2100000</v>
      </c>
      <c r="J93" s="29">
        <f t="shared" si="34"/>
        <v>0</v>
      </c>
      <c r="K93" s="29">
        <f t="shared" si="34"/>
        <v>438389.5259999999</v>
      </c>
      <c r="L93" s="29">
        <f t="shared" si="34"/>
        <v>747883.41999999993</v>
      </c>
      <c r="M93" s="29">
        <f t="shared" si="34"/>
        <v>64877589.081674293</v>
      </c>
      <c r="N93" s="29">
        <f t="shared" si="34"/>
        <v>104551.21458545281</v>
      </c>
      <c r="O93" s="29">
        <f t="shared" si="34"/>
        <v>0</v>
      </c>
      <c r="P93" s="29">
        <f t="shared" si="34"/>
        <v>64982140.296259739</v>
      </c>
      <c r="Q93" s="29">
        <f t="shared" si="34"/>
        <v>-316480.85000000003</v>
      </c>
      <c r="R93" s="29">
        <f t="shared" si="34"/>
        <v>64665659.446259737</v>
      </c>
      <c r="S93" s="29">
        <f t="shared" si="34"/>
        <v>0</v>
      </c>
      <c r="T93" s="29">
        <f t="shared" si="34"/>
        <v>1091920.51</v>
      </c>
      <c r="U93" s="29">
        <f t="shared" si="34"/>
        <v>658637.29000000015</v>
      </c>
      <c r="V93" s="29">
        <f t="shared" si="34"/>
        <v>0</v>
      </c>
      <c r="W93" s="29">
        <f t="shared" si="34"/>
        <v>0</v>
      </c>
      <c r="X93" s="29">
        <f t="shared" si="34"/>
        <v>0</v>
      </c>
      <c r="Y93" s="29">
        <f t="shared" si="34"/>
        <v>0</v>
      </c>
      <c r="Z93" s="29">
        <f t="shared" si="34"/>
        <v>66416217.246259741</v>
      </c>
      <c r="AB93" s="29"/>
      <c r="AC93" s="29"/>
      <c r="AE93" s="29"/>
      <c r="AF93" s="29"/>
      <c r="AG93" s="29">
        <f t="shared" ref="AG93:AJ93" si="35">SUM(AG77:AG92)</f>
        <v>50876947.756960005</v>
      </c>
      <c r="AH93" s="29">
        <v>112834.79917545617</v>
      </c>
      <c r="AI93" s="29">
        <v>62952925.196383692</v>
      </c>
      <c r="AJ93" s="29">
        <f t="shared" si="35"/>
        <v>-1846541.1641362798</v>
      </c>
      <c r="AM93" s="30" t="s">
        <v>115</v>
      </c>
      <c r="AN93" s="2"/>
    </row>
    <row r="94" spans="1:42" s="11" customFormat="1" ht="12.75" x14ac:dyDescent="0.2">
      <c r="A94" s="1"/>
      <c r="B94" s="24"/>
      <c r="C94" s="29"/>
      <c r="D94" s="29"/>
      <c r="E94" s="29"/>
      <c r="F94" s="29"/>
      <c r="G94" s="29"/>
      <c r="H94" s="29"/>
      <c r="I94" s="29"/>
      <c r="J94" s="29"/>
      <c r="K94" s="29"/>
      <c r="L94" s="29"/>
      <c r="M94" s="29"/>
      <c r="N94" s="29"/>
      <c r="O94" s="29"/>
      <c r="P94" s="29"/>
      <c r="Q94" s="29"/>
      <c r="R94" s="29"/>
      <c r="S94" s="29"/>
      <c r="T94" s="29"/>
      <c r="U94" s="29"/>
      <c r="V94" s="29"/>
      <c r="W94" s="29"/>
      <c r="X94" s="29"/>
      <c r="Y94" s="29"/>
      <c r="Z94" s="29"/>
      <c r="AM94" s="30"/>
      <c r="AN94" s="2"/>
    </row>
    <row r="95" spans="1:42" s="11" customFormat="1" ht="12.75" x14ac:dyDescent="0.2">
      <c r="A95" s="9" t="s">
        <v>114</v>
      </c>
      <c r="B95" s="26">
        <v>4177</v>
      </c>
      <c r="C95" s="11">
        <v>2739005.5803370001</v>
      </c>
      <c r="D95" s="11">
        <v>535205.58841569931</v>
      </c>
      <c r="E95" s="11">
        <v>13271.421642412663</v>
      </c>
      <c r="F95" s="11">
        <v>284460.0654545452</v>
      </c>
      <c r="G95" s="11">
        <v>406277.95871940942</v>
      </c>
      <c r="H95" s="11">
        <v>184569.45799558307</v>
      </c>
      <c r="I95" s="11">
        <v>150000</v>
      </c>
      <c r="J95" s="11">
        <v>0</v>
      </c>
      <c r="K95" s="11">
        <v>18806.963999999993</v>
      </c>
      <c r="L95" s="11">
        <v>0</v>
      </c>
      <c r="M95" s="29">
        <f t="shared" ref="M95" si="36">SUM(C95:L95)</f>
        <v>4331597.0365646491</v>
      </c>
      <c r="N95" s="11">
        <v>26721.411946430802</v>
      </c>
      <c r="O95" s="11">
        <v>0</v>
      </c>
      <c r="P95" s="29">
        <f t="shared" ref="P95" si="37">SUM(M95:O95)</f>
        <v>4358318.4485110799</v>
      </c>
      <c r="Q95" s="11">
        <v>-46471.561249999999</v>
      </c>
      <c r="R95" s="29">
        <f t="shared" ref="R95" si="38">SUM(P95+Q95)</f>
        <v>4311846.8872610796</v>
      </c>
      <c r="S95" s="11">
        <v>13365.393700787401</v>
      </c>
      <c r="T95" s="11">
        <v>683707.01</v>
      </c>
      <c r="U95" s="11">
        <v>2427.71</v>
      </c>
      <c r="X95" s="11">
        <v>26786.719400000002</v>
      </c>
      <c r="Z95" s="29">
        <f t="shared" ref="Z95" si="39">SUM(R95:Y95)</f>
        <v>5038133.720361867</v>
      </c>
      <c r="AD95" s="11" t="s">
        <v>1143</v>
      </c>
      <c r="AG95" s="11">
        <v>2527026.7558500003</v>
      </c>
      <c r="AH95" s="11">
        <v>0</v>
      </c>
      <c r="AI95" s="11">
        <v>4136452.4814668698</v>
      </c>
      <c r="AJ95" s="11">
        <f t="shared" ref="AJ95" si="40">P95-AI95</f>
        <v>221865.96704421006</v>
      </c>
      <c r="AM95" s="30">
        <v>4177</v>
      </c>
      <c r="AN95" s="2" t="str">
        <f t="shared" ref="AN95" si="41">CONCATENATE(831,B95)</f>
        <v>8314177</v>
      </c>
      <c r="AO95" s="11">
        <v>4136452.4814668698</v>
      </c>
      <c r="AP95" s="11">
        <f t="shared" si="22"/>
        <v>-221865.96704421006</v>
      </c>
    </row>
    <row r="96" spans="1:42" s="11" customFormat="1" ht="12.75" x14ac:dyDescent="0.2">
      <c r="A96" s="1"/>
      <c r="B96" s="24"/>
      <c r="C96" s="29"/>
      <c r="D96" s="29"/>
      <c r="E96" s="29"/>
      <c r="F96" s="29"/>
      <c r="G96" s="29"/>
      <c r="H96" s="29"/>
      <c r="I96" s="29"/>
      <c r="J96" s="29"/>
      <c r="K96" s="29"/>
      <c r="L96" s="29"/>
      <c r="M96" s="29"/>
      <c r="N96" s="29"/>
      <c r="O96" s="29"/>
      <c r="P96" s="29"/>
      <c r="Q96" s="29"/>
      <c r="R96" s="29"/>
      <c r="S96" s="29"/>
      <c r="T96" s="29"/>
      <c r="U96" s="29"/>
      <c r="V96" s="29"/>
      <c r="W96" s="29"/>
      <c r="X96" s="29"/>
      <c r="Y96" s="29"/>
      <c r="Z96" s="29"/>
      <c r="AM96" s="30"/>
      <c r="AN96" s="2"/>
    </row>
    <row r="97" spans="1:43" s="11" customFormat="1" ht="12.75" x14ac:dyDescent="0.2">
      <c r="A97" s="1" t="s">
        <v>848</v>
      </c>
      <c r="B97" s="1" t="s">
        <v>849</v>
      </c>
      <c r="C97" s="29">
        <f>C95</f>
        <v>2739005.5803370001</v>
      </c>
      <c r="D97" s="29">
        <f t="shared" ref="D97:Z97" si="42">D95</f>
        <v>535205.58841569931</v>
      </c>
      <c r="E97" s="29">
        <f t="shared" si="42"/>
        <v>13271.421642412663</v>
      </c>
      <c r="F97" s="29">
        <f t="shared" si="42"/>
        <v>284460.0654545452</v>
      </c>
      <c r="G97" s="29">
        <f t="shared" si="42"/>
        <v>406277.95871940942</v>
      </c>
      <c r="H97" s="29">
        <f t="shared" si="42"/>
        <v>184569.45799558307</v>
      </c>
      <c r="I97" s="29">
        <f t="shared" si="42"/>
        <v>150000</v>
      </c>
      <c r="J97" s="29">
        <f t="shared" si="42"/>
        <v>0</v>
      </c>
      <c r="K97" s="29">
        <f t="shared" si="42"/>
        <v>18806.963999999993</v>
      </c>
      <c r="L97" s="29">
        <f t="shared" si="42"/>
        <v>0</v>
      </c>
      <c r="M97" s="29">
        <f t="shared" si="42"/>
        <v>4331597.0365646491</v>
      </c>
      <c r="N97" s="29">
        <f t="shared" si="42"/>
        <v>26721.411946430802</v>
      </c>
      <c r="O97" s="29">
        <f t="shared" si="42"/>
        <v>0</v>
      </c>
      <c r="P97" s="29">
        <f t="shared" si="42"/>
        <v>4358318.4485110799</v>
      </c>
      <c r="Q97" s="29">
        <f t="shared" si="42"/>
        <v>-46471.561249999999</v>
      </c>
      <c r="R97" s="29">
        <f t="shared" si="42"/>
        <v>4311846.8872610796</v>
      </c>
      <c r="S97" s="29">
        <f t="shared" si="42"/>
        <v>13365.393700787401</v>
      </c>
      <c r="T97" s="29">
        <f t="shared" si="42"/>
        <v>683707.01</v>
      </c>
      <c r="U97" s="29">
        <f t="shared" si="42"/>
        <v>2427.71</v>
      </c>
      <c r="V97" s="29">
        <f t="shared" si="42"/>
        <v>0</v>
      </c>
      <c r="W97" s="29">
        <f t="shared" si="42"/>
        <v>0</v>
      </c>
      <c r="X97" s="29">
        <f t="shared" si="42"/>
        <v>26786.719400000002</v>
      </c>
      <c r="Y97" s="29">
        <f t="shared" si="42"/>
        <v>0</v>
      </c>
      <c r="Z97" s="29">
        <f t="shared" si="42"/>
        <v>5038133.720361867</v>
      </c>
      <c r="AB97" s="29"/>
      <c r="AC97" s="29"/>
      <c r="AD97" s="29"/>
      <c r="AE97" s="29"/>
      <c r="AF97" s="29"/>
      <c r="AG97" s="29">
        <f>AG95</f>
        <v>2527026.7558500003</v>
      </c>
      <c r="AH97" s="29">
        <v>0</v>
      </c>
      <c r="AI97" s="29">
        <v>4136452.4814668698</v>
      </c>
      <c r="AJ97" s="29">
        <f>AJ95</f>
        <v>221865.96704421006</v>
      </c>
      <c r="AM97" s="30"/>
      <c r="AN97" s="2"/>
    </row>
    <row r="98" spans="1:43" s="11" customFormat="1" ht="12.75" x14ac:dyDescent="0.2">
      <c r="A98" s="1"/>
      <c r="B98" s="26"/>
      <c r="R98" s="29"/>
      <c r="Z98" s="29"/>
      <c r="AM98" s="30"/>
      <c r="AN98" s="2"/>
    </row>
    <row r="99" spans="1:43" s="11" customFormat="1" ht="15" x14ac:dyDescent="0.25">
      <c r="A99" s="1027"/>
      <c r="B99" s="1028" t="s">
        <v>1214</v>
      </c>
      <c r="C99" s="106">
        <f>SUM(C93+C75+C97)</f>
        <v>114361702.05262835</v>
      </c>
      <c r="D99" s="106">
        <f t="shared" ref="D99:Z99" si="43">SUM(D93+D75+D97)</f>
        <v>17403732.784836918</v>
      </c>
      <c r="E99" s="106">
        <f>SUM(E93+E75+E97)</f>
        <v>190248.24839585926</v>
      </c>
      <c r="F99" s="106">
        <f>SUM(F93+F75+F97)</f>
        <v>3121256.8403640892</v>
      </c>
      <c r="G99" s="106">
        <f t="shared" si="43"/>
        <v>4383843.5868403465</v>
      </c>
      <c r="H99" s="106">
        <f t="shared" si="43"/>
        <v>602146.67489330529</v>
      </c>
      <c r="I99" s="106">
        <f t="shared" si="43"/>
        <v>9450000</v>
      </c>
      <c r="J99" s="106">
        <f t="shared" si="43"/>
        <v>0</v>
      </c>
      <c r="K99" s="106">
        <f t="shared" si="43"/>
        <v>1510744.3551999996</v>
      </c>
      <c r="L99" s="106">
        <f t="shared" si="43"/>
        <v>1044821.0899999999</v>
      </c>
      <c r="M99" s="106">
        <f t="shared" si="43"/>
        <v>152068495.63315886</v>
      </c>
      <c r="N99" s="106">
        <f t="shared" si="43"/>
        <v>990088.00189070252</v>
      </c>
      <c r="O99" s="106">
        <f t="shared" si="43"/>
        <v>0</v>
      </c>
      <c r="P99" s="106">
        <f>SUM(P93+P75+P97)</f>
        <v>153058583.63504958</v>
      </c>
      <c r="Q99" s="106">
        <f t="shared" si="43"/>
        <v>-1711566.7004166665</v>
      </c>
      <c r="R99" s="106">
        <f t="shared" si="43"/>
        <v>151347016.93463287</v>
      </c>
      <c r="S99" s="106">
        <f t="shared" si="43"/>
        <v>1338270</v>
      </c>
      <c r="T99" s="106">
        <f t="shared" si="43"/>
        <v>4231356.2749999994</v>
      </c>
      <c r="U99" s="106">
        <f t="shared" si="43"/>
        <v>1964680.1400000001</v>
      </c>
      <c r="V99" s="106">
        <f t="shared" si="43"/>
        <v>0</v>
      </c>
      <c r="W99" s="106">
        <f>SUM(W93+W75+W97)</f>
        <v>0</v>
      </c>
      <c r="X99" s="106">
        <f t="shared" si="43"/>
        <v>4112808.6277195895</v>
      </c>
      <c r="Y99" s="106">
        <f t="shared" si="43"/>
        <v>0</v>
      </c>
      <c r="Z99" s="106">
        <f t="shared" si="43"/>
        <v>162994131.9773525</v>
      </c>
      <c r="AB99" s="29"/>
      <c r="AC99" s="29"/>
      <c r="AD99" s="29"/>
      <c r="AE99" s="29"/>
      <c r="AF99" s="29"/>
      <c r="AG99" s="107">
        <f>AG97+AG93+AG75</f>
        <v>109363810.33641198</v>
      </c>
      <c r="AH99" s="107">
        <v>835163.73174705275</v>
      </c>
      <c r="AI99" s="107">
        <v>147624424.02312908</v>
      </c>
      <c r="AJ99" s="11">
        <f>AJ97+AJ93+AJ75</f>
        <v>1558403.3479081071</v>
      </c>
      <c r="AM99" s="30"/>
      <c r="AO99" s="11">
        <f>SUM(AO2:AO97)</f>
        <v>147624424.00304353</v>
      </c>
    </row>
    <row r="100" spans="1:43" s="11" customFormat="1" ht="12.75" x14ac:dyDescent="0.2">
      <c r="A100" s="30" t="s">
        <v>1215</v>
      </c>
      <c r="B100" s="22"/>
      <c r="C100" s="11">
        <f>C99-C91-C90-C73</f>
        <v>110560446.83655834</v>
      </c>
      <c r="D100" s="11">
        <f t="shared" ref="D100:Z100" si="44">D99-D91-D90-D73</f>
        <v>16930309.691187389</v>
      </c>
      <c r="E100" s="11">
        <f t="shared" si="44"/>
        <v>180954.88075165122</v>
      </c>
      <c r="F100" s="11">
        <f t="shared" si="44"/>
        <v>3007302.8348709559</v>
      </c>
      <c r="G100" s="11">
        <f t="shared" si="44"/>
        <v>4214494.3808385609</v>
      </c>
      <c r="H100" s="11">
        <f t="shared" si="44"/>
        <v>574690.36216603254</v>
      </c>
      <c r="I100" s="11">
        <f t="shared" si="44"/>
        <v>9200000</v>
      </c>
      <c r="J100" s="11">
        <f t="shared" si="44"/>
        <v>0</v>
      </c>
      <c r="K100" s="11">
        <f t="shared" si="44"/>
        <v>1456688.8771999995</v>
      </c>
      <c r="L100" s="11">
        <f t="shared" si="44"/>
        <v>1044821.0899999999</v>
      </c>
      <c r="M100" s="11">
        <f t="shared" si="44"/>
        <v>147169708.95357293</v>
      </c>
      <c r="N100" s="11">
        <f t="shared" si="44"/>
        <v>990088.00189070252</v>
      </c>
      <c r="O100" s="11">
        <f t="shared" si="44"/>
        <v>0</v>
      </c>
      <c r="P100" s="11">
        <f t="shared" si="44"/>
        <v>148159796.95546365</v>
      </c>
      <c r="Q100" s="11">
        <f t="shared" si="44"/>
        <v>-1711566.7004166665</v>
      </c>
      <c r="R100" s="11">
        <f t="shared" si="44"/>
        <v>146448230.25504693</v>
      </c>
      <c r="S100" s="11">
        <f t="shared" si="44"/>
        <v>1333270</v>
      </c>
      <c r="T100" s="11">
        <f t="shared" si="44"/>
        <v>4231356.2749999994</v>
      </c>
      <c r="U100" s="11">
        <f t="shared" si="44"/>
        <v>1843537.4900000002</v>
      </c>
      <c r="V100" s="11">
        <f t="shared" si="44"/>
        <v>0</v>
      </c>
      <c r="W100" s="11">
        <f t="shared" si="44"/>
        <v>0</v>
      </c>
      <c r="X100" s="11">
        <f t="shared" si="44"/>
        <v>4112808.6277195895</v>
      </c>
      <c r="Y100" s="11">
        <f t="shared" si="44"/>
        <v>0</v>
      </c>
      <c r="Z100" s="11">
        <f t="shared" si="44"/>
        <v>157969202.64776659</v>
      </c>
      <c r="AN100" s="2"/>
      <c r="AO100" s="11">
        <v>147624424.00304356</v>
      </c>
      <c r="AP100" s="30"/>
      <c r="AQ100" s="30"/>
    </row>
    <row r="101" spans="1:43" ht="12.75" hidden="1" x14ac:dyDescent="0.2">
      <c r="A101" s="30" t="s">
        <v>1216</v>
      </c>
      <c r="C101" s="11">
        <f>C99-C90-C73</f>
        <v>113794165.32871835</v>
      </c>
      <c r="D101" s="11">
        <f t="shared" ref="D101:Z101" si="45">D99-D90-D73</f>
        <v>17272551.655157398</v>
      </c>
      <c r="E101" s="11">
        <f t="shared" si="45"/>
        <v>190248.24839585926</v>
      </c>
      <c r="F101" s="11">
        <f t="shared" si="45"/>
        <v>3121256.8403640892</v>
      </c>
      <c r="G101" s="11">
        <f t="shared" si="45"/>
        <v>4259723.9834385607</v>
      </c>
      <c r="H101" s="11">
        <f t="shared" si="45"/>
        <v>574690.36216603254</v>
      </c>
      <c r="I101" s="11">
        <f t="shared" si="45"/>
        <v>9350000</v>
      </c>
      <c r="J101" s="11">
        <f t="shared" si="45"/>
        <v>0</v>
      </c>
      <c r="K101" s="11">
        <f t="shared" si="45"/>
        <v>1496666.2471999996</v>
      </c>
      <c r="L101" s="11">
        <f t="shared" si="45"/>
        <v>1044821.0899999999</v>
      </c>
      <c r="M101" s="11">
        <f t="shared" si="45"/>
        <v>151104123.75544029</v>
      </c>
      <c r="N101" s="11">
        <f t="shared" si="45"/>
        <v>990088.00189070252</v>
      </c>
      <c r="O101" s="11">
        <f t="shared" si="45"/>
        <v>0</v>
      </c>
      <c r="P101" s="11">
        <f t="shared" si="45"/>
        <v>152094211.75733101</v>
      </c>
      <c r="Q101" s="11">
        <f t="shared" si="45"/>
        <v>-1711566.7004166665</v>
      </c>
      <c r="R101" s="11">
        <f t="shared" si="45"/>
        <v>150382645.0569143</v>
      </c>
      <c r="S101" s="11">
        <f t="shared" si="45"/>
        <v>1333270</v>
      </c>
      <c r="T101" s="11">
        <f t="shared" si="45"/>
        <v>4231356.2749999994</v>
      </c>
      <c r="U101" s="11">
        <f t="shared" si="45"/>
        <v>1964680.1400000001</v>
      </c>
      <c r="V101" s="11">
        <f t="shared" si="45"/>
        <v>0</v>
      </c>
      <c r="W101" s="11">
        <f t="shared" si="45"/>
        <v>0</v>
      </c>
      <c r="X101" s="11">
        <f t="shared" si="45"/>
        <v>4112808.6277195895</v>
      </c>
      <c r="Y101" s="11">
        <f t="shared" si="45"/>
        <v>0</v>
      </c>
      <c r="Z101" s="11">
        <f t="shared" si="45"/>
        <v>162024760.09963393</v>
      </c>
      <c r="AG101" s="11"/>
      <c r="AH101" s="11"/>
      <c r="AI101" s="11"/>
      <c r="AO101" s="11">
        <f>AO100-AO99</f>
        <v>0</v>
      </c>
    </row>
    <row r="102" spans="1:43" ht="12.75" hidden="1" x14ac:dyDescent="0.2">
      <c r="AG102" s="11"/>
      <c r="AH102" s="11"/>
      <c r="AI102" s="11"/>
    </row>
    <row r="103" spans="1:43" ht="13.5" hidden="1" customHeight="1" x14ac:dyDescent="0.2">
      <c r="A103" s="30" t="s">
        <v>1217</v>
      </c>
      <c r="B103" s="22" t="s">
        <v>0</v>
      </c>
      <c r="C103" s="11">
        <v>51387765.383024983</v>
      </c>
      <c r="D103" s="11">
        <v>12284856.175037136</v>
      </c>
      <c r="E103" s="11">
        <v>119272.27144706488</v>
      </c>
      <c r="F103" s="11">
        <v>0</v>
      </c>
      <c r="G103" s="11">
        <v>2510314.1532008522</v>
      </c>
      <c r="H103" s="11">
        <v>373508.14497325814</v>
      </c>
      <c r="I103" s="11">
        <v>7070000</v>
      </c>
      <c r="J103" s="11">
        <v>0</v>
      </c>
      <c r="K103" s="11">
        <v>1282074.31</v>
      </c>
      <c r="L103" s="11">
        <v>287616</v>
      </c>
      <c r="M103" s="11">
        <v>75315406.437683284</v>
      </c>
      <c r="N103" s="11">
        <v>2873233.5408003968</v>
      </c>
      <c r="O103" s="11">
        <v>-102339.19064193992</v>
      </c>
      <c r="P103" s="11">
        <v>77979460.439716801</v>
      </c>
      <c r="Q103" s="11">
        <v>1764253.8076640107</v>
      </c>
    </row>
    <row r="104" spans="1:43" ht="12.75" hidden="1" x14ac:dyDescent="0.2">
      <c r="A104" s="30" t="s">
        <v>1217</v>
      </c>
      <c r="B104" s="22" t="s">
        <v>1</v>
      </c>
      <c r="C104" s="11">
        <v>47295818.83600001</v>
      </c>
      <c r="D104" s="11">
        <v>5457282.2166356398</v>
      </c>
      <c r="E104" s="11">
        <v>86649.552631025595</v>
      </c>
      <c r="F104" s="11">
        <v>3201102.2855521487</v>
      </c>
      <c r="G104" s="11">
        <v>1153689.5260409759</v>
      </c>
      <c r="H104" s="11">
        <v>104285.58609161468</v>
      </c>
      <c r="I104" s="11">
        <v>1950000</v>
      </c>
      <c r="J104" s="11">
        <v>19329.921551105632</v>
      </c>
      <c r="K104" s="11">
        <v>477812.18999999994</v>
      </c>
      <c r="L104" s="11">
        <v>723445</v>
      </c>
      <c r="M104" s="11">
        <v>60469415.114502527</v>
      </c>
      <c r="N104" s="11">
        <v>1091344.2082203599</v>
      </c>
      <c r="O104" s="11">
        <v>-107709.9478688448</v>
      </c>
      <c r="P104" s="11">
        <v>61559889.722979039</v>
      </c>
      <c r="Q104" s="11">
        <f>Q103+Q99</f>
        <v>52687.107247344218</v>
      </c>
      <c r="AF104" s="11"/>
    </row>
    <row r="105" spans="1:43" ht="12.75" hidden="1" x14ac:dyDescent="0.2">
      <c r="C105" s="992">
        <f>C103+C104</f>
        <v>98683584.219024986</v>
      </c>
      <c r="D105" s="992">
        <f t="shared" ref="D105:P105" si="46">D103+D104</f>
        <v>17742138.391672775</v>
      </c>
      <c r="E105" s="992">
        <f t="shared" si="46"/>
        <v>205921.82407809049</v>
      </c>
      <c r="F105" s="992">
        <f t="shared" si="46"/>
        <v>3201102.2855521487</v>
      </c>
      <c r="G105" s="992">
        <f t="shared" si="46"/>
        <v>3664003.6792418282</v>
      </c>
      <c r="H105" s="992">
        <f t="shared" si="46"/>
        <v>477793.73106487282</v>
      </c>
      <c r="I105" s="992">
        <f t="shared" si="46"/>
        <v>9020000</v>
      </c>
      <c r="J105" s="992">
        <f t="shared" si="46"/>
        <v>19329.921551105632</v>
      </c>
      <c r="K105" s="992">
        <f t="shared" si="46"/>
        <v>1759886.5</v>
      </c>
      <c r="L105" s="992">
        <f t="shared" si="46"/>
        <v>1011061</v>
      </c>
      <c r="M105" s="992">
        <f t="shared" si="46"/>
        <v>135784821.5521858</v>
      </c>
      <c r="N105" s="992">
        <f t="shared" si="46"/>
        <v>3964577.7490207567</v>
      </c>
      <c r="O105" s="992">
        <f t="shared" si="46"/>
        <v>-210049.13851078472</v>
      </c>
      <c r="P105" s="992">
        <f t="shared" si="46"/>
        <v>139539350.16269583</v>
      </c>
      <c r="AF105" s="11"/>
    </row>
    <row r="106" spans="1:43" ht="12.75" hidden="1" x14ac:dyDescent="0.2">
      <c r="B106" s="22" t="s">
        <v>1218</v>
      </c>
      <c r="C106" s="23"/>
      <c r="D106" s="23"/>
      <c r="E106" s="23"/>
      <c r="F106" s="23"/>
      <c r="G106" s="23"/>
      <c r="H106" s="23"/>
      <c r="I106" s="23">
        <v>-70000</v>
      </c>
      <c r="J106" s="23"/>
      <c r="K106" s="23"/>
      <c r="L106" s="23"/>
      <c r="M106" s="23">
        <v>-70000</v>
      </c>
      <c r="P106" s="23">
        <f t="shared" ref="P106:P111" si="47">SUM(M106:O106)</f>
        <v>-70000</v>
      </c>
      <c r="AF106" s="11"/>
    </row>
    <row r="107" spans="1:43" ht="12.75" hidden="1" x14ac:dyDescent="0.2">
      <c r="B107" s="22" t="s">
        <v>1219</v>
      </c>
      <c r="C107" s="23">
        <v>54946</v>
      </c>
      <c r="D107" s="23">
        <v>58483</v>
      </c>
      <c r="E107" s="23">
        <v>-3766</v>
      </c>
      <c r="F107" s="23"/>
      <c r="G107" s="23">
        <v>17538</v>
      </c>
      <c r="H107" s="23">
        <v>487</v>
      </c>
      <c r="I107" s="23"/>
      <c r="J107" s="23"/>
      <c r="K107" s="23"/>
      <c r="L107" s="23"/>
      <c r="M107" s="23">
        <v>135220</v>
      </c>
      <c r="N107" s="11">
        <v>-62164</v>
      </c>
      <c r="P107" s="23">
        <f t="shared" si="47"/>
        <v>73056</v>
      </c>
      <c r="AF107" s="11"/>
    </row>
    <row r="108" spans="1:43" ht="12.75" hidden="1" x14ac:dyDescent="0.2">
      <c r="B108" s="22" t="s">
        <v>1220</v>
      </c>
      <c r="C108" s="23"/>
      <c r="D108" s="23"/>
      <c r="E108" s="23"/>
      <c r="F108" s="23"/>
      <c r="G108" s="23"/>
      <c r="H108" s="23"/>
      <c r="I108" s="23"/>
      <c r="J108" s="23"/>
      <c r="K108" s="23"/>
      <c r="L108" s="23"/>
      <c r="M108" s="23"/>
      <c r="N108" s="11">
        <v>145062.89054462221</v>
      </c>
      <c r="P108" s="23">
        <f t="shared" si="47"/>
        <v>145062.89054462221</v>
      </c>
    </row>
    <row r="109" spans="1:43" ht="12.75" hidden="1" x14ac:dyDescent="0.2">
      <c r="B109" s="22" t="s">
        <v>1221</v>
      </c>
      <c r="C109" s="23"/>
      <c r="D109" s="23"/>
      <c r="E109" s="23"/>
      <c r="F109" s="23"/>
      <c r="G109" s="23"/>
      <c r="H109" s="23"/>
      <c r="I109" s="23"/>
      <c r="J109" s="23"/>
      <c r="K109" s="23"/>
      <c r="L109" s="23"/>
      <c r="M109" s="23"/>
      <c r="N109" s="11">
        <v>-935335.42789278924</v>
      </c>
      <c r="O109" s="11">
        <v>210049</v>
      </c>
      <c r="P109" s="23">
        <f t="shared" si="47"/>
        <v>-725286.42789278924</v>
      </c>
    </row>
    <row r="110" spans="1:43" ht="12.75" hidden="1" x14ac:dyDescent="0.2">
      <c r="A110" s="30">
        <v>146160618</v>
      </c>
      <c r="B110" s="22" t="s">
        <v>1222</v>
      </c>
      <c r="C110" s="11">
        <f t="shared" ref="C110:M110" si="48">C91</f>
        <v>3233718.4921599999</v>
      </c>
      <c r="D110" s="11">
        <f t="shared" si="48"/>
        <v>342241.96397001017</v>
      </c>
      <c r="E110" s="11">
        <f t="shared" si="48"/>
        <v>9293.3676442080377</v>
      </c>
      <c r="F110" s="11">
        <f t="shared" si="48"/>
        <v>113954.00549313349</v>
      </c>
      <c r="G110" s="11">
        <f t="shared" si="48"/>
        <v>45229.602599999977</v>
      </c>
      <c r="H110" s="11">
        <f t="shared" si="48"/>
        <v>0</v>
      </c>
      <c r="I110" s="11">
        <f t="shared" si="48"/>
        <v>150000</v>
      </c>
      <c r="J110" s="11">
        <f t="shared" si="48"/>
        <v>0</v>
      </c>
      <c r="K110" s="11">
        <f t="shared" si="48"/>
        <v>39977.369999999995</v>
      </c>
      <c r="L110" s="11">
        <f t="shared" si="48"/>
        <v>0</v>
      </c>
      <c r="M110" s="11">
        <f t="shared" si="48"/>
        <v>3934414.8018673514</v>
      </c>
      <c r="P110" s="23">
        <f t="shared" si="47"/>
        <v>3934414.8018673514</v>
      </c>
    </row>
    <row r="111" spans="1:43" ht="12.75" hidden="1" x14ac:dyDescent="0.2">
      <c r="A111" s="11">
        <f>A110-P99</f>
        <v>-6897965.6350495815</v>
      </c>
      <c r="B111" s="22" t="s">
        <v>1223</v>
      </c>
      <c r="C111" s="11">
        <f t="shared" ref="C111:M111" si="49">C73+C90</f>
        <v>567536.72390999994</v>
      </c>
      <c r="D111" s="11">
        <f t="shared" si="49"/>
        <v>131181.12967952073</v>
      </c>
      <c r="E111" s="11">
        <f t="shared" si="49"/>
        <v>0</v>
      </c>
      <c r="F111" s="11">
        <f t="shared" si="49"/>
        <v>0</v>
      </c>
      <c r="G111" s="11">
        <f t="shared" si="49"/>
        <v>124119.60340178579</v>
      </c>
      <c r="H111" s="11">
        <f t="shared" si="49"/>
        <v>27456.312727272707</v>
      </c>
      <c r="I111" s="11">
        <f t="shared" si="49"/>
        <v>100000</v>
      </c>
      <c r="J111" s="11">
        <f t="shared" si="49"/>
        <v>0</v>
      </c>
      <c r="K111" s="11">
        <f t="shared" si="49"/>
        <v>14078.108</v>
      </c>
      <c r="L111" s="11">
        <f t="shared" si="49"/>
        <v>0</v>
      </c>
      <c r="M111" s="11">
        <f t="shared" si="49"/>
        <v>964371.87771857926</v>
      </c>
      <c r="P111" s="23">
        <f t="shared" si="47"/>
        <v>964371.87771857926</v>
      </c>
    </row>
    <row r="112" spans="1:43" ht="12.75" hidden="1" x14ac:dyDescent="0.2">
      <c r="A112" s="11">
        <f>2842951-N99</f>
        <v>1852862.9981092974</v>
      </c>
    </row>
    <row r="113" spans="1:43" ht="12.75" hidden="1" x14ac:dyDescent="0.2">
      <c r="A113" s="30" t="s">
        <v>1224</v>
      </c>
      <c r="AP113" s="11"/>
      <c r="AQ113" s="11"/>
    </row>
    <row r="114" spans="1:43" s="11" customFormat="1" ht="15" hidden="1" x14ac:dyDescent="0.25">
      <c r="A114" s="1" t="s">
        <v>1225</v>
      </c>
      <c r="B114" s="39" t="s">
        <v>503</v>
      </c>
      <c r="C114" s="29">
        <v>102432550.470725</v>
      </c>
      <c r="D114" s="29">
        <v>18287293.35276008</v>
      </c>
      <c r="E114" s="29">
        <v>215383.15736899956</v>
      </c>
      <c r="F114" s="29">
        <v>3338770.4424793012</v>
      </c>
      <c r="G114" s="29">
        <v>3743898.1994418278</v>
      </c>
      <c r="H114" s="29">
        <v>492189.89106487279</v>
      </c>
      <c r="I114" s="29">
        <v>9200000</v>
      </c>
      <c r="J114" s="29">
        <v>19329.921551105632</v>
      </c>
      <c r="K114" s="29">
        <v>1759886.5</v>
      </c>
      <c r="L114" s="29">
        <v>1011061</v>
      </c>
      <c r="M114" s="29">
        <v>140500362.93539119</v>
      </c>
      <c r="N114" s="29">
        <v>3174305.2116725896</v>
      </c>
      <c r="O114" s="29">
        <v>0</v>
      </c>
      <c r="P114" s="29">
        <v>143674668.14706379</v>
      </c>
      <c r="Q114" s="29">
        <v>-1761948.141281042</v>
      </c>
      <c r="R114" s="29">
        <v>141912720.00578275</v>
      </c>
      <c r="S114" s="29">
        <v>1338091</v>
      </c>
      <c r="T114" s="29">
        <v>4303784.5600000005</v>
      </c>
      <c r="U114" s="29">
        <v>1301218</v>
      </c>
      <c r="V114" s="29">
        <v>53057</v>
      </c>
      <c r="W114" s="29">
        <v>4754155</v>
      </c>
      <c r="X114" s="29">
        <v>4359597.3396683987</v>
      </c>
      <c r="Y114" s="29">
        <v>300645</v>
      </c>
      <c r="Z114" s="29">
        <v>158323267.90545115</v>
      </c>
      <c r="AN114" s="2"/>
      <c r="AP114" s="30"/>
      <c r="AQ114" s="30"/>
    </row>
    <row r="115" spans="1:43" ht="12.75" hidden="1" x14ac:dyDescent="0.2">
      <c r="R115" s="29">
        <f>R12+R14+R31+R40+R62+R65+R73+R77+R80+R82+R85+R86+R87+R88+R90+R91</f>
        <v>45840760.847665489</v>
      </c>
    </row>
    <row r="116" spans="1:43" ht="12.75" hidden="1" x14ac:dyDescent="0.2">
      <c r="P116" s="29">
        <v>143372347</v>
      </c>
      <c r="S116" s="11" t="s">
        <v>1226</v>
      </c>
    </row>
    <row r="117" spans="1:43" ht="12.75" hidden="1" x14ac:dyDescent="0.2">
      <c r="R117" s="29">
        <f>R116-R115</f>
        <v>-45840760.847665489</v>
      </c>
    </row>
    <row r="118" spans="1:43" ht="12.75" hidden="1" x14ac:dyDescent="0.2"/>
    <row r="119" spans="1:43" ht="12.75" hidden="1" x14ac:dyDescent="0.2">
      <c r="B119" s="22" t="s">
        <v>1227</v>
      </c>
      <c r="C119" s="11">
        <v>114361702.05262834</v>
      </c>
      <c r="D119" s="11">
        <v>17403732.784836918</v>
      </c>
      <c r="E119" s="11">
        <v>190248.24839585926</v>
      </c>
      <c r="F119" s="11">
        <v>3121256.8403640892</v>
      </c>
      <c r="G119" s="11">
        <v>4383843.5868403465</v>
      </c>
      <c r="H119" s="11">
        <v>602146.67489330529</v>
      </c>
      <c r="I119" s="11">
        <v>9450000</v>
      </c>
      <c r="J119" s="11">
        <v>0</v>
      </c>
      <c r="K119" s="11">
        <v>1510744.3551999996</v>
      </c>
      <c r="L119" s="11">
        <v>1044821.0899999999</v>
      </c>
      <c r="M119" s="11">
        <f>SUM(C119:L119)</f>
        <v>152068495.63315889</v>
      </c>
      <c r="N119" s="11">
        <f>N99</f>
        <v>990088.00189070252</v>
      </c>
      <c r="P119" s="11">
        <f>P99</f>
        <v>153058583.63504958</v>
      </c>
    </row>
    <row r="120" spans="1:43" ht="12.75" hidden="1" x14ac:dyDescent="0.2">
      <c r="B120" s="22" t="s">
        <v>1228</v>
      </c>
      <c r="C120" s="11">
        <f t="shared" ref="C120:M120" si="50">C119-C99</f>
        <v>0</v>
      </c>
      <c r="D120" s="11">
        <f t="shared" si="50"/>
        <v>0</v>
      </c>
      <c r="E120" s="11">
        <f t="shared" si="50"/>
        <v>0</v>
      </c>
      <c r="F120" s="11">
        <f t="shared" si="50"/>
        <v>0</v>
      </c>
      <c r="G120" s="11">
        <f t="shared" si="50"/>
        <v>0</v>
      </c>
      <c r="H120" s="11">
        <f t="shared" si="50"/>
        <v>0</v>
      </c>
      <c r="I120" s="11">
        <f t="shared" si="50"/>
        <v>0</v>
      </c>
      <c r="J120" s="11">
        <f t="shared" si="50"/>
        <v>0</v>
      </c>
      <c r="K120" s="11">
        <f>K119-K99</f>
        <v>0</v>
      </c>
      <c r="L120" s="11">
        <f t="shared" si="50"/>
        <v>0</v>
      </c>
      <c r="M120" s="11">
        <f t="shared" si="50"/>
        <v>0</v>
      </c>
    </row>
    <row r="121" spans="1:43" ht="12.75" hidden="1" x14ac:dyDescent="0.2"/>
    <row r="122" spans="1:43" ht="12.75" hidden="1" x14ac:dyDescent="0.2">
      <c r="B122" s="22" t="s">
        <v>1229</v>
      </c>
      <c r="C122" s="11" t="e">
        <f>#REF!</f>
        <v>#REF!</v>
      </c>
      <c r="D122" s="11" t="e">
        <f>#REF!</f>
        <v>#REF!</v>
      </c>
      <c r="E122" s="11" t="e">
        <f>#REF!</f>
        <v>#REF!</v>
      </c>
      <c r="F122" s="11" t="e">
        <f>#REF!</f>
        <v>#REF!</v>
      </c>
      <c r="G122" s="11" t="e">
        <f>#REF!+#REF!</f>
        <v>#REF!</v>
      </c>
      <c r="H122" s="11" t="e">
        <f>#REF!</f>
        <v>#REF!</v>
      </c>
      <c r="I122" s="11" t="e">
        <f>#REF!</f>
        <v>#REF!</v>
      </c>
      <c r="J122" s="11" t="e">
        <f>#REF!</f>
        <v>#REF!</v>
      </c>
      <c r="K122" s="11" t="e">
        <f>#REF!</f>
        <v>#REF!</v>
      </c>
      <c r="L122" s="11" t="e">
        <f>#REF!</f>
        <v>#REF!</v>
      </c>
      <c r="M122" s="11" t="e">
        <f>#REF!</f>
        <v>#REF!</v>
      </c>
      <c r="N122" s="11" t="e">
        <f>#REF!</f>
        <v>#REF!</v>
      </c>
      <c r="P122" s="11" t="e">
        <f>#REF!+#REF!</f>
        <v>#REF!</v>
      </c>
      <c r="Q122" s="11" t="e">
        <f>-#REF!</f>
        <v>#REF!</v>
      </c>
    </row>
    <row r="123" spans="1:43" ht="12.75" hidden="1" x14ac:dyDescent="0.2">
      <c r="A123" s="30" t="s">
        <v>1230</v>
      </c>
      <c r="C123" s="11" t="e">
        <f>C122-C119</f>
        <v>#REF!</v>
      </c>
      <c r="D123" s="11" t="e">
        <f t="shared" ref="D123:P123" si="51">D122-D119</f>
        <v>#REF!</v>
      </c>
      <c r="E123" s="11" t="e">
        <f t="shared" si="51"/>
        <v>#REF!</v>
      </c>
      <c r="F123" s="11" t="e">
        <f t="shared" si="51"/>
        <v>#REF!</v>
      </c>
      <c r="G123" s="11" t="e">
        <f t="shared" si="51"/>
        <v>#REF!</v>
      </c>
      <c r="H123" s="11" t="e">
        <f t="shared" si="51"/>
        <v>#REF!</v>
      </c>
      <c r="I123" s="11" t="e">
        <f t="shared" si="51"/>
        <v>#REF!</v>
      </c>
      <c r="J123" s="11" t="e">
        <f t="shared" si="51"/>
        <v>#REF!</v>
      </c>
      <c r="K123" s="11" t="e">
        <f t="shared" si="51"/>
        <v>#REF!</v>
      </c>
      <c r="L123" s="11" t="e">
        <f t="shared" si="51"/>
        <v>#REF!</v>
      </c>
      <c r="M123" s="11" t="e">
        <f t="shared" si="51"/>
        <v>#REF!</v>
      </c>
      <c r="N123" s="11" t="e">
        <f t="shared" si="51"/>
        <v>#REF!</v>
      </c>
      <c r="P123" s="11" t="e">
        <f t="shared" si="51"/>
        <v>#REF!</v>
      </c>
      <c r="Q123" s="11">
        <f>Q99</f>
        <v>-1711566.7004166665</v>
      </c>
    </row>
    <row r="124" spans="1:43" ht="12.75" hidden="1" x14ac:dyDescent="0.2">
      <c r="A124" s="30" t="s">
        <v>1231</v>
      </c>
      <c r="B124" s="22" t="s">
        <v>1232</v>
      </c>
    </row>
    <row r="125" spans="1:43" ht="12.75" hidden="1" x14ac:dyDescent="0.2">
      <c r="A125" s="30" t="s">
        <v>1233</v>
      </c>
      <c r="B125" s="1"/>
    </row>
    <row r="126" spans="1:43" ht="12.75" hidden="1" x14ac:dyDescent="0.2">
      <c r="A126" s="30" t="s">
        <v>1233</v>
      </c>
      <c r="B126" s="1"/>
    </row>
    <row r="127" spans="1:43" ht="12.75" hidden="1" x14ac:dyDescent="0.2">
      <c r="A127" s="30" t="s">
        <v>1233</v>
      </c>
      <c r="B127" s="1"/>
    </row>
    <row r="128" spans="1:43" ht="12.75" hidden="1" x14ac:dyDescent="0.2">
      <c r="A128" s="30" t="s">
        <v>1234</v>
      </c>
      <c r="H128" s="1029"/>
    </row>
    <row r="129" spans="1:36" s="30" customFormat="1" ht="12.75" hidden="1" x14ac:dyDescent="0.2">
      <c r="A129" s="30" t="s">
        <v>1220</v>
      </c>
      <c r="B129" s="22"/>
      <c r="C129" s="11"/>
      <c r="D129" s="11"/>
      <c r="E129" s="11"/>
      <c r="F129" s="11"/>
      <c r="G129" s="11"/>
      <c r="H129" s="11"/>
      <c r="I129" s="11"/>
      <c r="J129" s="11"/>
      <c r="K129" s="11"/>
      <c r="L129" s="11"/>
      <c r="M129" s="11"/>
      <c r="N129" s="11"/>
      <c r="O129" s="11"/>
      <c r="P129" s="11"/>
      <c r="Q129" s="11"/>
      <c r="R129" s="29"/>
      <c r="S129" s="11"/>
      <c r="T129" s="11"/>
      <c r="U129" s="11"/>
      <c r="V129" s="11"/>
      <c r="W129" s="11"/>
      <c r="X129" s="11"/>
      <c r="Y129" s="11"/>
      <c r="Z129" s="29"/>
      <c r="AA129" s="11"/>
      <c r="AB129" s="11"/>
      <c r="AC129" s="11"/>
      <c r="AD129" s="11"/>
      <c r="AE129" s="11"/>
    </row>
    <row r="130" spans="1:36" s="30" customFormat="1" ht="12.75" hidden="1" x14ac:dyDescent="0.2">
      <c r="A130" s="30" t="s">
        <v>1235</v>
      </c>
      <c r="B130" s="22"/>
      <c r="C130" s="11"/>
      <c r="D130" s="11"/>
      <c r="E130" s="11"/>
      <c r="F130" s="11"/>
      <c r="G130" s="11"/>
      <c r="H130" s="11"/>
      <c r="I130" s="11"/>
      <c r="J130" s="11"/>
      <c r="K130" s="11"/>
      <c r="L130" s="11"/>
      <c r="M130" s="11"/>
      <c r="N130" s="11"/>
      <c r="O130" s="11"/>
      <c r="P130" s="11"/>
      <c r="Q130" s="11"/>
      <c r="R130" s="29"/>
      <c r="S130" s="11"/>
      <c r="T130" s="11"/>
      <c r="U130" s="11"/>
      <c r="V130" s="11"/>
      <c r="W130" s="11"/>
      <c r="X130" s="11"/>
      <c r="Y130" s="11"/>
      <c r="Z130" s="29"/>
      <c r="AA130" s="11"/>
      <c r="AB130" s="11"/>
      <c r="AC130" s="11"/>
      <c r="AD130" s="11"/>
      <c r="AE130" s="11"/>
    </row>
    <row r="131" spans="1:36" s="30" customFormat="1" ht="12.75" hidden="1" x14ac:dyDescent="0.2">
      <c r="A131" s="30" t="s">
        <v>1222</v>
      </c>
      <c r="B131" s="22"/>
      <c r="C131" s="11"/>
      <c r="D131" s="11"/>
      <c r="E131" s="11"/>
      <c r="F131" s="11"/>
      <c r="G131" s="11"/>
      <c r="H131" s="11"/>
      <c r="I131" s="11"/>
      <c r="J131" s="11"/>
      <c r="K131" s="11"/>
      <c r="L131" s="11"/>
      <c r="M131" s="11"/>
      <c r="N131" s="11"/>
      <c r="O131" s="11"/>
      <c r="P131" s="11"/>
      <c r="Q131" s="11"/>
      <c r="R131" s="29"/>
      <c r="S131" s="11"/>
      <c r="T131" s="11"/>
      <c r="U131" s="11"/>
      <c r="V131" s="11"/>
      <c r="W131" s="11"/>
      <c r="X131" s="11"/>
      <c r="Y131" s="11"/>
      <c r="Z131" s="29"/>
      <c r="AA131" s="11"/>
      <c r="AB131" s="11"/>
      <c r="AC131" s="11"/>
      <c r="AD131" s="11"/>
      <c r="AE131" s="11"/>
    </row>
    <row r="132" spans="1:36" s="30" customFormat="1" ht="12.75" hidden="1" x14ac:dyDescent="0.2">
      <c r="A132" s="30" t="s">
        <v>1236</v>
      </c>
      <c r="B132" s="22"/>
      <c r="C132" s="11"/>
      <c r="D132" s="11"/>
      <c r="E132" s="11"/>
      <c r="F132" s="11"/>
      <c r="G132" s="11"/>
      <c r="H132" s="11"/>
      <c r="I132" s="11"/>
      <c r="J132" s="11"/>
      <c r="K132" s="11"/>
      <c r="L132" s="11"/>
      <c r="M132" s="11"/>
      <c r="N132" s="11"/>
      <c r="O132" s="11"/>
      <c r="P132" s="11"/>
      <c r="Q132" s="11"/>
      <c r="R132" s="29"/>
      <c r="S132" s="11"/>
      <c r="T132" s="11"/>
      <c r="U132" s="11"/>
      <c r="V132" s="11"/>
      <c r="W132" s="11"/>
      <c r="X132" s="11"/>
      <c r="Y132" s="11"/>
      <c r="Z132" s="29"/>
      <c r="AA132" s="11"/>
      <c r="AB132" s="11"/>
      <c r="AC132" s="11"/>
      <c r="AD132" s="11"/>
      <c r="AE132" s="11"/>
    </row>
    <row r="133" spans="1:36" s="30" customFormat="1" ht="12.75" hidden="1" x14ac:dyDescent="0.2">
      <c r="B133" s="22"/>
      <c r="C133" s="11"/>
      <c r="D133" s="11"/>
      <c r="E133" s="11"/>
      <c r="F133" s="11"/>
      <c r="G133" s="11"/>
      <c r="H133" s="11"/>
      <c r="I133" s="11"/>
      <c r="J133" s="11"/>
      <c r="K133" s="11"/>
      <c r="L133" s="11"/>
      <c r="M133" s="11"/>
      <c r="N133" s="11"/>
      <c r="O133" s="11"/>
      <c r="P133" s="11"/>
      <c r="Q133" s="11"/>
      <c r="R133" s="29"/>
      <c r="S133" s="11"/>
      <c r="T133" s="11"/>
      <c r="U133" s="11"/>
      <c r="V133" s="11"/>
      <c r="W133" s="11"/>
      <c r="X133" s="11"/>
      <c r="Y133" s="11"/>
      <c r="Z133" s="29"/>
      <c r="AA133" s="11"/>
      <c r="AB133" s="11"/>
      <c r="AC133" s="11"/>
      <c r="AD133" s="11"/>
      <c r="AE133" s="11"/>
    </row>
    <row r="134" spans="1:36" s="30" customFormat="1" ht="12.75" hidden="1" x14ac:dyDescent="0.2">
      <c r="B134" s="22"/>
      <c r="C134" s="11"/>
      <c r="D134" s="11"/>
      <c r="E134" s="11"/>
      <c r="F134" s="11"/>
      <c r="G134" s="11"/>
      <c r="H134" s="11"/>
      <c r="I134" s="11"/>
      <c r="J134" s="11"/>
      <c r="K134" s="11"/>
      <c r="L134" s="11"/>
      <c r="M134" s="11"/>
      <c r="N134" s="11"/>
      <c r="O134" s="11"/>
      <c r="P134" s="11"/>
      <c r="Q134" s="11"/>
      <c r="R134" s="29"/>
      <c r="S134" s="11"/>
      <c r="T134" s="11"/>
      <c r="U134" s="11"/>
      <c r="V134" s="11"/>
      <c r="W134" s="11"/>
      <c r="X134" s="11"/>
      <c r="Y134" s="11"/>
      <c r="Z134" s="29"/>
      <c r="AA134" s="11"/>
      <c r="AB134" s="11"/>
      <c r="AC134" s="11"/>
      <c r="AD134" s="11"/>
      <c r="AE134" s="11"/>
    </row>
    <row r="135" spans="1:36" s="30" customFormat="1" ht="12.75" x14ac:dyDescent="0.2">
      <c r="B135" s="22"/>
      <c r="C135" s="11"/>
      <c r="D135" s="11"/>
      <c r="E135" s="11"/>
      <c r="F135" s="11"/>
      <c r="G135" s="11"/>
      <c r="H135" s="11"/>
      <c r="I135" s="11"/>
      <c r="J135" s="11"/>
      <c r="K135" s="11"/>
      <c r="L135" s="11"/>
      <c r="M135" s="11"/>
      <c r="N135" s="11"/>
      <c r="O135" s="11"/>
      <c r="P135" s="11"/>
      <c r="Q135" s="11"/>
      <c r="R135" s="29"/>
      <c r="S135" s="11"/>
      <c r="T135" s="11"/>
      <c r="U135" s="11"/>
      <c r="V135" s="11"/>
      <c r="W135" s="11"/>
      <c r="X135" s="11"/>
      <c r="Y135" s="11"/>
      <c r="Z135" s="29"/>
      <c r="AA135" s="11"/>
      <c r="AB135" s="11"/>
      <c r="AC135" s="11"/>
      <c r="AD135" s="11"/>
      <c r="AE135" s="11"/>
    </row>
    <row r="136" spans="1:36" s="30" customFormat="1" ht="12.75" x14ac:dyDescent="0.2">
      <c r="B136" s="22"/>
      <c r="C136" s="11"/>
      <c r="D136" s="11"/>
      <c r="E136" s="11"/>
      <c r="F136" s="11"/>
      <c r="G136" s="11"/>
      <c r="H136" s="11"/>
      <c r="I136" s="11"/>
      <c r="J136" s="11"/>
      <c r="K136" s="11"/>
      <c r="L136" s="11"/>
      <c r="M136" s="11"/>
      <c r="N136" s="11"/>
      <c r="O136" s="11"/>
      <c r="P136" s="11"/>
      <c r="Q136" s="11"/>
      <c r="R136" s="29"/>
      <c r="S136" s="11"/>
      <c r="T136" s="11"/>
      <c r="U136" s="11"/>
      <c r="V136" s="11"/>
      <c r="W136" s="11"/>
      <c r="X136" s="11"/>
      <c r="Y136" s="11"/>
      <c r="Z136" s="29"/>
      <c r="AA136" s="11"/>
      <c r="AB136" s="11"/>
      <c r="AC136" s="11"/>
      <c r="AD136" s="11"/>
      <c r="AE136" s="11"/>
    </row>
    <row r="137" spans="1:36" s="30" customFormat="1" ht="12.75" x14ac:dyDescent="0.2">
      <c r="A137" s="30" t="s">
        <v>1353</v>
      </c>
      <c r="B137" s="22"/>
      <c r="C137" s="11">
        <v>108372744.17715</v>
      </c>
      <c r="D137" s="11">
        <v>19096984.726803795</v>
      </c>
      <c r="E137" s="11">
        <v>192821.16214147917</v>
      </c>
      <c r="F137" s="11">
        <v>3343610.1312070112</v>
      </c>
      <c r="G137" s="11">
        <v>4265826.0355406785</v>
      </c>
      <c r="H137" s="11">
        <v>568469.81394798495</v>
      </c>
      <c r="I137" s="11">
        <v>9200000</v>
      </c>
      <c r="J137" s="11">
        <v>19329.921551105632</v>
      </c>
      <c r="K137" s="11">
        <v>696019.32303999981</v>
      </c>
      <c r="L137" s="11">
        <v>1033455</v>
      </c>
      <c r="M137" s="11">
        <v>146789260.29138207</v>
      </c>
      <c r="N137" s="11">
        <v>1254009.9424908133</v>
      </c>
      <c r="O137" s="11">
        <v>0</v>
      </c>
      <c r="P137" s="11">
        <v>148043270.23387289</v>
      </c>
      <c r="Q137" s="11">
        <v>-1934172.9849999999</v>
      </c>
      <c r="R137" s="11">
        <v>146109097.24887291</v>
      </c>
      <c r="S137" s="11">
        <v>1338270</v>
      </c>
      <c r="T137" s="11">
        <v>4637405.625</v>
      </c>
      <c r="U137" s="11">
        <v>1717939.1458333335</v>
      </c>
      <c r="V137" s="11">
        <v>0</v>
      </c>
      <c r="W137" s="11">
        <v>8819718.1677419357</v>
      </c>
      <c r="X137" s="11">
        <v>4135641.9990178975</v>
      </c>
      <c r="Y137" s="11">
        <v>0</v>
      </c>
      <c r="Z137" s="11">
        <v>166758072.18646604</v>
      </c>
      <c r="AA137" s="11"/>
      <c r="AB137" s="11"/>
      <c r="AC137" s="11"/>
      <c r="AD137" s="11"/>
      <c r="AE137" s="11"/>
      <c r="AG137" s="11"/>
      <c r="AH137" s="11"/>
      <c r="AI137" s="11"/>
    </row>
    <row r="138" spans="1:36" s="30" customFormat="1" ht="12.75" x14ac:dyDescent="0.2">
      <c r="A138" s="30" t="s">
        <v>1354</v>
      </c>
      <c r="B138" s="22"/>
      <c r="C138" s="11">
        <v>109882010.23572497</v>
      </c>
      <c r="D138" s="11">
        <v>17358586.527524058</v>
      </c>
      <c r="E138" s="11">
        <v>189763.6201782735</v>
      </c>
      <c r="F138" s="11">
        <v>3121256.8403640892</v>
      </c>
      <c r="G138" s="11">
        <v>4395964.4072255343</v>
      </c>
      <c r="H138" s="11">
        <v>599769.85121111048</v>
      </c>
      <c r="I138" s="11">
        <v>9450000</v>
      </c>
      <c r="J138" s="11">
        <v>19329.921551105632</v>
      </c>
      <c r="K138" s="11">
        <v>1542412.1351999999</v>
      </c>
      <c r="L138" s="11">
        <v>1044821.0899999999</v>
      </c>
      <c r="M138" s="11">
        <v>147603914.62897915</v>
      </c>
      <c r="N138" s="11">
        <v>2223639.0912993359</v>
      </c>
      <c r="O138" s="11">
        <v>0</v>
      </c>
      <c r="P138" s="11">
        <v>149827553.72027847</v>
      </c>
      <c r="Q138" s="11">
        <v>-1727741.0949999997</v>
      </c>
      <c r="R138" s="11">
        <v>148099812.6252785</v>
      </c>
      <c r="S138" s="11">
        <v>1338270</v>
      </c>
      <c r="T138" s="11"/>
      <c r="U138" s="11"/>
      <c r="V138" s="11"/>
      <c r="W138" s="11"/>
      <c r="X138" s="11"/>
      <c r="Y138" s="11"/>
      <c r="Z138" s="11">
        <v>168748787.56287163</v>
      </c>
      <c r="AA138" s="11"/>
      <c r="AB138" s="11"/>
      <c r="AC138" s="11"/>
      <c r="AD138" s="11"/>
      <c r="AE138" s="11"/>
      <c r="AG138" s="11"/>
      <c r="AH138" s="11"/>
      <c r="AI138" s="11"/>
    </row>
    <row r="139" spans="1:36" s="30" customFormat="1" ht="12.75" x14ac:dyDescent="0.2">
      <c r="B139" s="22"/>
      <c r="C139" s="11">
        <f>C99-C138</f>
        <v>4479691.8169033825</v>
      </c>
      <c r="D139" s="11">
        <f t="shared" ref="D139:Z139" si="52">D99-D138</f>
        <v>45146.25731286034</v>
      </c>
      <c r="E139" s="11">
        <f t="shared" si="52"/>
        <v>484.6282175857632</v>
      </c>
      <c r="F139" s="11">
        <f t="shared" si="52"/>
        <v>0</v>
      </c>
      <c r="G139" s="11">
        <f t="shared" si="52"/>
        <v>-12120.820385187864</v>
      </c>
      <c r="H139" s="11">
        <f t="shared" si="52"/>
        <v>2376.8236821948085</v>
      </c>
      <c r="I139" s="11">
        <f t="shared" si="52"/>
        <v>0</v>
      </c>
      <c r="J139" s="11">
        <f t="shared" si="52"/>
        <v>-19329.921551105632</v>
      </c>
      <c r="K139" s="11">
        <f t="shared" si="52"/>
        <v>-31667.780000000261</v>
      </c>
      <c r="L139" s="11">
        <f t="shared" si="52"/>
        <v>0</v>
      </c>
      <c r="M139" s="11">
        <f t="shared" si="52"/>
        <v>4464581.0041797161</v>
      </c>
      <c r="N139" s="11">
        <f t="shared" si="52"/>
        <v>-1233551.0894086333</v>
      </c>
      <c r="O139" s="11">
        <f t="shared" si="52"/>
        <v>0</v>
      </c>
      <c r="P139" s="11">
        <f t="shared" si="52"/>
        <v>3231029.9147711098</v>
      </c>
      <c r="Q139" s="11">
        <f>Q99-Q138</f>
        <v>16174.394583333284</v>
      </c>
      <c r="R139" s="11">
        <f t="shared" si="52"/>
        <v>3247204.3093543649</v>
      </c>
      <c r="S139" s="11">
        <f t="shared" si="52"/>
        <v>0</v>
      </c>
      <c r="T139" s="11">
        <f t="shared" si="52"/>
        <v>4231356.2749999994</v>
      </c>
      <c r="U139" s="11">
        <f t="shared" si="52"/>
        <v>1964680.1400000001</v>
      </c>
      <c r="V139" s="11">
        <f t="shared" si="52"/>
        <v>0</v>
      </c>
      <c r="W139" s="11">
        <f t="shared" si="52"/>
        <v>0</v>
      </c>
      <c r="X139" s="11">
        <f t="shared" si="52"/>
        <v>4112808.6277195895</v>
      </c>
      <c r="Y139" s="11">
        <f t="shared" si="52"/>
        <v>0</v>
      </c>
      <c r="Z139" s="11">
        <f t="shared" si="52"/>
        <v>-5754655.585519135</v>
      </c>
      <c r="AA139" s="11"/>
      <c r="AB139" s="11"/>
      <c r="AC139" s="11"/>
      <c r="AD139" s="11"/>
      <c r="AE139" s="11"/>
      <c r="AF139" s="11"/>
      <c r="AG139" s="11"/>
      <c r="AH139" s="11"/>
      <c r="AI139" s="11"/>
    </row>
    <row r="140" spans="1:36" s="30" customFormat="1" ht="12.75" x14ac:dyDescent="0.2">
      <c r="B140" s="22"/>
      <c r="C140" s="11"/>
      <c r="D140" s="11"/>
      <c r="E140" s="11"/>
      <c r="F140" s="11"/>
      <c r="G140" s="11"/>
      <c r="H140" s="11"/>
      <c r="I140" s="11"/>
      <c r="J140" s="11"/>
      <c r="K140" s="11"/>
      <c r="L140" s="11"/>
      <c r="M140" s="11"/>
      <c r="N140" s="11"/>
      <c r="O140" s="11"/>
      <c r="P140" s="11">
        <f>P99-K99</f>
        <v>151547839.27984959</v>
      </c>
      <c r="Q140" s="11"/>
      <c r="R140" s="11"/>
      <c r="S140" s="11"/>
      <c r="T140" s="11"/>
      <c r="U140" s="11"/>
      <c r="V140" s="11"/>
      <c r="W140" s="11"/>
      <c r="X140" s="11"/>
      <c r="Y140" s="11"/>
      <c r="Z140" s="11"/>
      <c r="AA140" s="11"/>
      <c r="AB140" s="11"/>
      <c r="AC140" s="11"/>
      <c r="AD140" s="11"/>
      <c r="AE140" s="11"/>
      <c r="AI140" s="11">
        <v>230453.47021454573</v>
      </c>
      <c r="AJ140" s="30" t="s">
        <v>1355</v>
      </c>
    </row>
    <row r="141" spans="1:36" s="30" customFormat="1" ht="12.75" x14ac:dyDescent="0.2">
      <c r="B141" s="22"/>
      <c r="C141" s="11"/>
      <c r="D141" s="11"/>
      <c r="E141" s="11"/>
      <c r="F141" s="11"/>
      <c r="G141" s="11"/>
      <c r="H141" s="11"/>
      <c r="I141" s="11"/>
      <c r="J141" s="11"/>
      <c r="K141" s="11"/>
      <c r="L141" s="11"/>
      <c r="M141" s="11"/>
      <c r="N141" s="739">
        <f>N99/M99</f>
        <v>6.5108028968678226E-3</v>
      </c>
      <c r="O141" s="11"/>
      <c r="P141" s="11"/>
      <c r="Q141" s="11"/>
      <c r="R141" s="29"/>
      <c r="S141" s="11"/>
      <c r="T141" s="11" t="s">
        <v>142</v>
      </c>
      <c r="U141" s="11" t="s">
        <v>143</v>
      </c>
      <c r="V141" s="11"/>
      <c r="W141" s="11"/>
      <c r="X141" s="11"/>
      <c r="Y141" s="11"/>
      <c r="Z141" s="11"/>
      <c r="AA141" s="11"/>
      <c r="AB141" s="11"/>
      <c r="AC141" s="11"/>
      <c r="AD141" s="11"/>
      <c r="AE141" s="11"/>
    </row>
    <row r="142" spans="1:36" s="30" customFormat="1" ht="12.75" x14ac:dyDescent="0.2">
      <c r="A142" s="30" t="s">
        <v>2</v>
      </c>
      <c r="B142" s="22">
        <v>1014</v>
      </c>
      <c r="C142" s="11"/>
      <c r="D142" s="11"/>
      <c r="E142" s="11"/>
      <c r="F142" s="11"/>
      <c r="G142" s="11"/>
      <c r="H142" s="11"/>
      <c r="I142" s="11"/>
      <c r="J142" s="11"/>
      <c r="K142" s="107">
        <v>9805.7699999999986</v>
      </c>
      <c r="L142" s="11"/>
      <c r="M142" s="29">
        <f t="shared" ref="M142:M149" si="53">SUM(C142:L142)</f>
        <v>9805.7699999999986</v>
      </c>
      <c r="N142" s="739">
        <f>N138/M138</f>
        <v>1.5064905947032164E-2</v>
      </c>
      <c r="O142" s="11"/>
      <c r="P142" s="29">
        <f t="shared" ref="P142:P150" si="54">SUM(M142:O142)</f>
        <v>9805.7850649059455</v>
      </c>
      <c r="Q142" s="11"/>
      <c r="R142" s="29">
        <f t="shared" ref="R142:R149" si="55">SUM(P142+Q142)</f>
        <v>9805.7850649059455</v>
      </c>
      <c r="S142" s="11"/>
      <c r="T142" s="11"/>
      <c r="U142" s="11">
        <v>0</v>
      </c>
      <c r="V142" s="11"/>
      <c r="W142" s="11"/>
      <c r="X142" s="11">
        <v>251753.85778633872</v>
      </c>
      <c r="Y142" s="11"/>
      <c r="Z142" s="29">
        <f t="shared" ref="Z142:Z149" si="56">SUM(R142:Y142)</f>
        <v>261559.64285124466</v>
      </c>
      <c r="AA142" s="11"/>
      <c r="AB142" s="11"/>
      <c r="AC142" s="11"/>
      <c r="AD142" s="11"/>
      <c r="AE142" s="11"/>
    </row>
    <row r="143" spans="1:36" s="30" customFormat="1" ht="12.75" x14ac:dyDescent="0.2">
      <c r="A143" s="413" t="s">
        <v>3</v>
      </c>
      <c r="B143" s="22">
        <v>1017</v>
      </c>
      <c r="C143" s="11"/>
      <c r="D143" s="22"/>
      <c r="E143" s="11"/>
      <c r="F143" s="11"/>
      <c r="G143" s="11"/>
      <c r="H143" s="11"/>
      <c r="I143" s="11"/>
      <c r="J143" s="11"/>
      <c r="K143" s="107">
        <v>0</v>
      </c>
      <c r="L143" s="11"/>
      <c r="M143" s="29">
        <f t="shared" si="53"/>
        <v>0</v>
      </c>
      <c r="N143" s="739">
        <f>N142-N141</f>
        <v>8.5541030501643418E-3</v>
      </c>
      <c r="O143" s="11"/>
      <c r="P143" s="29">
        <f t="shared" si="54"/>
        <v>8.5541030501643418E-3</v>
      </c>
      <c r="Q143" s="11"/>
      <c r="R143" s="29">
        <f t="shared" si="55"/>
        <v>8.5541030501643418E-3</v>
      </c>
      <c r="S143" s="11"/>
      <c r="T143" s="11"/>
      <c r="U143" s="11"/>
      <c r="V143" s="11"/>
      <c r="W143" s="11"/>
      <c r="X143" s="11">
        <v>-6.9637239414525303E-3</v>
      </c>
      <c r="Y143" s="11"/>
      <c r="Z143" s="29">
        <f t="shared" si="56"/>
        <v>1.5903791087118115E-3</v>
      </c>
      <c r="AA143" s="11"/>
      <c r="AB143" s="11"/>
      <c r="AC143" s="11"/>
      <c r="AD143" s="11"/>
      <c r="AE143" s="11"/>
    </row>
    <row r="144" spans="1:36" s="30" customFormat="1" ht="12.75" x14ac:dyDescent="0.2">
      <c r="A144" s="413" t="s">
        <v>4</v>
      </c>
      <c r="B144" s="414">
        <v>1006</v>
      </c>
      <c r="C144" s="11"/>
      <c r="D144" s="11"/>
      <c r="E144" s="11"/>
      <c r="F144" s="11"/>
      <c r="G144" s="11"/>
      <c r="H144" s="11"/>
      <c r="I144" s="11"/>
      <c r="J144" s="11"/>
      <c r="K144" s="107">
        <v>11565.779999999999</v>
      </c>
      <c r="L144" s="11"/>
      <c r="M144" s="29">
        <f t="shared" si="53"/>
        <v>11565.779999999999</v>
      </c>
      <c r="N144" s="11"/>
      <c r="O144" s="11"/>
      <c r="P144" s="29">
        <f t="shared" si="54"/>
        <v>11565.779999999999</v>
      </c>
      <c r="Q144" s="11"/>
      <c r="R144" s="29">
        <f t="shared" si="55"/>
        <v>11565.779999999999</v>
      </c>
      <c r="S144" s="11"/>
      <c r="T144" s="107">
        <v>142055</v>
      </c>
      <c r="U144" s="107">
        <v>900.97499999999991</v>
      </c>
      <c r="V144" s="11"/>
      <c r="W144" s="11"/>
      <c r="X144" s="11">
        <v>271635.37680151127</v>
      </c>
      <c r="Y144" s="11"/>
      <c r="Z144" s="29">
        <f t="shared" si="56"/>
        <v>426157.13180151128</v>
      </c>
      <c r="AA144" s="11"/>
      <c r="AB144" s="11"/>
      <c r="AC144" s="11"/>
      <c r="AD144" s="11"/>
      <c r="AE144" s="11"/>
    </row>
    <row r="145" spans="1:40" ht="12.75" x14ac:dyDescent="0.2">
      <c r="A145" s="1030" t="s">
        <v>645</v>
      </c>
      <c r="B145" s="414">
        <v>1008</v>
      </c>
      <c r="K145" s="107">
        <v>4547.08</v>
      </c>
      <c r="M145" s="29">
        <f t="shared" si="53"/>
        <v>4547.08</v>
      </c>
      <c r="P145" s="29">
        <f t="shared" si="54"/>
        <v>4547.08</v>
      </c>
      <c r="R145" s="29">
        <f t="shared" si="55"/>
        <v>4547.08</v>
      </c>
      <c r="T145" s="107"/>
      <c r="U145" s="107">
        <v>20271.9375</v>
      </c>
      <c r="X145" s="11">
        <v>387772.07510856714</v>
      </c>
      <c r="Z145" s="29">
        <f t="shared" si="56"/>
        <v>412591.09260856715</v>
      </c>
    </row>
    <row r="146" spans="1:40" ht="12.75" x14ac:dyDescent="0.2">
      <c r="A146" s="416" t="s">
        <v>646</v>
      </c>
      <c r="B146" s="415">
        <v>1005</v>
      </c>
      <c r="K146" s="107">
        <v>14834.369999999999</v>
      </c>
      <c r="M146" s="29">
        <f t="shared" si="53"/>
        <v>14834.369999999999</v>
      </c>
      <c r="P146" s="29">
        <f t="shared" si="54"/>
        <v>14834.369999999999</v>
      </c>
      <c r="R146" s="29">
        <f t="shared" si="55"/>
        <v>14834.369999999999</v>
      </c>
      <c r="T146" s="107">
        <v>110000</v>
      </c>
      <c r="U146" s="107">
        <v>900.97499999999991</v>
      </c>
      <c r="X146" s="11">
        <v>437385.6920435878</v>
      </c>
      <c r="Z146" s="29">
        <f t="shared" si="56"/>
        <v>563121.03704358777</v>
      </c>
    </row>
    <row r="147" spans="1:40" ht="12.75" x14ac:dyDescent="0.2">
      <c r="A147" s="416" t="s">
        <v>7</v>
      </c>
      <c r="B147" s="415">
        <v>1010</v>
      </c>
      <c r="K147" s="107">
        <v>4406.7599999999993</v>
      </c>
      <c r="M147" s="29">
        <f t="shared" si="53"/>
        <v>4406.7599999999993</v>
      </c>
      <c r="P147" s="29">
        <f t="shared" si="54"/>
        <v>4406.7599999999993</v>
      </c>
      <c r="R147" s="29">
        <f t="shared" si="55"/>
        <v>4406.7599999999993</v>
      </c>
      <c r="T147" s="107"/>
      <c r="U147" s="107">
        <v>9760.5625</v>
      </c>
      <c r="X147" s="11">
        <v>290418.31010234449</v>
      </c>
      <c r="Z147" s="29">
        <f t="shared" si="56"/>
        <v>304585.6326023445</v>
      </c>
    </row>
    <row r="148" spans="1:40" ht="12.75" x14ac:dyDescent="0.2">
      <c r="A148" s="416" t="s">
        <v>8</v>
      </c>
      <c r="B148" s="414">
        <v>1009</v>
      </c>
      <c r="K148" s="107">
        <v>8079.0599999999995</v>
      </c>
      <c r="M148" s="29">
        <f t="shared" si="53"/>
        <v>8079.0599999999995</v>
      </c>
      <c r="P148" s="29">
        <f t="shared" si="54"/>
        <v>8079.0599999999995</v>
      </c>
      <c r="R148" s="29">
        <f t="shared" si="55"/>
        <v>8079.0599999999995</v>
      </c>
      <c r="T148" s="107"/>
      <c r="U148" s="107">
        <v>9760.5625</v>
      </c>
      <c r="X148" s="11">
        <v>381335.52653131599</v>
      </c>
      <c r="Z148" s="29">
        <f t="shared" si="56"/>
        <v>399175.14903131599</v>
      </c>
    </row>
    <row r="149" spans="1:40" ht="12.75" x14ac:dyDescent="0.2">
      <c r="A149" s="416" t="s">
        <v>9</v>
      </c>
      <c r="B149" s="414">
        <v>1015</v>
      </c>
      <c r="K149" s="107">
        <v>5875.6799999999994</v>
      </c>
      <c r="M149" s="29">
        <f t="shared" si="53"/>
        <v>5875.6799999999994</v>
      </c>
      <c r="P149" s="29">
        <f t="shared" si="54"/>
        <v>5875.6799999999994</v>
      </c>
      <c r="R149" s="29">
        <f t="shared" si="55"/>
        <v>5875.6799999999994</v>
      </c>
      <c r="T149" s="107"/>
      <c r="U149" s="107">
        <v>28455.793750000001</v>
      </c>
      <c r="X149" s="11">
        <v>344176.05785120092</v>
      </c>
      <c r="Z149" s="29">
        <f t="shared" si="56"/>
        <v>378507.53160120093</v>
      </c>
    </row>
    <row r="150" spans="1:40" ht="12.75" x14ac:dyDescent="0.2">
      <c r="A150" s="416" t="s">
        <v>145</v>
      </c>
      <c r="K150" s="1031">
        <f>SUM(K142:K149)</f>
        <v>59114.5</v>
      </c>
      <c r="M150" s="1031">
        <f>SUM(M142:M149)</f>
        <v>59114.5</v>
      </c>
      <c r="P150" s="1031">
        <f t="shared" si="54"/>
        <v>59114.5</v>
      </c>
      <c r="R150" s="1031">
        <f>SUM(R142:R149)</f>
        <v>59114.523619008993</v>
      </c>
      <c r="T150" s="1031">
        <f>SUM(T142:T149)</f>
        <v>252055</v>
      </c>
      <c r="U150" s="1031">
        <f>SUM(U142:U149)</f>
        <v>70050.806249999994</v>
      </c>
      <c r="X150" s="1032">
        <f>SUM(X142:X149)</f>
        <v>2364476.8892611424</v>
      </c>
      <c r="Z150" s="1031">
        <f>SUM(Z142:Z149)</f>
        <v>2745697.2191301514</v>
      </c>
    </row>
    <row r="151" spans="1:40" ht="12.75" x14ac:dyDescent="0.2">
      <c r="Y151" s="11" t="s">
        <v>76</v>
      </c>
      <c r="Z151" s="11"/>
    </row>
    <row r="152" spans="1:40" ht="12.75" x14ac:dyDescent="0.2">
      <c r="T152" s="11" t="s">
        <v>1239</v>
      </c>
      <c r="U152" s="11" t="s">
        <v>1239</v>
      </c>
      <c r="X152" s="11">
        <f>T150+U150</f>
        <v>322105.80625000002</v>
      </c>
      <c r="Y152" s="11" t="s">
        <v>1240</v>
      </c>
      <c r="Z152" s="11"/>
    </row>
    <row r="153" spans="1:40" s="1033" customFormat="1" ht="12.75" x14ac:dyDescent="0.2">
      <c r="B153" s="1034"/>
      <c r="C153" s="982">
        <f>C99</f>
        <v>114361702.05262835</v>
      </c>
      <c r="D153" s="982">
        <f t="shared" ref="D153:J153" si="57">D99</f>
        <v>17403732.784836918</v>
      </c>
      <c r="E153" s="982">
        <f t="shared" si="57"/>
        <v>190248.24839585926</v>
      </c>
      <c r="F153" s="982">
        <f t="shared" si="57"/>
        <v>3121256.8403640892</v>
      </c>
      <c r="G153" s="982">
        <f t="shared" si="57"/>
        <v>4383843.5868403465</v>
      </c>
      <c r="H153" s="982">
        <f t="shared" si="57"/>
        <v>602146.67489330529</v>
      </c>
      <c r="I153" s="982">
        <f t="shared" si="57"/>
        <v>9450000</v>
      </c>
      <c r="J153" s="982">
        <f t="shared" si="57"/>
        <v>0</v>
      </c>
      <c r="K153" s="982">
        <f>K99+K150</f>
        <v>1569858.8551999996</v>
      </c>
      <c r="L153" s="982">
        <f t="shared" ref="L153:Y153" si="58">L99+L150</f>
        <v>1044821.0899999999</v>
      </c>
      <c r="M153" s="982">
        <f t="shared" si="58"/>
        <v>152127610.13315886</v>
      </c>
      <c r="N153" s="982">
        <f t="shared" si="58"/>
        <v>990088.00189070252</v>
      </c>
      <c r="O153" s="982">
        <f t="shared" si="58"/>
        <v>0</v>
      </c>
      <c r="P153" s="982">
        <f t="shared" si="58"/>
        <v>153117698.13504958</v>
      </c>
      <c r="Q153" s="982">
        <f t="shared" si="58"/>
        <v>-1711566.7004166665</v>
      </c>
      <c r="R153" s="982">
        <f t="shared" si="58"/>
        <v>151406131.45825186</v>
      </c>
      <c r="S153" s="982">
        <f t="shared" si="58"/>
        <v>1338270</v>
      </c>
      <c r="T153" s="982">
        <f t="shared" si="58"/>
        <v>4483411.2749999994</v>
      </c>
      <c r="U153" s="982">
        <f t="shared" si="58"/>
        <v>2034730.94625</v>
      </c>
      <c r="V153" s="982">
        <f t="shared" si="58"/>
        <v>0</v>
      </c>
      <c r="W153" s="982">
        <f t="shared" si="58"/>
        <v>0</v>
      </c>
      <c r="X153" s="982">
        <f t="shared" si="58"/>
        <v>6477285.5169807319</v>
      </c>
      <c r="Y153" s="982">
        <f t="shared" si="58"/>
        <v>0</v>
      </c>
      <c r="Z153" s="982">
        <f>Z99+Z150</f>
        <v>165739829.19648266</v>
      </c>
      <c r="AA153" s="982"/>
      <c r="AB153" s="982"/>
      <c r="AC153" s="982"/>
      <c r="AD153" s="982"/>
      <c r="AE153" s="982"/>
      <c r="AN153" s="1113"/>
    </row>
    <row r="155" spans="1:40" ht="12.75" x14ac:dyDescent="0.2">
      <c r="B155" s="22">
        <v>1</v>
      </c>
      <c r="C155" s="11">
        <v>2</v>
      </c>
      <c r="D155" s="22">
        <v>3</v>
      </c>
      <c r="E155" s="11">
        <v>4</v>
      </c>
      <c r="F155" s="22">
        <v>5</v>
      </c>
      <c r="G155" s="11">
        <v>6</v>
      </c>
      <c r="H155" s="22">
        <v>7</v>
      </c>
      <c r="I155" s="11">
        <v>8</v>
      </c>
      <c r="J155" s="22">
        <v>9</v>
      </c>
      <c r="K155" s="11">
        <v>10</v>
      </c>
      <c r="L155" s="22">
        <v>11</v>
      </c>
      <c r="M155" s="11">
        <v>12</v>
      </c>
      <c r="N155" s="22">
        <v>13</v>
      </c>
      <c r="O155" s="11">
        <v>14</v>
      </c>
      <c r="P155" s="22">
        <v>15</v>
      </c>
      <c r="Q155" s="11">
        <v>16</v>
      </c>
      <c r="R155" s="22">
        <v>17</v>
      </c>
      <c r="S155" s="11">
        <v>18</v>
      </c>
      <c r="T155" s="22">
        <v>19</v>
      </c>
      <c r="U155" s="11">
        <v>20</v>
      </c>
      <c r="V155" s="22">
        <v>21</v>
      </c>
      <c r="W155" s="11">
        <v>22</v>
      </c>
      <c r="X155" s="22">
        <v>23</v>
      </c>
      <c r="Y155" s="11">
        <v>24</v>
      </c>
      <c r="Z155" s="22">
        <v>25</v>
      </c>
      <c r="AA155" s="11">
        <v>26</v>
      </c>
      <c r="AB155" s="22">
        <v>27</v>
      </c>
      <c r="AC155" s="11">
        <v>28</v>
      </c>
      <c r="AD155" s="22">
        <v>29</v>
      </c>
      <c r="AE155" s="11">
        <v>30</v>
      </c>
      <c r="AF155" s="22">
        <v>31</v>
      </c>
      <c r="AG155" s="11">
        <v>32</v>
      </c>
      <c r="AH155" s="22">
        <v>33</v>
      </c>
      <c r="AI155" s="11">
        <v>34</v>
      </c>
      <c r="AJ155" s="22">
        <v>35</v>
      </c>
    </row>
    <row r="157" spans="1:40" ht="12.75" x14ac:dyDescent="0.2">
      <c r="C157" s="11">
        <f>+C99-C89</f>
        <v>113528905.66222835</v>
      </c>
      <c r="D157" s="11">
        <f t="shared" ref="D157:Z157" si="59">+D99-D89</f>
        <v>17374175.454552468</v>
      </c>
      <c r="E157" s="11">
        <f t="shared" si="59"/>
        <v>190248.24839585926</v>
      </c>
      <c r="F157" s="11">
        <f t="shared" si="59"/>
        <v>3073758.5639413251</v>
      </c>
      <c r="G157" s="11">
        <f t="shared" si="59"/>
        <v>4379548.2779514575</v>
      </c>
      <c r="H157" s="11">
        <f t="shared" si="59"/>
        <v>602146.67489330529</v>
      </c>
      <c r="I157" s="11">
        <f t="shared" si="59"/>
        <v>9300000</v>
      </c>
      <c r="J157" s="11">
        <f t="shared" si="59"/>
        <v>0</v>
      </c>
      <c r="K157" s="11">
        <f t="shared" si="59"/>
        <v>1484847.0651999996</v>
      </c>
      <c r="L157" s="11">
        <f t="shared" si="59"/>
        <v>1044821.0899999999</v>
      </c>
      <c r="M157" s="11">
        <f t="shared" si="59"/>
        <v>150978451.03716275</v>
      </c>
      <c r="N157" s="11">
        <f t="shared" si="59"/>
        <v>990088.00189070252</v>
      </c>
      <c r="O157" s="11">
        <f t="shared" si="59"/>
        <v>0</v>
      </c>
      <c r="P157" s="11">
        <f t="shared" si="59"/>
        <v>151968539.03905347</v>
      </c>
      <c r="Q157" s="11">
        <f t="shared" si="59"/>
        <v>-1711566.7004166665</v>
      </c>
      <c r="R157" s="11">
        <f t="shared" si="59"/>
        <v>150256972.33863676</v>
      </c>
      <c r="S157" s="11">
        <f t="shared" si="59"/>
        <v>1338270</v>
      </c>
      <c r="T157" s="11">
        <f t="shared" si="59"/>
        <v>4231356.2749999994</v>
      </c>
      <c r="U157" s="11">
        <f t="shared" si="59"/>
        <v>1964680.1400000001</v>
      </c>
      <c r="V157" s="11">
        <f t="shared" si="59"/>
        <v>0</v>
      </c>
      <c r="W157" s="11">
        <f t="shared" si="59"/>
        <v>0</v>
      </c>
      <c r="X157" s="11">
        <f t="shared" si="59"/>
        <v>4112808.6277195895</v>
      </c>
      <c r="Y157" s="11">
        <f t="shared" si="59"/>
        <v>0</v>
      </c>
      <c r="Z157" s="11">
        <f t="shared" si="59"/>
        <v>161904087.38135639</v>
      </c>
    </row>
    <row r="160" spans="1:40" ht="13.5" thickBot="1" x14ac:dyDescent="0.25">
      <c r="Q160" s="414">
        <v>1008</v>
      </c>
      <c r="R160" s="412" t="s">
        <v>645</v>
      </c>
    </row>
    <row r="161" spans="1:36" s="30" customFormat="1" ht="12.75" x14ac:dyDescent="0.2">
      <c r="B161" s="22"/>
      <c r="C161" s="11"/>
      <c r="D161" s="11"/>
      <c r="E161" s="11"/>
      <c r="F161" s="11"/>
      <c r="G161" s="11"/>
      <c r="H161" s="11"/>
      <c r="I161" s="11"/>
      <c r="J161" s="11"/>
      <c r="K161" s="11"/>
      <c r="L161" s="11"/>
      <c r="M161" s="11"/>
      <c r="N161" s="11"/>
      <c r="O161" s="11"/>
      <c r="P161" s="11"/>
      <c r="Q161" s="415">
        <v>1005</v>
      </c>
      <c r="R161" s="416" t="s">
        <v>646</v>
      </c>
      <c r="S161" s="11"/>
      <c r="T161" s="11"/>
      <c r="U161" s="11"/>
      <c r="V161" s="11"/>
      <c r="W161" s="11"/>
      <c r="X161" s="11"/>
      <c r="Y161" s="1114" t="s">
        <v>1209</v>
      </c>
      <c r="Z161" s="1115">
        <v>4112808.6277195914</v>
      </c>
      <c r="AA161" s="11"/>
      <c r="AB161" s="11"/>
      <c r="AC161" s="11"/>
      <c r="AD161" s="11"/>
      <c r="AE161" s="11"/>
    </row>
    <row r="162" spans="1:36" s="30" customFormat="1" ht="12.75" x14ac:dyDescent="0.2">
      <c r="B162" s="22"/>
      <c r="C162" s="11"/>
      <c r="D162" s="11"/>
      <c r="E162" s="11"/>
      <c r="F162" s="11"/>
      <c r="G162" s="11"/>
      <c r="H162" s="11"/>
      <c r="I162" s="11"/>
      <c r="J162" s="11"/>
      <c r="K162" s="11"/>
      <c r="L162" s="11"/>
      <c r="M162" s="11"/>
      <c r="N162" s="11"/>
      <c r="O162" s="11"/>
      <c r="P162" s="11"/>
      <c r="Q162" s="414">
        <v>1006</v>
      </c>
      <c r="R162" s="416" t="s">
        <v>4</v>
      </c>
      <c r="S162" s="11"/>
      <c r="T162" s="11"/>
      <c r="U162" s="11"/>
      <c r="V162" s="11"/>
      <c r="W162" s="11"/>
      <c r="X162" s="11"/>
      <c r="Y162" s="1116" t="s">
        <v>1238</v>
      </c>
      <c r="Z162" s="1117">
        <v>2364476.9012897722</v>
      </c>
      <c r="AA162" s="11"/>
      <c r="AB162" s="11"/>
      <c r="AC162" s="11"/>
      <c r="AD162" s="11"/>
      <c r="AE162" s="11"/>
    </row>
    <row r="163" spans="1:36" s="30" customFormat="1" ht="12.75" x14ac:dyDescent="0.2">
      <c r="B163" s="22"/>
      <c r="C163" s="11"/>
      <c r="D163" s="11"/>
      <c r="E163" s="11"/>
      <c r="F163" s="11"/>
      <c r="G163" s="11"/>
      <c r="H163" s="11"/>
      <c r="I163" s="11"/>
      <c r="J163" s="11"/>
      <c r="K163" s="11"/>
      <c r="L163" s="11"/>
      <c r="M163" s="11"/>
      <c r="N163" s="11"/>
      <c r="O163" s="11"/>
      <c r="P163" s="11"/>
      <c r="Q163" s="415">
        <v>1010</v>
      </c>
      <c r="R163" s="416" t="s">
        <v>7</v>
      </c>
      <c r="S163" s="11"/>
      <c r="T163" s="11"/>
      <c r="U163" s="11"/>
      <c r="V163" s="11"/>
      <c r="W163" s="11"/>
      <c r="X163" s="11"/>
      <c r="Y163" s="1118" t="s">
        <v>1356</v>
      </c>
      <c r="Z163" s="1119">
        <f>Z162+Z161</f>
        <v>6477285.5290093636</v>
      </c>
      <c r="AA163" s="11"/>
      <c r="AB163" s="11"/>
      <c r="AC163" s="11"/>
      <c r="AD163" s="11"/>
      <c r="AE163" s="11"/>
    </row>
    <row r="164" spans="1:36" s="30" customFormat="1" ht="12.75" x14ac:dyDescent="0.2">
      <c r="B164" s="22"/>
      <c r="C164" s="11"/>
      <c r="D164" s="11"/>
      <c r="E164" s="11"/>
      <c r="F164" s="11"/>
      <c r="G164" s="11"/>
      <c r="H164" s="11"/>
      <c r="I164" s="11"/>
      <c r="J164" s="11"/>
      <c r="K164" s="11"/>
      <c r="L164" s="11"/>
      <c r="M164" s="11"/>
      <c r="N164" s="11"/>
      <c r="O164" s="11"/>
      <c r="P164" s="11"/>
      <c r="Q164" s="414">
        <v>1009</v>
      </c>
      <c r="R164" s="416" t="s">
        <v>8</v>
      </c>
      <c r="S164" s="11"/>
      <c r="T164" s="11"/>
      <c r="U164" s="11"/>
      <c r="V164" s="11"/>
      <c r="W164" s="11"/>
      <c r="X164" s="11"/>
      <c r="Y164" s="1116" t="s">
        <v>1237</v>
      </c>
      <c r="Z164" s="1117">
        <v>5442372.8021795088</v>
      </c>
      <c r="AA164" s="11"/>
      <c r="AB164" s="11"/>
      <c r="AC164" s="11"/>
      <c r="AD164" s="11"/>
      <c r="AE164" s="11"/>
    </row>
    <row r="165" spans="1:36" s="30" customFormat="1" ht="12.75" x14ac:dyDescent="0.2">
      <c r="B165" s="22"/>
      <c r="C165" s="11"/>
      <c r="D165" s="11"/>
      <c r="E165" s="11"/>
      <c r="F165" s="11"/>
      <c r="G165" s="11"/>
      <c r="H165" s="11"/>
      <c r="I165" s="11"/>
      <c r="J165" s="11"/>
      <c r="K165" s="11"/>
      <c r="L165" s="11"/>
      <c r="M165" s="11"/>
      <c r="N165" s="11"/>
      <c r="O165" s="11"/>
      <c r="P165" s="11"/>
      <c r="Q165" s="414">
        <v>1009</v>
      </c>
      <c r="R165" s="416" t="s">
        <v>9</v>
      </c>
      <c r="S165" s="11"/>
      <c r="T165" s="11"/>
      <c r="U165" s="11"/>
      <c r="V165" s="11"/>
      <c r="W165" s="11"/>
      <c r="X165" s="11"/>
      <c r="Y165" s="1116" t="s">
        <v>1357</v>
      </c>
      <c r="Z165" s="1117">
        <v>80000</v>
      </c>
      <c r="AA165" s="11"/>
      <c r="AB165" s="11"/>
      <c r="AC165" s="11"/>
      <c r="AD165" s="11"/>
      <c r="AE165" s="11"/>
    </row>
    <row r="166" spans="1:36" s="30" customFormat="1" ht="12.75" x14ac:dyDescent="0.2">
      <c r="B166" s="22"/>
      <c r="C166" s="11"/>
      <c r="D166" s="11"/>
      <c r="E166" s="11"/>
      <c r="F166" s="11"/>
      <c r="G166" s="11"/>
      <c r="H166" s="11"/>
      <c r="I166" s="11"/>
      <c r="J166" s="11"/>
      <c r="K166" s="11"/>
      <c r="L166" s="11"/>
      <c r="M166" s="11"/>
      <c r="N166" s="11"/>
      <c r="O166" s="11"/>
      <c r="P166" s="11"/>
      <c r="Q166" s="11"/>
      <c r="R166" s="29"/>
      <c r="S166" s="11"/>
      <c r="T166" s="11"/>
      <c r="U166" s="11"/>
      <c r="V166" s="11"/>
      <c r="W166" s="11"/>
      <c r="X166" s="11"/>
      <c r="Y166" s="1120" t="s">
        <v>1358</v>
      </c>
      <c r="Z166" s="1121">
        <f>Z165+Z164+Z163</f>
        <v>11999658.331188872</v>
      </c>
      <c r="AA166" s="11"/>
      <c r="AB166" s="11"/>
      <c r="AC166" s="11"/>
      <c r="AD166" s="11"/>
      <c r="AE166" s="11"/>
    </row>
    <row r="167" spans="1:36" s="30" customFormat="1" ht="12.75" x14ac:dyDescent="0.2">
      <c r="B167" s="22"/>
      <c r="C167" s="11"/>
      <c r="D167" s="11"/>
      <c r="E167" s="11"/>
      <c r="F167" s="11"/>
      <c r="G167" s="11"/>
      <c r="H167" s="11"/>
      <c r="I167" s="11"/>
      <c r="J167" s="11"/>
      <c r="K167" s="11"/>
      <c r="L167" s="11"/>
      <c r="M167" s="11"/>
      <c r="N167" s="11"/>
      <c r="O167" s="11"/>
      <c r="P167" s="11"/>
      <c r="Q167" s="11"/>
      <c r="R167" s="29"/>
      <c r="S167" s="11"/>
      <c r="T167" s="11"/>
      <c r="U167" s="11"/>
      <c r="V167" s="11"/>
      <c r="W167" s="11"/>
      <c r="X167" s="11"/>
      <c r="Y167" s="1116" t="s">
        <v>1359</v>
      </c>
      <c r="Z167" s="1117">
        <v>59114.5</v>
      </c>
      <c r="AA167" s="11"/>
      <c r="AB167" s="11"/>
      <c r="AC167" s="11"/>
      <c r="AD167" s="11"/>
      <c r="AE167" s="11"/>
    </row>
    <row r="168" spans="1:36" s="30" customFormat="1" ht="12.75" x14ac:dyDescent="0.2">
      <c r="B168" s="22"/>
      <c r="C168" s="11"/>
      <c r="D168" s="11"/>
      <c r="E168" s="11"/>
      <c r="F168" s="11"/>
      <c r="G168" s="11"/>
      <c r="H168" s="11"/>
      <c r="I168" s="11"/>
      <c r="J168" s="11"/>
      <c r="K168" s="11"/>
      <c r="L168" s="11"/>
      <c r="M168" s="11"/>
      <c r="N168" s="11"/>
      <c r="O168" s="11"/>
      <c r="P168" s="11"/>
      <c r="Q168" s="11"/>
      <c r="R168" s="29"/>
      <c r="S168" s="11"/>
      <c r="T168" s="11"/>
      <c r="U168" s="11"/>
      <c r="V168" s="11"/>
      <c r="W168" s="11"/>
      <c r="X168" s="11"/>
      <c r="Y168" s="1122" t="s">
        <v>1360</v>
      </c>
      <c r="Z168" s="1123">
        <v>70050.816250000003</v>
      </c>
      <c r="AA168" s="11"/>
      <c r="AB168" s="11"/>
      <c r="AC168" s="11"/>
      <c r="AD168" s="11"/>
      <c r="AE168" s="11"/>
    </row>
    <row r="169" spans="1:36" s="30" customFormat="1" ht="13.5" thickBot="1" x14ac:dyDescent="0.25">
      <c r="B169" s="22"/>
      <c r="C169" s="11"/>
      <c r="D169" s="11"/>
      <c r="E169" s="11"/>
      <c r="F169" s="11"/>
      <c r="G169" s="11"/>
      <c r="H169" s="11"/>
      <c r="I169" s="11"/>
      <c r="J169" s="11"/>
      <c r="K169" s="11"/>
      <c r="L169" s="11"/>
      <c r="M169" s="11"/>
      <c r="N169" s="11"/>
      <c r="O169" s="11"/>
      <c r="P169" s="11"/>
      <c r="Q169" s="11"/>
      <c r="R169" s="29"/>
      <c r="S169" s="11"/>
      <c r="T169" s="11"/>
      <c r="U169" s="11"/>
      <c r="V169" s="11"/>
      <c r="W169" s="11"/>
      <c r="X169" s="11"/>
      <c r="Y169" s="1116" t="s">
        <v>1361</v>
      </c>
      <c r="Z169" s="1117">
        <v>252055</v>
      </c>
      <c r="AA169" s="11"/>
      <c r="AB169" s="11"/>
      <c r="AC169" s="11"/>
      <c r="AD169" s="11"/>
      <c r="AE169" s="11"/>
    </row>
    <row r="170" spans="1:36" s="30" customFormat="1" ht="13.5" thickBot="1" x14ac:dyDescent="0.25">
      <c r="B170" s="22"/>
      <c r="C170" s="11"/>
      <c r="D170" s="11"/>
      <c r="E170" s="11"/>
      <c r="F170" s="11"/>
      <c r="G170" s="11"/>
      <c r="H170" s="11"/>
      <c r="I170" s="11"/>
      <c r="J170" s="11"/>
      <c r="K170" s="11"/>
      <c r="L170" s="11"/>
      <c r="M170" s="11"/>
      <c r="N170" s="11"/>
      <c r="O170" s="11"/>
      <c r="P170" s="11"/>
      <c r="Q170" s="11"/>
      <c r="R170" s="29"/>
      <c r="S170" s="11"/>
      <c r="T170" s="11"/>
      <c r="U170" s="11"/>
      <c r="V170" s="11"/>
      <c r="W170" s="11"/>
      <c r="X170" s="11"/>
      <c r="Y170" s="1124" t="s">
        <v>1362</v>
      </c>
      <c r="Z170" s="1125">
        <f>Z169+Z168+Z167+Z166</f>
        <v>12380878.647438873</v>
      </c>
      <c r="AA170" s="11"/>
      <c r="AB170" s="11"/>
      <c r="AC170" s="11"/>
      <c r="AD170" s="11"/>
      <c r="AE170" s="11"/>
    </row>
    <row r="173" spans="1:36" s="30" customFormat="1" ht="12.75" x14ac:dyDescent="0.2">
      <c r="A173" s="30" t="s">
        <v>1363</v>
      </c>
      <c r="B173" s="22" t="s">
        <v>0</v>
      </c>
      <c r="C173" s="11">
        <v>55872879.904499985</v>
      </c>
      <c r="D173" s="11">
        <v>12920519.136036837</v>
      </c>
      <c r="E173" s="11">
        <v>94356.570760851217</v>
      </c>
      <c r="F173" s="11">
        <v>0</v>
      </c>
      <c r="G173" s="11">
        <v>2859226.5163690951</v>
      </c>
      <c r="H173" s="11">
        <v>414419.81200016075</v>
      </c>
      <c r="I173" s="11">
        <v>7100000</v>
      </c>
      <c r="J173" s="11">
        <v>0</v>
      </c>
      <c r="K173" s="11">
        <v>259577.47303999987</v>
      </c>
      <c r="L173" s="11">
        <v>291738</v>
      </c>
      <c r="M173" s="11">
        <v>79812717.412706971</v>
      </c>
      <c r="N173" s="11">
        <v>678834.85685349756</v>
      </c>
      <c r="O173" s="11">
        <v>0</v>
      </c>
      <c r="P173" s="11">
        <v>80491552.269560441</v>
      </c>
      <c r="Q173" s="11">
        <v>-1510727.6799999999</v>
      </c>
      <c r="R173" s="11">
        <v>78980824.589560449</v>
      </c>
      <c r="S173" s="11">
        <v>1320785</v>
      </c>
      <c r="T173" s="11">
        <v>2691605.72</v>
      </c>
      <c r="U173" s="11">
        <v>1080544.3229166667</v>
      </c>
      <c r="V173" s="11">
        <v>0</v>
      </c>
      <c r="W173" s="11">
        <v>0</v>
      </c>
      <c r="X173" s="11">
        <v>4093510.4889795939</v>
      </c>
      <c r="Y173" s="11">
        <v>0</v>
      </c>
      <c r="Z173" s="11">
        <v>88167270.121456668</v>
      </c>
      <c r="AA173" s="11"/>
      <c r="AB173" s="11"/>
      <c r="AC173" s="11"/>
      <c r="AD173" s="11"/>
      <c r="AE173" s="11"/>
      <c r="AG173" s="11">
        <v>55872879.904499985</v>
      </c>
      <c r="AH173" s="11">
        <v>678834.85685349756</v>
      </c>
      <c r="AI173" s="11">
        <v>80491552.269560441</v>
      </c>
    </row>
    <row r="174" spans="1:36" s="30" customFormat="1" ht="12.75" x14ac:dyDescent="0.2">
      <c r="A174" s="30" t="s">
        <v>1363</v>
      </c>
      <c r="B174" s="22" t="s">
        <v>1</v>
      </c>
      <c r="C174" s="11">
        <v>49972837.516800001</v>
      </c>
      <c r="D174" s="11">
        <v>5611943.0170561848</v>
      </c>
      <c r="E174" s="11">
        <v>87760.18819557142</v>
      </c>
      <c r="F174" s="11">
        <v>3037955.7352070115</v>
      </c>
      <c r="G174" s="11">
        <v>994350.06839836994</v>
      </c>
      <c r="H174" s="11">
        <v>0</v>
      </c>
      <c r="I174" s="11">
        <v>1950000</v>
      </c>
      <c r="J174" s="11">
        <v>19329.921551105632</v>
      </c>
      <c r="K174" s="11">
        <v>424196.94999999995</v>
      </c>
      <c r="L174" s="11">
        <v>741717</v>
      </c>
      <c r="M174" s="11">
        <v>62840090.397208236</v>
      </c>
      <c r="N174" s="11">
        <v>344721.61542278528</v>
      </c>
      <c r="O174" s="11">
        <v>0</v>
      </c>
      <c r="P174" s="11">
        <v>63184812.012631021</v>
      </c>
      <c r="Q174" s="11">
        <v>-372808.5</v>
      </c>
      <c r="R174" s="11">
        <v>62812003.512631036</v>
      </c>
      <c r="S174" s="11">
        <v>0</v>
      </c>
      <c r="T174" s="11">
        <v>1118809.8700000001</v>
      </c>
      <c r="U174" s="11">
        <v>631568.32291666663</v>
      </c>
      <c r="V174" s="11">
        <v>0</v>
      </c>
      <c r="W174" s="11">
        <v>8517053.1677419357</v>
      </c>
      <c r="X174" s="11">
        <v>0</v>
      </c>
      <c r="Y174" s="11">
        <v>0</v>
      </c>
      <c r="Z174" s="11">
        <v>73079434.87328963</v>
      </c>
      <c r="AA174" s="11"/>
      <c r="AB174" s="11"/>
      <c r="AC174" s="11"/>
      <c r="AD174" s="11"/>
      <c r="AE174" s="11"/>
      <c r="AG174" s="11">
        <v>49972837.516800001</v>
      </c>
      <c r="AH174" s="11">
        <v>344721.61542278528</v>
      </c>
      <c r="AI174" s="11">
        <v>63184812.012631021</v>
      </c>
    </row>
    <row r="175" spans="1:36" s="30" customFormat="1" ht="12.75" x14ac:dyDescent="0.2">
      <c r="A175" s="30" t="s">
        <v>1363</v>
      </c>
      <c r="B175" s="22" t="s">
        <v>1364</v>
      </c>
      <c r="C175" s="11">
        <v>2527026.7558500003</v>
      </c>
      <c r="D175" s="11">
        <v>564522.573710775</v>
      </c>
      <c r="E175" s="11">
        <v>10704.403185056541</v>
      </c>
      <c r="F175" s="11">
        <v>305654.39599999989</v>
      </c>
      <c r="G175" s="11">
        <v>412249.45077321393</v>
      </c>
      <c r="H175" s="11">
        <v>154050.0019478242</v>
      </c>
      <c r="I175" s="11">
        <v>150000</v>
      </c>
      <c r="J175" s="11">
        <v>0</v>
      </c>
      <c r="K175" s="11">
        <v>12244.900000000005</v>
      </c>
      <c r="L175" s="11">
        <v>0</v>
      </c>
      <c r="M175" s="11">
        <v>4136452.4814668698</v>
      </c>
      <c r="N175" s="11">
        <v>0</v>
      </c>
      <c r="O175" s="11">
        <v>0</v>
      </c>
      <c r="P175" s="11">
        <v>4136452.4814668698</v>
      </c>
      <c r="Q175" s="11">
        <v>-50636.805</v>
      </c>
      <c r="R175" s="11">
        <v>4085815.6764668697</v>
      </c>
      <c r="S175" s="11">
        <v>17485</v>
      </c>
      <c r="T175" s="11">
        <v>826990.03500000003</v>
      </c>
      <c r="U175" s="11">
        <v>5826.5</v>
      </c>
      <c r="V175" s="11">
        <v>0</v>
      </c>
      <c r="W175" s="11">
        <v>302665</v>
      </c>
      <c r="X175" s="11">
        <v>42131.51003830359</v>
      </c>
      <c r="Y175" s="11">
        <v>0</v>
      </c>
      <c r="Z175" s="11">
        <v>5280913.7215051726</v>
      </c>
      <c r="AA175" s="11"/>
      <c r="AB175" s="11"/>
      <c r="AC175" s="11"/>
      <c r="AD175" s="11"/>
      <c r="AE175" s="11"/>
      <c r="AG175" s="11">
        <v>2527026.7558500003</v>
      </c>
      <c r="AH175" s="11">
        <v>0</v>
      </c>
      <c r="AI175" s="11">
        <v>4136452.4814668698</v>
      </c>
    </row>
    <row r="176" spans="1:36" s="30" customFormat="1" ht="12.75" x14ac:dyDescent="0.2">
      <c r="A176" s="30" t="s">
        <v>1363</v>
      </c>
      <c r="B176" s="22" t="s">
        <v>1214</v>
      </c>
      <c r="C176" s="11">
        <v>108372744.17715</v>
      </c>
      <c r="D176" s="11">
        <v>19096984.726803795</v>
      </c>
      <c r="E176" s="11">
        <v>192821.16214147917</v>
      </c>
      <c r="F176" s="11">
        <v>3343610.1312070112</v>
      </c>
      <c r="G176" s="11">
        <v>4265826.0355406785</v>
      </c>
      <c r="H176" s="11">
        <v>568469.81394798495</v>
      </c>
      <c r="I176" s="11">
        <v>9200000</v>
      </c>
      <c r="J176" s="11">
        <v>19329.921551105632</v>
      </c>
      <c r="K176" s="11">
        <v>696019.32303999981</v>
      </c>
      <c r="L176" s="11">
        <v>1033455</v>
      </c>
      <c r="M176" s="11">
        <v>146789260.29138207</v>
      </c>
      <c r="N176" s="11">
        <v>1023556.4722762828</v>
      </c>
      <c r="O176" s="11">
        <v>0</v>
      </c>
      <c r="P176" s="11">
        <v>147812816.76365831</v>
      </c>
      <c r="Q176" s="11">
        <v>-1934172.9849999999</v>
      </c>
      <c r="R176" s="29">
        <v>145878643.77865836</v>
      </c>
      <c r="S176" s="11">
        <v>1338270</v>
      </c>
      <c r="T176" s="11">
        <v>4637405.625</v>
      </c>
      <c r="U176" s="11">
        <v>1717939.1458333335</v>
      </c>
      <c r="V176" s="11">
        <v>0</v>
      </c>
      <c r="W176" s="11">
        <v>8819718.1677419357</v>
      </c>
      <c r="X176" s="11">
        <v>4135641.9990178975</v>
      </c>
      <c r="Y176" s="11">
        <v>0</v>
      </c>
      <c r="Z176" s="29">
        <v>166527618.71625146</v>
      </c>
      <c r="AA176" s="11"/>
      <c r="AB176" s="11"/>
      <c r="AC176" s="11"/>
      <c r="AD176" s="11"/>
      <c r="AE176" s="11"/>
      <c r="AG176" s="30">
        <v>108372744.17714998</v>
      </c>
      <c r="AH176" s="30">
        <v>1023556.4722762828</v>
      </c>
      <c r="AI176" s="30">
        <v>147812816.76365834</v>
      </c>
      <c r="AJ176" s="30">
        <v>0</v>
      </c>
    </row>
    <row r="178" spans="1:26" s="30" customFormat="1" ht="12.75" x14ac:dyDescent="0.2">
      <c r="A178" s="30" t="s">
        <v>1365</v>
      </c>
      <c r="B178" s="22" t="s">
        <v>0</v>
      </c>
      <c r="C178" s="11">
        <v>55872879.904499985</v>
      </c>
      <c r="D178" s="11">
        <v>12920519.136036837</v>
      </c>
      <c r="E178" s="11">
        <v>94356.570760851217</v>
      </c>
      <c r="F178" s="11">
        <v>0</v>
      </c>
      <c r="G178" s="11">
        <v>2859226.5163690951</v>
      </c>
      <c r="H178" s="11">
        <v>414419.81200016075</v>
      </c>
      <c r="I178" s="11">
        <v>7100000</v>
      </c>
      <c r="J178" s="11">
        <v>0</v>
      </c>
      <c r="K178" s="11">
        <v>259577.47303999987</v>
      </c>
      <c r="L178" s="11">
        <v>291738</v>
      </c>
      <c r="M178" s="11">
        <v>79812717.412706971</v>
      </c>
      <c r="N178" s="11">
        <v>1068237.2130873241</v>
      </c>
      <c r="O178" s="11">
        <v>0</v>
      </c>
      <c r="P178" s="11">
        <v>80880954.625794291</v>
      </c>
      <c r="Q178" s="11">
        <v>-1510727.6799999999</v>
      </c>
      <c r="R178" s="29">
        <v>79370226.945794284</v>
      </c>
      <c r="S178" s="11">
        <v>1320785</v>
      </c>
      <c r="T178" s="11">
        <v>2691605.72</v>
      </c>
      <c r="U178" s="11">
        <v>1080544.3229166667</v>
      </c>
      <c r="V178" s="11">
        <v>0</v>
      </c>
      <c r="W178" s="11">
        <v>0</v>
      </c>
      <c r="X178" s="11">
        <v>4093510.4889795939</v>
      </c>
      <c r="Y178" s="11">
        <v>0</v>
      </c>
      <c r="Z178" s="29">
        <v>88556672.477690533</v>
      </c>
    </row>
    <row r="179" spans="1:26" s="30" customFormat="1" ht="12.75" x14ac:dyDescent="0.2">
      <c r="A179" s="30" t="s">
        <v>1365</v>
      </c>
      <c r="B179" s="22" t="s">
        <v>1</v>
      </c>
      <c r="C179" s="11">
        <v>49972837.516800001</v>
      </c>
      <c r="D179" s="11">
        <v>5611943.0170561848</v>
      </c>
      <c r="E179" s="11">
        <v>87760.18819557142</v>
      </c>
      <c r="F179" s="11">
        <v>3037955.7352070115</v>
      </c>
      <c r="G179" s="11">
        <v>994350.06839836994</v>
      </c>
      <c r="H179" s="11">
        <v>0</v>
      </c>
      <c r="I179" s="11">
        <v>1950000</v>
      </c>
      <c r="J179" s="11">
        <v>19329.921551105632</v>
      </c>
      <c r="K179" s="11">
        <v>424196.94999999995</v>
      </c>
      <c r="L179" s="11">
        <v>741717</v>
      </c>
      <c r="M179" s="11">
        <v>62840090.397208236</v>
      </c>
      <c r="N179" s="11">
        <v>185772.72940348927</v>
      </c>
      <c r="O179" s="11">
        <v>0</v>
      </c>
      <c r="P179" s="11">
        <v>63025863.126611732</v>
      </c>
      <c r="Q179" s="11">
        <v>-372808.5</v>
      </c>
      <c r="R179" s="29">
        <v>62653054.626611732</v>
      </c>
      <c r="S179" s="11">
        <v>0</v>
      </c>
      <c r="T179" s="11">
        <v>1118809.8700000001</v>
      </c>
      <c r="U179" s="11">
        <v>631568.32291666663</v>
      </c>
      <c r="V179" s="11">
        <v>0</v>
      </c>
      <c r="W179" s="11">
        <v>8517053.1677419357</v>
      </c>
      <c r="X179" s="11">
        <v>0</v>
      </c>
      <c r="Y179" s="11">
        <v>0</v>
      </c>
      <c r="Z179" s="29">
        <v>72920485.98727034</v>
      </c>
    </row>
    <row r="180" spans="1:26" s="30" customFormat="1" ht="12.75" x14ac:dyDescent="0.2">
      <c r="A180" s="30" t="s">
        <v>1365</v>
      </c>
      <c r="B180" s="22" t="s">
        <v>1364</v>
      </c>
      <c r="C180" s="11">
        <v>2527026.7558500003</v>
      </c>
      <c r="D180" s="11">
        <v>564522.573710775</v>
      </c>
      <c r="E180" s="11">
        <v>10704.403185056541</v>
      </c>
      <c r="F180" s="11">
        <v>305654.39599999989</v>
      </c>
      <c r="G180" s="11">
        <v>412249.45077321393</v>
      </c>
      <c r="H180" s="11">
        <v>154050.0019478242</v>
      </c>
      <c r="I180" s="11">
        <v>150000</v>
      </c>
      <c r="J180" s="11">
        <v>0</v>
      </c>
      <c r="K180" s="11">
        <v>12244.900000000005</v>
      </c>
      <c r="L180" s="11">
        <v>0</v>
      </c>
      <c r="M180" s="11">
        <v>4136452.4814668698</v>
      </c>
      <c r="N180" s="11">
        <v>0</v>
      </c>
      <c r="O180" s="11">
        <v>0</v>
      </c>
      <c r="P180" s="11">
        <v>4136452.4814668698</v>
      </c>
      <c r="Q180" s="11">
        <v>-50636.805</v>
      </c>
      <c r="R180" s="29">
        <v>4085815.6764668697</v>
      </c>
      <c r="S180" s="11">
        <v>17485</v>
      </c>
      <c r="T180" s="11">
        <v>826990.03500000003</v>
      </c>
      <c r="U180" s="11">
        <v>5826.5</v>
      </c>
      <c r="V180" s="11">
        <v>0</v>
      </c>
      <c r="W180" s="11">
        <v>302665</v>
      </c>
      <c r="X180" s="11">
        <v>42131.51003830359</v>
      </c>
      <c r="Y180" s="11">
        <v>0</v>
      </c>
      <c r="Z180" s="29">
        <v>5280913.7215051726</v>
      </c>
    </row>
    <row r="181" spans="1:26" s="30" customFormat="1" ht="12.75" x14ac:dyDescent="0.2">
      <c r="B181" s="22"/>
      <c r="C181" s="11">
        <v>108372744.17715</v>
      </c>
      <c r="D181" s="11">
        <v>19096984.726803795</v>
      </c>
      <c r="E181" s="11">
        <v>192821.16214147917</v>
      </c>
      <c r="F181" s="11">
        <v>3343610.1312070112</v>
      </c>
      <c r="G181" s="11">
        <v>4265826.0355406785</v>
      </c>
      <c r="H181" s="11">
        <v>568469.81394798495</v>
      </c>
      <c r="I181" s="11">
        <v>9200000</v>
      </c>
      <c r="J181" s="11">
        <v>19329.921551105632</v>
      </c>
      <c r="K181" s="11">
        <v>696019.32303999981</v>
      </c>
      <c r="L181" s="11">
        <v>1033455</v>
      </c>
      <c r="M181" s="11">
        <v>146789260.29138207</v>
      </c>
      <c r="N181" s="11">
        <v>1254009.9424908133</v>
      </c>
      <c r="O181" s="11">
        <v>0</v>
      </c>
      <c r="P181" s="11">
        <v>148043270.23387289</v>
      </c>
      <c r="Q181" s="11">
        <v>-1934172.9849999999</v>
      </c>
      <c r="R181" s="29">
        <v>146109097.24887291</v>
      </c>
      <c r="S181" s="11">
        <v>1338270</v>
      </c>
      <c r="T181" s="11">
        <v>4637405.625</v>
      </c>
      <c r="U181" s="11">
        <v>1717939.1458333335</v>
      </c>
      <c r="V181" s="11">
        <v>0</v>
      </c>
      <c r="W181" s="11">
        <v>8819718.1677419357</v>
      </c>
      <c r="X181" s="11">
        <v>4135641.9990178975</v>
      </c>
      <c r="Y181" s="11">
        <v>0</v>
      </c>
      <c r="Z181" s="29">
        <v>166758072.18646604</v>
      </c>
    </row>
    <row r="183" spans="1:26" s="30" customFormat="1" ht="12.75" x14ac:dyDescent="0.2">
      <c r="A183" s="30" t="s">
        <v>1366</v>
      </c>
      <c r="B183" s="22" t="s">
        <v>835</v>
      </c>
      <c r="C183" s="11">
        <f>C181-C176</f>
        <v>0</v>
      </c>
      <c r="D183" s="11">
        <f t="shared" ref="D183:Z183" si="60">D181-D176</f>
        <v>0</v>
      </c>
      <c r="E183" s="11">
        <f t="shared" si="60"/>
        <v>0</v>
      </c>
      <c r="F183" s="11">
        <f t="shared" si="60"/>
        <v>0</v>
      </c>
      <c r="G183" s="11">
        <f t="shared" si="60"/>
        <v>0</v>
      </c>
      <c r="H183" s="11">
        <f t="shared" si="60"/>
        <v>0</v>
      </c>
      <c r="I183" s="11">
        <f t="shared" si="60"/>
        <v>0</v>
      </c>
      <c r="J183" s="11">
        <f t="shared" si="60"/>
        <v>0</v>
      </c>
      <c r="K183" s="11">
        <f t="shared" si="60"/>
        <v>0</v>
      </c>
      <c r="L183" s="11">
        <f t="shared" si="60"/>
        <v>0</v>
      </c>
      <c r="M183" s="11">
        <f t="shared" si="60"/>
        <v>0</v>
      </c>
      <c r="N183" s="11">
        <f t="shared" si="60"/>
        <v>230453.47021453048</v>
      </c>
      <c r="O183" s="11">
        <f t="shared" si="60"/>
        <v>0</v>
      </c>
      <c r="P183" s="11">
        <f t="shared" si="60"/>
        <v>230453.47021457553</v>
      </c>
      <c r="Q183" s="11">
        <f t="shared" si="60"/>
        <v>0</v>
      </c>
      <c r="R183" s="11">
        <f t="shared" si="60"/>
        <v>230453.47021454573</v>
      </c>
      <c r="S183" s="11">
        <f t="shared" si="60"/>
        <v>0</v>
      </c>
      <c r="T183" s="11">
        <f t="shared" si="60"/>
        <v>0</v>
      </c>
      <c r="U183" s="11">
        <f t="shared" si="60"/>
        <v>0</v>
      </c>
      <c r="V183" s="11">
        <f t="shared" si="60"/>
        <v>0</v>
      </c>
      <c r="W183" s="11">
        <f t="shared" si="60"/>
        <v>0</v>
      </c>
      <c r="X183" s="11">
        <f t="shared" si="60"/>
        <v>0</v>
      </c>
      <c r="Y183" s="11">
        <f t="shared" si="60"/>
        <v>0</v>
      </c>
      <c r="Z183" s="11">
        <f t="shared" si="60"/>
        <v>230453.47021457553</v>
      </c>
    </row>
    <row r="187" spans="1:26" s="30" customFormat="1" ht="12.75" x14ac:dyDescent="0.2">
      <c r="A187" s="30" t="s">
        <v>1367</v>
      </c>
      <c r="B187" s="22" t="s">
        <v>0</v>
      </c>
      <c r="C187" s="11">
        <f>C75</f>
        <v>59085993.875107348</v>
      </c>
      <c r="D187" s="11">
        <f t="shared" ref="D187:Z187" si="61">D75</f>
        <v>11680747.947238836</v>
      </c>
      <c r="E187" s="11">
        <f t="shared" si="61"/>
        <v>92418.583563810898</v>
      </c>
      <c r="F187" s="11">
        <f t="shared" si="61"/>
        <v>0</v>
      </c>
      <c r="G187" s="11">
        <f t="shared" si="61"/>
        <v>3032086.3569122106</v>
      </c>
      <c r="H187" s="11">
        <f t="shared" si="61"/>
        <v>417577.21689772222</v>
      </c>
      <c r="I187" s="11">
        <f t="shared" si="61"/>
        <v>7200000</v>
      </c>
      <c r="J187" s="11">
        <f t="shared" si="61"/>
        <v>0</v>
      </c>
      <c r="K187" s="11">
        <f t="shared" si="61"/>
        <v>1053547.8651999999</v>
      </c>
      <c r="L187" s="11">
        <f t="shared" si="61"/>
        <v>296937.67</v>
      </c>
      <c r="M187" s="11">
        <f t="shared" si="61"/>
        <v>82859309.514919937</v>
      </c>
      <c r="N187" s="11">
        <f t="shared" si="61"/>
        <v>858815.37535881891</v>
      </c>
      <c r="O187" s="11">
        <f t="shared" si="61"/>
        <v>0</v>
      </c>
      <c r="P187" s="11">
        <f t="shared" si="61"/>
        <v>83718124.890278757</v>
      </c>
      <c r="Q187" s="11">
        <f t="shared" si="61"/>
        <v>-1348614.2891666663</v>
      </c>
      <c r="R187" s="11">
        <f t="shared" si="61"/>
        <v>82369510.601112038</v>
      </c>
      <c r="S187" s="11">
        <f t="shared" si="61"/>
        <v>1324904.6062992127</v>
      </c>
      <c r="T187" s="11">
        <f t="shared" si="61"/>
        <v>2455728.7549999999</v>
      </c>
      <c r="U187" s="11">
        <f t="shared" si="61"/>
        <v>1303615.1399999999</v>
      </c>
      <c r="V187" s="11">
        <f t="shared" si="61"/>
        <v>0</v>
      </c>
      <c r="W187" s="11">
        <f t="shared" si="61"/>
        <v>0</v>
      </c>
      <c r="X187" s="11">
        <f t="shared" si="61"/>
        <v>4086021.9083195897</v>
      </c>
      <c r="Y187" s="11">
        <f t="shared" si="61"/>
        <v>0</v>
      </c>
      <c r="Z187" s="11">
        <f t="shared" si="61"/>
        <v>91539781.010730892</v>
      </c>
    </row>
    <row r="188" spans="1:26" s="30" customFormat="1" ht="12.75" x14ac:dyDescent="0.2">
      <c r="A188" s="30" t="s">
        <v>1367</v>
      </c>
      <c r="B188" s="22" t="s">
        <v>1</v>
      </c>
      <c r="C188" s="11">
        <f>C93</f>
        <v>52536702.597183995</v>
      </c>
      <c r="D188" s="11">
        <f t="shared" ref="D188:Z188" si="62">D93</f>
        <v>5187779.2491823807</v>
      </c>
      <c r="E188" s="11">
        <f t="shared" si="62"/>
        <v>84558.243189635701</v>
      </c>
      <c r="F188" s="11">
        <f t="shared" si="62"/>
        <v>2836796.7749095438</v>
      </c>
      <c r="G188" s="11">
        <f t="shared" si="62"/>
        <v>945479.27120872645</v>
      </c>
      <c r="H188" s="11">
        <f t="shared" si="62"/>
        <v>0</v>
      </c>
      <c r="I188" s="11">
        <f t="shared" si="62"/>
        <v>2100000</v>
      </c>
      <c r="J188" s="11">
        <f t="shared" si="62"/>
        <v>0</v>
      </c>
      <c r="K188" s="11">
        <f t="shared" si="62"/>
        <v>438389.5259999999</v>
      </c>
      <c r="L188" s="11">
        <f t="shared" si="62"/>
        <v>747883.41999999993</v>
      </c>
      <c r="M188" s="11">
        <f t="shared" si="62"/>
        <v>64877589.081674293</v>
      </c>
      <c r="N188" s="11">
        <f t="shared" si="62"/>
        <v>104551.21458545281</v>
      </c>
      <c r="O188" s="11">
        <f t="shared" si="62"/>
        <v>0</v>
      </c>
      <c r="P188" s="11">
        <f t="shared" si="62"/>
        <v>64982140.296259739</v>
      </c>
      <c r="Q188" s="11">
        <f t="shared" si="62"/>
        <v>-316480.85000000003</v>
      </c>
      <c r="R188" s="11">
        <f t="shared" si="62"/>
        <v>64665659.446259737</v>
      </c>
      <c r="S188" s="11">
        <f t="shared" si="62"/>
        <v>0</v>
      </c>
      <c r="T188" s="11">
        <f t="shared" si="62"/>
        <v>1091920.51</v>
      </c>
      <c r="U188" s="11">
        <f t="shared" si="62"/>
        <v>658637.29000000015</v>
      </c>
      <c r="V188" s="11">
        <f t="shared" si="62"/>
        <v>0</v>
      </c>
      <c r="W188" s="11">
        <f t="shared" si="62"/>
        <v>0</v>
      </c>
      <c r="X188" s="11">
        <f t="shared" si="62"/>
        <v>0</v>
      </c>
      <c r="Y188" s="11">
        <f t="shared" si="62"/>
        <v>0</v>
      </c>
      <c r="Z188" s="11">
        <f t="shared" si="62"/>
        <v>66416217.246259741</v>
      </c>
    </row>
    <row r="189" spans="1:26" s="30" customFormat="1" ht="12.75" x14ac:dyDescent="0.2">
      <c r="A189" s="30" t="s">
        <v>1367</v>
      </c>
      <c r="B189" s="22" t="s">
        <v>1364</v>
      </c>
      <c r="C189" s="11">
        <f>C97</f>
        <v>2739005.5803370001</v>
      </c>
      <c r="D189" s="11">
        <f t="shared" ref="D189:Z189" si="63">D97</f>
        <v>535205.58841569931</v>
      </c>
      <c r="E189" s="11">
        <f t="shared" si="63"/>
        <v>13271.421642412663</v>
      </c>
      <c r="F189" s="11">
        <f t="shared" si="63"/>
        <v>284460.0654545452</v>
      </c>
      <c r="G189" s="11">
        <f t="shared" si="63"/>
        <v>406277.95871940942</v>
      </c>
      <c r="H189" s="11">
        <f t="shared" si="63"/>
        <v>184569.45799558307</v>
      </c>
      <c r="I189" s="11">
        <f t="shared" si="63"/>
        <v>150000</v>
      </c>
      <c r="J189" s="11">
        <f t="shared" si="63"/>
        <v>0</v>
      </c>
      <c r="K189" s="11">
        <f t="shared" si="63"/>
        <v>18806.963999999993</v>
      </c>
      <c r="L189" s="11">
        <f t="shared" si="63"/>
        <v>0</v>
      </c>
      <c r="M189" s="11">
        <f t="shared" si="63"/>
        <v>4331597.0365646491</v>
      </c>
      <c r="N189" s="11">
        <f t="shared" si="63"/>
        <v>26721.411946430802</v>
      </c>
      <c r="O189" s="11">
        <f t="shared" si="63"/>
        <v>0</v>
      </c>
      <c r="P189" s="11">
        <f t="shared" si="63"/>
        <v>4358318.4485110799</v>
      </c>
      <c r="Q189" s="11">
        <f t="shared" si="63"/>
        <v>-46471.561249999999</v>
      </c>
      <c r="R189" s="11">
        <f t="shared" si="63"/>
        <v>4311846.8872610796</v>
      </c>
      <c r="S189" s="11">
        <f t="shared" si="63"/>
        <v>13365.393700787401</v>
      </c>
      <c r="T189" s="11">
        <f t="shared" si="63"/>
        <v>683707.01</v>
      </c>
      <c r="U189" s="11">
        <f t="shared" si="63"/>
        <v>2427.71</v>
      </c>
      <c r="V189" s="11">
        <f t="shared" si="63"/>
        <v>0</v>
      </c>
      <c r="W189" s="11">
        <f t="shared" si="63"/>
        <v>0</v>
      </c>
      <c r="X189" s="11">
        <f t="shared" si="63"/>
        <v>26786.719400000002</v>
      </c>
      <c r="Y189" s="11">
        <f t="shared" si="63"/>
        <v>0</v>
      </c>
      <c r="Z189" s="11">
        <f t="shared" si="63"/>
        <v>5038133.720361867</v>
      </c>
    </row>
    <row r="190" spans="1:26" s="30" customFormat="1" ht="12.75" x14ac:dyDescent="0.2">
      <c r="A190" s="30" t="s">
        <v>1367</v>
      </c>
      <c r="B190" s="22" t="s">
        <v>1214</v>
      </c>
      <c r="C190" s="11">
        <f>C99</f>
        <v>114361702.05262835</v>
      </c>
      <c r="D190" s="11">
        <f t="shared" ref="D190:Z190" si="64">D99</f>
        <v>17403732.784836918</v>
      </c>
      <c r="E190" s="11">
        <f t="shared" si="64"/>
        <v>190248.24839585926</v>
      </c>
      <c r="F190" s="11">
        <f t="shared" si="64"/>
        <v>3121256.8403640892</v>
      </c>
      <c r="G190" s="11">
        <f t="shared" si="64"/>
        <v>4383843.5868403465</v>
      </c>
      <c r="H190" s="11">
        <f t="shared" si="64"/>
        <v>602146.67489330529</v>
      </c>
      <c r="I190" s="11">
        <f t="shared" si="64"/>
        <v>9450000</v>
      </c>
      <c r="J190" s="11">
        <f t="shared" si="64"/>
        <v>0</v>
      </c>
      <c r="K190" s="11">
        <f t="shared" si="64"/>
        <v>1510744.3551999996</v>
      </c>
      <c r="L190" s="11">
        <f t="shared" si="64"/>
        <v>1044821.0899999999</v>
      </c>
      <c r="M190" s="11">
        <f t="shared" si="64"/>
        <v>152068495.63315886</v>
      </c>
      <c r="N190" s="11">
        <f t="shared" si="64"/>
        <v>990088.00189070252</v>
      </c>
      <c r="O190" s="11">
        <f t="shared" si="64"/>
        <v>0</v>
      </c>
      <c r="P190" s="11">
        <f t="shared" si="64"/>
        <v>153058583.63504958</v>
      </c>
      <c r="Q190" s="11">
        <f t="shared" si="64"/>
        <v>-1711566.7004166665</v>
      </c>
      <c r="R190" s="11">
        <f t="shared" si="64"/>
        <v>151347016.93463287</v>
      </c>
      <c r="S190" s="11">
        <f t="shared" si="64"/>
        <v>1338270</v>
      </c>
      <c r="T190" s="11">
        <f t="shared" si="64"/>
        <v>4231356.2749999994</v>
      </c>
      <c r="U190" s="11">
        <f t="shared" si="64"/>
        <v>1964680.1400000001</v>
      </c>
      <c r="V190" s="11">
        <f t="shared" si="64"/>
        <v>0</v>
      </c>
      <c r="W190" s="11">
        <f t="shared" si="64"/>
        <v>0</v>
      </c>
      <c r="X190" s="11">
        <f t="shared" si="64"/>
        <v>4112808.6277195895</v>
      </c>
      <c r="Y190" s="11">
        <f t="shared" si="64"/>
        <v>0</v>
      </c>
      <c r="Z190" s="11">
        <f t="shared" si="64"/>
        <v>162994131.9773525</v>
      </c>
    </row>
    <row r="191" spans="1:26" s="30" customFormat="1" ht="12.75" x14ac:dyDescent="0.2">
      <c r="B191" s="22"/>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s="30" customFormat="1" ht="12.75" x14ac:dyDescent="0.2">
      <c r="A192" s="22" t="s">
        <v>835</v>
      </c>
      <c r="B192" s="22" t="s">
        <v>0</v>
      </c>
      <c r="C192" s="11">
        <f>C187-C173</f>
        <v>3213113.9706073627</v>
      </c>
      <c r="D192" s="11">
        <f t="shared" ref="D192:Z195" si="65">D187-D173</f>
        <v>-1239771.188798001</v>
      </c>
      <c r="E192" s="11">
        <f t="shared" si="65"/>
        <v>-1937.9871970403183</v>
      </c>
      <c r="F192" s="11">
        <f t="shared" si="65"/>
        <v>0</v>
      </c>
      <c r="G192" s="11">
        <f t="shared" si="65"/>
        <v>172859.84054311551</v>
      </c>
      <c r="H192" s="11">
        <f t="shared" si="65"/>
        <v>3157.4048975614714</v>
      </c>
      <c r="I192" s="11">
        <f t="shared" si="65"/>
        <v>100000</v>
      </c>
      <c r="J192" s="11">
        <f t="shared" si="65"/>
        <v>0</v>
      </c>
      <c r="K192" s="11">
        <f t="shared" si="65"/>
        <v>793970.39216000005</v>
      </c>
      <c r="L192" s="11">
        <f t="shared" si="65"/>
        <v>5199.6699999999837</v>
      </c>
      <c r="M192" s="11">
        <f t="shared" si="65"/>
        <v>3046592.1022129655</v>
      </c>
      <c r="N192" s="11">
        <f t="shared" si="65"/>
        <v>179980.51850532135</v>
      </c>
      <c r="O192" s="11">
        <f t="shared" si="65"/>
        <v>0</v>
      </c>
      <c r="P192" s="11">
        <f t="shared" si="65"/>
        <v>3226572.6207183152</v>
      </c>
      <c r="Q192" s="11">
        <f t="shared" si="65"/>
        <v>162113.3908333336</v>
      </c>
      <c r="R192" s="11">
        <f t="shared" si="65"/>
        <v>3388686.0115515888</v>
      </c>
      <c r="S192" s="11">
        <f t="shared" si="65"/>
        <v>4119.6062992126681</v>
      </c>
      <c r="T192" s="11">
        <f t="shared" si="65"/>
        <v>-235876.96500000032</v>
      </c>
      <c r="U192" s="11">
        <f t="shared" si="65"/>
        <v>223070.81708333315</v>
      </c>
      <c r="V192" s="11">
        <f t="shared" si="65"/>
        <v>0</v>
      </c>
      <c r="W192" s="11">
        <f t="shared" si="65"/>
        <v>0</v>
      </c>
      <c r="X192" s="11">
        <f t="shared" si="65"/>
        <v>-7488.5806600041687</v>
      </c>
      <c r="Y192" s="11">
        <f t="shared" si="65"/>
        <v>0</v>
      </c>
      <c r="Z192" s="11">
        <f t="shared" si="65"/>
        <v>3372510.8892742246</v>
      </c>
    </row>
    <row r="193" spans="1:26" s="30" customFormat="1" ht="12.75" x14ac:dyDescent="0.2">
      <c r="A193" s="22" t="s">
        <v>835</v>
      </c>
      <c r="B193" s="22" t="s">
        <v>1</v>
      </c>
      <c r="C193" s="11">
        <f>C188-C174</f>
        <v>2563865.0803839937</v>
      </c>
      <c r="D193" s="11">
        <f t="shared" si="65"/>
        <v>-424163.76787380408</v>
      </c>
      <c r="E193" s="11">
        <f t="shared" si="65"/>
        <v>-3201.9450059357187</v>
      </c>
      <c r="F193" s="11">
        <f t="shared" si="65"/>
        <v>-201158.96029746765</v>
      </c>
      <c r="G193" s="11">
        <f t="shared" si="65"/>
        <v>-48870.79718964349</v>
      </c>
      <c r="H193" s="11">
        <f t="shared" si="65"/>
        <v>0</v>
      </c>
      <c r="I193" s="11">
        <f t="shared" si="65"/>
        <v>150000</v>
      </c>
      <c r="J193" s="11">
        <f t="shared" si="65"/>
        <v>-19329.921551105632</v>
      </c>
      <c r="K193" s="11">
        <f t="shared" si="65"/>
        <v>14192.575999999943</v>
      </c>
      <c r="L193" s="11">
        <f t="shared" si="65"/>
        <v>6166.4199999999255</v>
      </c>
      <c r="M193" s="11">
        <f t="shared" si="65"/>
        <v>2037498.6844660565</v>
      </c>
      <c r="N193" s="11">
        <f t="shared" si="65"/>
        <v>-240170.40083733248</v>
      </c>
      <c r="O193" s="11">
        <f t="shared" si="65"/>
        <v>0</v>
      </c>
      <c r="P193" s="11">
        <f t="shared" si="65"/>
        <v>1797328.2836287171</v>
      </c>
      <c r="Q193" s="11">
        <f t="shared" si="65"/>
        <v>56327.649999999965</v>
      </c>
      <c r="R193" s="11">
        <f t="shared" si="65"/>
        <v>1853655.9336287007</v>
      </c>
      <c r="S193" s="11">
        <f t="shared" si="65"/>
        <v>0</v>
      </c>
      <c r="T193" s="11">
        <f t="shared" si="65"/>
        <v>-26889.360000000102</v>
      </c>
      <c r="U193" s="11">
        <f t="shared" si="65"/>
        <v>27068.967083333526</v>
      </c>
      <c r="V193" s="11">
        <f t="shared" si="65"/>
        <v>0</v>
      </c>
      <c r="W193" s="11">
        <f t="shared" si="65"/>
        <v>-8517053.1677419357</v>
      </c>
      <c r="X193" s="11">
        <f t="shared" si="65"/>
        <v>0</v>
      </c>
      <c r="Y193" s="11">
        <f t="shared" si="65"/>
        <v>0</v>
      </c>
      <c r="Z193" s="11">
        <f t="shared" si="65"/>
        <v>-6663217.6270298883</v>
      </c>
    </row>
    <row r="194" spans="1:26" s="30" customFormat="1" ht="12.75" x14ac:dyDescent="0.2">
      <c r="A194" s="22" t="s">
        <v>835</v>
      </c>
      <c r="B194" s="22" t="s">
        <v>1364</v>
      </c>
      <c r="C194" s="11">
        <f>C189-C175</f>
        <v>211978.82448699977</v>
      </c>
      <c r="D194" s="11">
        <f t="shared" si="65"/>
        <v>-29316.98529507569</v>
      </c>
      <c r="E194" s="11">
        <f t="shared" si="65"/>
        <v>2567.0184573561219</v>
      </c>
      <c r="F194" s="11">
        <f t="shared" si="65"/>
        <v>-21194.330545454693</v>
      </c>
      <c r="G194" s="11">
        <f t="shared" si="65"/>
        <v>-5971.4920538045117</v>
      </c>
      <c r="H194" s="11">
        <f t="shared" si="65"/>
        <v>30519.456047758867</v>
      </c>
      <c r="I194" s="11">
        <f t="shared" si="65"/>
        <v>0</v>
      </c>
      <c r="J194" s="11">
        <f t="shared" si="65"/>
        <v>0</v>
      </c>
      <c r="K194" s="11">
        <f t="shared" si="65"/>
        <v>6562.0639999999876</v>
      </c>
      <c r="L194" s="11">
        <f t="shared" si="65"/>
        <v>0</v>
      </c>
      <c r="M194" s="11">
        <f t="shared" si="65"/>
        <v>195144.55509777926</v>
      </c>
      <c r="N194" s="11">
        <f t="shared" si="65"/>
        <v>26721.411946430802</v>
      </c>
      <c r="O194" s="11">
        <f t="shared" si="65"/>
        <v>0</v>
      </c>
      <c r="P194" s="11">
        <f t="shared" si="65"/>
        <v>221865.96704421006</v>
      </c>
      <c r="Q194" s="11">
        <f t="shared" si="65"/>
        <v>4165.2437500000015</v>
      </c>
      <c r="R194" s="11">
        <f t="shared" si="65"/>
        <v>226031.21079420997</v>
      </c>
      <c r="S194" s="11">
        <f t="shared" si="65"/>
        <v>-4119.606299212599</v>
      </c>
      <c r="T194" s="11">
        <f t="shared" si="65"/>
        <v>-143283.02500000002</v>
      </c>
      <c r="U194" s="11">
        <f t="shared" si="65"/>
        <v>-3398.79</v>
      </c>
      <c r="V194" s="11">
        <f t="shared" si="65"/>
        <v>0</v>
      </c>
      <c r="W194" s="11">
        <f t="shared" si="65"/>
        <v>-302665</v>
      </c>
      <c r="X194" s="11">
        <f t="shared" si="65"/>
        <v>-15344.790638303588</v>
      </c>
      <c r="Y194" s="11">
        <f t="shared" si="65"/>
        <v>0</v>
      </c>
      <c r="Z194" s="11">
        <f t="shared" si="65"/>
        <v>-242780.00114330556</v>
      </c>
    </row>
    <row r="195" spans="1:26" s="30" customFormat="1" ht="12.75" x14ac:dyDescent="0.2">
      <c r="A195" s="22" t="s">
        <v>835</v>
      </c>
      <c r="B195" s="22" t="s">
        <v>1214</v>
      </c>
      <c r="C195" s="11">
        <f>C190-C176</f>
        <v>5988957.8754783571</v>
      </c>
      <c r="D195" s="11">
        <f t="shared" si="65"/>
        <v>-1693251.9419668764</v>
      </c>
      <c r="E195" s="11">
        <f t="shared" si="65"/>
        <v>-2572.9137456199096</v>
      </c>
      <c r="F195" s="11">
        <f t="shared" si="65"/>
        <v>-222353.29084292194</v>
      </c>
      <c r="G195" s="11">
        <f t="shared" si="65"/>
        <v>118017.55129966792</v>
      </c>
      <c r="H195" s="11">
        <f t="shared" si="65"/>
        <v>33676.860945320339</v>
      </c>
      <c r="I195" s="11">
        <f t="shared" si="65"/>
        <v>250000</v>
      </c>
      <c r="J195" s="11">
        <f t="shared" si="65"/>
        <v>-19329.921551105632</v>
      </c>
      <c r="K195" s="11">
        <f t="shared" si="65"/>
        <v>814725.03215999983</v>
      </c>
      <c r="L195" s="11">
        <f t="shared" si="65"/>
        <v>11366.089999999851</v>
      </c>
      <c r="M195" s="11">
        <f t="shared" si="65"/>
        <v>5279235.3417767882</v>
      </c>
      <c r="N195" s="11">
        <f t="shared" si="65"/>
        <v>-33468.470385580324</v>
      </c>
      <c r="O195" s="11">
        <f t="shared" si="65"/>
        <v>0</v>
      </c>
      <c r="P195" s="11">
        <f t="shared" si="65"/>
        <v>5245766.8713912666</v>
      </c>
      <c r="Q195" s="11">
        <f t="shared" si="65"/>
        <v>222606.28458333341</v>
      </c>
      <c r="R195" s="11">
        <f t="shared" si="65"/>
        <v>5468373.1559745073</v>
      </c>
      <c r="S195" s="11">
        <f t="shared" si="65"/>
        <v>0</v>
      </c>
      <c r="T195" s="11">
        <f t="shared" si="65"/>
        <v>-406049.35000000056</v>
      </c>
      <c r="U195" s="11">
        <f t="shared" si="65"/>
        <v>246740.99416666664</v>
      </c>
      <c r="V195" s="11">
        <f t="shared" si="65"/>
        <v>0</v>
      </c>
      <c r="W195" s="11">
        <f t="shared" si="65"/>
        <v>-8819718.1677419357</v>
      </c>
      <c r="X195" s="11">
        <f t="shared" si="65"/>
        <v>-22833.371298308019</v>
      </c>
      <c r="Y195" s="11">
        <f t="shared" si="65"/>
        <v>0</v>
      </c>
      <c r="Z195" s="11">
        <f t="shared" si="65"/>
        <v>-3533486.7388989627</v>
      </c>
    </row>
    <row r="197" spans="1:26" s="30" customFormat="1" ht="12.75" x14ac:dyDescent="0.2">
      <c r="B197" s="22" t="s">
        <v>1368</v>
      </c>
      <c r="C197" s="11">
        <v>108372744.17715001</v>
      </c>
      <c r="D197" s="11">
        <v>19096984.726803802</v>
      </c>
      <c r="E197" s="11">
        <v>192821.16214147917</v>
      </c>
      <c r="F197" s="11">
        <v>3343610.1312070116</v>
      </c>
      <c r="G197" s="11">
        <v>4265826.0355406795</v>
      </c>
      <c r="H197" s="11">
        <v>568469.81394798495</v>
      </c>
      <c r="I197" s="11">
        <v>9200000</v>
      </c>
      <c r="J197" s="11">
        <v>19329.921551105632</v>
      </c>
      <c r="K197" s="11">
        <v>1462819.4600000002</v>
      </c>
      <c r="L197" s="11">
        <v>1033455</v>
      </c>
      <c r="M197" s="11">
        <v>147556060.42834201</v>
      </c>
      <c r="N197" s="982">
        <v>835163.73166147084</v>
      </c>
      <c r="O197" s="982">
        <f>0</f>
        <v>0</v>
      </c>
      <c r="P197" s="11">
        <v>148391224.16000351</v>
      </c>
      <c r="Q197" s="11">
        <v>0</v>
      </c>
      <c r="R197" s="29">
        <v>148391224.16000351</v>
      </c>
      <c r="S197" s="11"/>
      <c r="T197" s="11"/>
      <c r="U197" s="11"/>
      <c r="V197" s="11"/>
      <c r="W197" s="11"/>
      <c r="X197" s="11"/>
      <c r="Y197" s="11"/>
      <c r="Z197" s="29"/>
    </row>
    <row r="198" spans="1:26" s="30" customFormat="1" ht="12.75" x14ac:dyDescent="0.2">
      <c r="B198" s="22" t="s">
        <v>855</v>
      </c>
      <c r="C198" s="11">
        <f>C99-C197</f>
        <v>5988957.8754783422</v>
      </c>
      <c r="D198" s="11">
        <f t="shared" ref="D198:R198" si="66">D99-D197</f>
        <v>-1693251.9419668838</v>
      </c>
      <c r="E198" s="11">
        <f t="shared" si="66"/>
        <v>-2572.9137456199096</v>
      </c>
      <c r="F198" s="11">
        <f t="shared" si="66"/>
        <v>-222353.2908429224</v>
      </c>
      <c r="G198" s="11">
        <f t="shared" si="66"/>
        <v>118017.55129966699</v>
      </c>
      <c r="H198" s="11">
        <f t="shared" si="66"/>
        <v>33676.860945320339</v>
      </c>
      <c r="I198" s="11">
        <f t="shared" si="66"/>
        <v>250000</v>
      </c>
      <c r="J198" s="11">
        <f t="shared" si="66"/>
        <v>-19329.921551105632</v>
      </c>
      <c r="K198" s="11">
        <f t="shared" si="66"/>
        <v>47924.895199999446</v>
      </c>
      <c r="L198" s="11">
        <f t="shared" si="66"/>
        <v>11366.089999999851</v>
      </c>
      <c r="M198" s="11">
        <f t="shared" si="66"/>
        <v>4512435.204816848</v>
      </c>
      <c r="N198" s="11">
        <f t="shared" si="66"/>
        <v>154924.27022923168</v>
      </c>
      <c r="O198" s="11">
        <f t="shared" si="66"/>
        <v>0</v>
      </c>
      <c r="P198" s="11">
        <f t="shared" si="66"/>
        <v>4667359.4750460684</v>
      </c>
      <c r="Q198" s="11">
        <f t="shared" si="66"/>
        <v>-1711566.7004166665</v>
      </c>
      <c r="R198" s="11">
        <f t="shared" si="66"/>
        <v>2955792.7746293545</v>
      </c>
      <c r="S198" s="11"/>
      <c r="T198" s="11"/>
      <c r="U198" s="11"/>
      <c r="V198" s="11"/>
      <c r="W198" s="11"/>
      <c r="X198" s="11"/>
      <c r="Y198" s="11"/>
      <c r="Z198" s="29"/>
    </row>
    <row r="201" spans="1:26" s="30" customFormat="1" ht="12.75" x14ac:dyDescent="0.2">
      <c r="B201" s="22" t="s">
        <v>1369</v>
      </c>
      <c r="C201" s="11">
        <v>109864849.34539998</v>
      </c>
      <c r="D201" s="11">
        <v>19433293.553447418</v>
      </c>
      <c r="E201" s="11">
        <v>197205.68911821948</v>
      </c>
      <c r="F201" s="11">
        <v>3383081.0607061205</v>
      </c>
      <c r="G201" s="11">
        <v>4342920.5228236262</v>
      </c>
      <c r="H201" s="11">
        <v>583819.59517417476</v>
      </c>
      <c r="I201" s="11">
        <v>9200000</v>
      </c>
      <c r="J201" s="11">
        <v>19329.921551105632</v>
      </c>
      <c r="K201" s="11">
        <v>696019.32303999981</v>
      </c>
      <c r="L201" s="11">
        <v>1033455</v>
      </c>
      <c r="M201" s="11">
        <v>148753974.01126066</v>
      </c>
      <c r="N201" s="11">
        <v>896485.57473068847</v>
      </c>
      <c r="O201" s="11">
        <v>0</v>
      </c>
      <c r="P201" s="11">
        <v>149650459.58599132</v>
      </c>
      <c r="Q201" s="11">
        <v>-1968958.6699999997</v>
      </c>
      <c r="R201" s="11">
        <v>147681500.91599137</v>
      </c>
      <c r="S201" s="11">
        <v>1338270</v>
      </c>
      <c r="T201" s="11">
        <v>4637405.625</v>
      </c>
      <c r="U201" s="11">
        <v>1717939.1458333335</v>
      </c>
      <c r="V201" s="11">
        <v>0</v>
      </c>
      <c r="W201" s="11">
        <v>8819718.1677419357</v>
      </c>
      <c r="X201" s="11">
        <v>4135641.9990178975</v>
      </c>
      <c r="Y201" s="11">
        <v>0</v>
      </c>
      <c r="Z201" s="11">
        <v>166339225.97572225</v>
      </c>
    </row>
    <row r="202" spans="1:26" s="30" customFormat="1" ht="12.75" x14ac:dyDescent="0.2">
      <c r="B202" s="22" t="s">
        <v>1370</v>
      </c>
      <c r="C202" s="11">
        <f>C2</f>
        <v>86955.919101999985</v>
      </c>
      <c r="D202" s="11">
        <f t="shared" ref="D202:R202" si="67">D2</f>
        <v>7211.0210299319724</v>
      </c>
      <c r="E202" s="11">
        <f t="shared" si="67"/>
        <v>0</v>
      </c>
      <c r="F202" s="11">
        <f t="shared" si="67"/>
        <v>0</v>
      </c>
      <c r="G202" s="11">
        <f t="shared" si="67"/>
        <v>22420.225560000003</v>
      </c>
      <c r="H202" s="11">
        <f t="shared" si="67"/>
        <v>0</v>
      </c>
      <c r="I202" s="11">
        <f t="shared" si="67"/>
        <v>100000</v>
      </c>
      <c r="J202" s="11">
        <f t="shared" si="67"/>
        <v>0</v>
      </c>
      <c r="K202" s="11">
        <f t="shared" si="67"/>
        <v>8800.0499999999956</v>
      </c>
      <c r="L202" s="11">
        <f t="shared" si="67"/>
        <v>0</v>
      </c>
      <c r="M202" s="11">
        <f t="shared" si="67"/>
        <v>225387.21569193195</v>
      </c>
      <c r="N202" s="11">
        <f t="shared" si="67"/>
        <v>0</v>
      </c>
      <c r="O202" s="11">
        <f t="shared" si="67"/>
        <v>0</v>
      </c>
      <c r="P202" s="11">
        <f t="shared" si="67"/>
        <v>225387.21569193195</v>
      </c>
      <c r="Q202" s="11">
        <f t="shared" si="67"/>
        <v>0</v>
      </c>
      <c r="R202" s="11">
        <f t="shared" si="67"/>
        <v>225387.21569193195</v>
      </c>
      <c r="S202" s="11"/>
      <c r="T202" s="11"/>
      <c r="U202" s="11"/>
      <c r="V202" s="11"/>
      <c r="W202" s="11"/>
      <c r="X202" s="11"/>
      <c r="Y202" s="11"/>
      <c r="Z202" s="29"/>
    </row>
    <row r="203" spans="1:26" s="30" customFormat="1" ht="12.75" x14ac:dyDescent="0.2">
      <c r="B203" s="22" t="s">
        <v>147</v>
      </c>
      <c r="C203" s="11">
        <f>C201+C202</f>
        <v>109951805.26450197</v>
      </c>
      <c r="D203" s="11">
        <f t="shared" ref="D203:Z203" si="68">D201+D202</f>
        <v>19440504.574477348</v>
      </c>
      <c r="E203" s="11">
        <f t="shared" si="68"/>
        <v>197205.68911821948</v>
      </c>
      <c r="F203" s="11">
        <f t="shared" si="68"/>
        <v>3383081.0607061205</v>
      </c>
      <c r="G203" s="11">
        <f t="shared" si="68"/>
        <v>4365340.7483836263</v>
      </c>
      <c r="H203" s="11">
        <f t="shared" si="68"/>
        <v>583819.59517417476</v>
      </c>
      <c r="I203" s="11">
        <f t="shared" si="68"/>
        <v>9300000</v>
      </c>
      <c r="J203" s="11">
        <f t="shared" si="68"/>
        <v>19329.921551105632</v>
      </c>
      <c r="K203" s="11">
        <f t="shared" si="68"/>
        <v>704819.37303999986</v>
      </c>
      <c r="L203" s="11">
        <f t="shared" si="68"/>
        <v>1033455</v>
      </c>
      <c r="M203" s="11">
        <f t="shared" si="68"/>
        <v>148979361.22695258</v>
      </c>
      <c r="N203" s="11">
        <f t="shared" si="68"/>
        <v>896485.57473068847</v>
      </c>
      <c r="O203" s="11">
        <f t="shared" si="68"/>
        <v>0</v>
      </c>
      <c r="P203" s="11">
        <f t="shared" si="68"/>
        <v>149875846.80168325</v>
      </c>
      <c r="Q203" s="11">
        <f t="shared" si="68"/>
        <v>-1968958.6699999997</v>
      </c>
      <c r="R203" s="11">
        <f t="shared" si="68"/>
        <v>147906888.13168329</v>
      </c>
      <c r="S203" s="11">
        <f t="shared" si="68"/>
        <v>1338270</v>
      </c>
      <c r="T203" s="11">
        <f t="shared" si="68"/>
        <v>4637405.625</v>
      </c>
      <c r="U203" s="11">
        <f t="shared" si="68"/>
        <v>1717939.1458333335</v>
      </c>
      <c r="V203" s="11">
        <f t="shared" si="68"/>
        <v>0</v>
      </c>
      <c r="W203" s="11">
        <f t="shared" si="68"/>
        <v>8819718.1677419357</v>
      </c>
      <c r="X203" s="11">
        <f t="shared" si="68"/>
        <v>4135641.9990178975</v>
      </c>
      <c r="Y203" s="11">
        <f t="shared" si="68"/>
        <v>0</v>
      </c>
      <c r="Z203" s="11">
        <f t="shared" si="68"/>
        <v>166339225.97572225</v>
      </c>
    </row>
    <row r="204" spans="1:26" s="30" customFormat="1" ht="12.75" x14ac:dyDescent="0.2">
      <c r="B204" s="22" t="s">
        <v>1371</v>
      </c>
      <c r="C204" s="11">
        <f>C99</f>
        <v>114361702.05262835</v>
      </c>
      <c r="D204" s="11">
        <f t="shared" ref="D204:Z204" si="69">D99</f>
        <v>17403732.784836918</v>
      </c>
      <c r="E204" s="11">
        <f t="shared" si="69"/>
        <v>190248.24839585926</v>
      </c>
      <c r="F204" s="11">
        <f t="shared" si="69"/>
        <v>3121256.8403640892</v>
      </c>
      <c r="G204" s="11">
        <f t="shared" si="69"/>
        <v>4383843.5868403465</v>
      </c>
      <c r="H204" s="11">
        <f t="shared" si="69"/>
        <v>602146.67489330529</v>
      </c>
      <c r="I204" s="11">
        <f t="shared" si="69"/>
        <v>9450000</v>
      </c>
      <c r="J204" s="11">
        <f t="shared" si="69"/>
        <v>0</v>
      </c>
      <c r="K204" s="11">
        <f t="shared" si="69"/>
        <v>1510744.3551999996</v>
      </c>
      <c r="L204" s="11">
        <f t="shared" si="69"/>
        <v>1044821.0899999999</v>
      </c>
      <c r="M204" s="11">
        <f t="shared" si="69"/>
        <v>152068495.63315886</v>
      </c>
      <c r="N204" s="11">
        <f t="shared" si="69"/>
        <v>990088.00189070252</v>
      </c>
      <c r="O204" s="11">
        <f t="shared" si="69"/>
        <v>0</v>
      </c>
      <c r="P204" s="11">
        <f t="shared" si="69"/>
        <v>153058583.63504958</v>
      </c>
      <c r="Q204" s="11">
        <f t="shared" si="69"/>
        <v>-1711566.7004166665</v>
      </c>
      <c r="R204" s="11">
        <f t="shared" si="69"/>
        <v>151347016.93463287</v>
      </c>
      <c r="S204" s="11">
        <f t="shared" si="69"/>
        <v>1338270</v>
      </c>
      <c r="T204" s="11">
        <f t="shared" si="69"/>
        <v>4231356.2749999994</v>
      </c>
      <c r="U204" s="11">
        <f t="shared" si="69"/>
        <v>1964680.1400000001</v>
      </c>
      <c r="V204" s="11">
        <f t="shared" si="69"/>
        <v>0</v>
      </c>
      <c r="W204" s="11">
        <f t="shared" si="69"/>
        <v>0</v>
      </c>
      <c r="X204" s="11">
        <f t="shared" si="69"/>
        <v>4112808.6277195895</v>
      </c>
      <c r="Y204" s="11">
        <f t="shared" si="69"/>
        <v>0</v>
      </c>
      <c r="Z204" s="11">
        <f t="shared" si="69"/>
        <v>162994131.9773525</v>
      </c>
    </row>
    <row r="205" spans="1:26" s="30" customFormat="1" ht="12.75" x14ac:dyDescent="0.2">
      <c r="B205" s="22" t="s">
        <v>1228</v>
      </c>
      <c r="C205" s="11">
        <f>C204-C203</f>
        <v>4409896.7881263793</v>
      </c>
      <c r="D205" s="11">
        <f t="shared" ref="D205:Z205" si="70">D204-D203</f>
        <v>-2036771.7896404304</v>
      </c>
      <c r="E205" s="11">
        <f t="shared" si="70"/>
        <v>-6957.4407223602175</v>
      </c>
      <c r="F205" s="11">
        <f t="shared" si="70"/>
        <v>-261824.22034203121</v>
      </c>
      <c r="G205" s="11">
        <f t="shared" si="70"/>
        <v>18502.838456720114</v>
      </c>
      <c r="H205" s="11">
        <f t="shared" si="70"/>
        <v>18327.079719130532</v>
      </c>
      <c r="I205" s="11">
        <f t="shared" si="70"/>
        <v>150000</v>
      </c>
      <c r="J205" s="11">
        <f t="shared" si="70"/>
        <v>-19329.921551105632</v>
      </c>
      <c r="K205" s="11">
        <f t="shared" si="70"/>
        <v>805924.98215999978</v>
      </c>
      <c r="L205" s="11">
        <f t="shared" si="70"/>
        <v>11366.089999999851</v>
      </c>
      <c r="M205" s="11">
        <f t="shared" si="70"/>
        <v>3089134.40620628</v>
      </c>
      <c r="N205" s="11">
        <f t="shared" si="70"/>
        <v>93602.427160014049</v>
      </c>
      <c r="O205" s="11">
        <f t="shared" si="70"/>
        <v>0</v>
      </c>
      <c r="P205" s="11">
        <f t="shared" si="70"/>
        <v>3182736.8333663344</v>
      </c>
      <c r="Q205" s="11">
        <f t="shared" si="70"/>
        <v>257391.96958333324</v>
      </c>
      <c r="R205" s="11">
        <f t="shared" si="70"/>
        <v>3440128.8029495776</v>
      </c>
      <c r="S205" s="11">
        <f t="shared" si="70"/>
        <v>0</v>
      </c>
      <c r="T205" s="11">
        <f t="shared" si="70"/>
        <v>-406049.35000000056</v>
      </c>
      <c r="U205" s="11">
        <f t="shared" si="70"/>
        <v>246740.99416666664</v>
      </c>
      <c r="V205" s="11">
        <f t="shared" si="70"/>
        <v>0</v>
      </c>
      <c r="W205" s="11">
        <f t="shared" si="70"/>
        <v>-8819718.1677419357</v>
      </c>
      <c r="X205" s="11">
        <f t="shared" si="70"/>
        <v>-22833.371298308019</v>
      </c>
      <c r="Y205" s="11">
        <f t="shared" si="70"/>
        <v>0</v>
      </c>
      <c r="Z205" s="11">
        <f t="shared" si="70"/>
        <v>-3345093.9983697534</v>
      </c>
    </row>
    <row r="208" spans="1:26" s="30" customFormat="1" ht="12.75" x14ac:dyDescent="0.2">
      <c r="B208" s="22" t="s">
        <v>1372</v>
      </c>
      <c r="C208" s="11">
        <f>C99-C2</f>
        <v>114274746.13352636</v>
      </c>
      <c r="D208" s="11">
        <f t="shared" ref="D208:Y208" si="71">D99-D2</f>
        <v>17396521.763806988</v>
      </c>
      <c r="E208" s="11">
        <f t="shared" si="71"/>
        <v>190248.24839585926</v>
      </c>
      <c r="F208" s="11">
        <f t="shared" si="71"/>
        <v>3121256.8403640892</v>
      </c>
      <c r="G208" s="11">
        <f t="shared" si="71"/>
        <v>4361423.3612803463</v>
      </c>
      <c r="H208" s="11">
        <f t="shared" si="71"/>
        <v>602146.67489330529</v>
      </c>
      <c r="I208" s="11">
        <f t="shared" si="71"/>
        <v>9350000</v>
      </c>
      <c r="J208" s="11">
        <f t="shared" si="71"/>
        <v>0</v>
      </c>
      <c r="K208" s="11">
        <f t="shared" si="71"/>
        <v>1501944.3051999996</v>
      </c>
      <c r="L208" s="11">
        <f t="shared" si="71"/>
        <v>1044821.0899999999</v>
      </c>
      <c r="M208" s="11">
        <f t="shared" si="71"/>
        <v>151843108.41746694</v>
      </c>
      <c r="N208" s="11">
        <f t="shared" si="71"/>
        <v>990088.00189070252</v>
      </c>
      <c r="O208" s="11">
        <f t="shared" si="71"/>
        <v>0</v>
      </c>
      <c r="P208" s="11">
        <f t="shared" si="71"/>
        <v>152833196.41935766</v>
      </c>
      <c r="Q208" s="11">
        <f t="shared" si="71"/>
        <v>-1711566.7004166665</v>
      </c>
      <c r="R208" s="11">
        <f t="shared" si="71"/>
        <v>151121629.71894094</v>
      </c>
      <c r="S208" s="11">
        <f t="shared" si="71"/>
        <v>1310962.283464567</v>
      </c>
      <c r="T208" s="11">
        <f t="shared" si="71"/>
        <v>4231356.2749999994</v>
      </c>
      <c r="U208" s="11">
        <f t="shared" si="71"/>
        <v>1964680.1400000001</v>
      </c>
      <c r="V208" s="11">
        <f t="shared" si="71"/>
        <v>0</v>
      </c>
      <c r="W208" s="11">
        <f t="shared" si="71"/>
        <v>0</v>
      </c>
      <c r="X208" s="11">
        <f t="shared" si="71"/>
        <v>4112808.6277195895</v>
      </c>
      <c r="Y208" s="11">
        <f t="shared" si="71"/>
        <v>0</v>
      </c>
      <c r="Z208" s="11">
        <f>Z99-Z2</f>
        <v>162741437.04512513</v>
      </c>
    </row>
    <row r="209" spans="1:41" ht="12.75" x14ac:dyDescent="0.2">
      <c r="C209" s="11">
        <f>C139</f>
        <v>4479691.8169033825</v>
      </c>
      <c r="D209" s="11">
        <f t="shared" ref="D209:Z209" si="72">D139</f>
        <v>45146.25731286034</v>
      </c>
      <c r="E209" s="11">
        <f t="shared" si="72"/>
        <v>484.6282175857632</v>
      </c>
      <c r="F209" s="11">
        <f t="shared" si="72"/>
        <v>0</v>
      </c>
      <c r="G209" s="11">
        <f t="shared" si="72"/>
        <v>-12120.820385187864</v>
      </c>
      <c r="H209" s="11">
        <f t="shared" si="72"/>
        <v>2376.8236821948085</v>
      </c>
      <c r="I209" s="11">
        <f t="shared" si="72"/>
        <v>0</v>
      </c>
      <c r="J209" s="11">
        <f t="shared" si="72"/>
        <v>-19329.921551105632</v>
      </c>
      <c r="K209" s="11">
        <f t="shared" si="72"/>
        <v>-31667.780000000261</v>
      </c>
      <c r="L209" s="11">
        <f t="shared" si="72"/>
        <v>0</v>
      </c>
      <c r="M209" s="11">
        <f t="shared" si="72"/>
        <v>4464581.0041797161</v>
      </c>
      <c r="N209" s="11">
        <f t="shared" si="72"/>
        <v>-1233551.0894086333</v>
      </c>
      <c r="O209" s="11">
        <f t="shared" si="72"/>
        <v>0</v>
      </c>
      <c r="P209" s="11">
        <f t="shared" si="72"/>
        <v>3231029.9147711098</v>
      </c>
      <c r="Q209" s="11">
        <f t="shared" si="72"/>
        <v>16174.394583333284</v>
      </c>
      <c r="R209" s="11">
        <f t="shared" si="72"/>
        <v>3247204.3093543649</v>
      </c>
      <c r="S209" s="11">
        <f t="shared" si="72"/>
        <v>0</v>
      </c>
      <c r="T209" s="11">
        <f t="shared" si="72"/>
        <v>4231356.2749999994</v>
      </c>
      <c r="U209" s="11">
        <f t="shared" si="72"/>
        <v>1964680.1400000001</v>
      </c>
      <c r="V209" s="11">
        <f t="shared" si="72"/>
        <v>0</v>
      </c>
      <c r="W209" s="11">
        <f t="shared" si="72"/>
        <v>0</v>
      </c>
      <c r="X209" s="11">
        <f t="shared" si="72"/>
        <v>4112808.6277195895</v>
      </c>
      <c r="Y209" s="11">
        <f t="shared" si="72"/>
        <v>0</v>
      </c>
      <c r="Z209" s="11">
        <f t="shared" si="72"/>
        <v>-5754655.585519135</v>
      </c>
    </row>
    <row r="210" spans="1:41" ht="12.75" x14ac:dyDescent="0.2">
      <c r="K210" s="1126">
        <v>796057</v>
      </c>
    </row>
    <row r="211" spans="1:41" ht="12.75" x14ac:dyDescent="0.2">
      <c r="K211" s="1127">
        <v>8800</v>
      </c>
    </row>
    <row r="212" spans="1:41" ht="12.75" x14ac:dyDescent="0.2">
      <c r="K212" s="1128">
        <f>K211+K210</f>
        <v>804857</v>
      </c>
    </row>
    <row r="220" spans="1:41" s="33" customFormat="1" ht="12.75" x14ac:dyDescent="0.2">
      <c r="B220" s="1129" t="s">
        <v>1214</v>
      </c>
      <c r="C220" s="733">
        <v>109963175.05060415</v>
      </c>
      <c r="D220" s="733">
        <v>17403732.784836918</v>
      </c>
      <c r="E220" s="733">
        <v>190248.24839585926</v>
      </c>
      <c r="F220" s="733">
        <v>3121256.8403640892</v>
      </c>
      <c r="G220" s="733">
        <v>4383843.5868403465</v>
      </c>
      <c r="H220" s="733">
        <v>602146.67489330529</v>
      </c>
      <c r="I220" s="733">
        <v>9450000</v>
      </c>
      <c r="J220" s="733">
        <v>0</v>
      </c>
      <c r="K220" s="733">
        <v>1542412.1351999999</v>
      </c>
      <c r="L220" s="733">
        <v>1044821.0899999999</v>
      </c>
      <c r="M220" s="733">
        <v>147701636.41113466</v>
      </c>
      <c r="N220" s="733">
        <v>2248789.4802933601</v>
      </c>
      <c r="O220" s="733">
        <v>0</v>
      </c>
      <c r="P220" s="1130">
        <v>149950425.89142805</v>
      </c>
      <c r="Q220" s="733">
        <v>-1711566.7004166665</v>
      </c>
      <c r="R220" s="1130">
        <v>148238859.19101143</v>
      </c>
      <c r="S220" s="733">
        <v>1338270</v>
      </c>
      <c r="T220" s="733">
        <v>4231356.2749999994</v>
      </c>
      <c r="U220" s="733">
        <v>1964680.1400000001</v>
      </c>
      <c r="V220" s="733">
        <v>0</v>
      </c>
      <c r="W220" s="733">
        <v>0</v>
      </c>
      <c r="X220" s="733">
        <v>4005036.6277195895</v>
      </c>
      <c r="Y220" s="733">
        <v>0</v>
      </c>
      <c r="Z220" s="1130">
        <v>159778202.23373103</v>
      </c>
      <c r="AA220" s="733"/>
      <c r="AB220" s="733"/>
      <c r="AC220" s="733"/>
      <c r="AD220" s="733"/>
      <c r="AE220" s="733"/>
      <c r="AG220" s="33">
        <v>109204061.459425</v>
      </c>
      <c r="AH220" s="33">
        <v>835163.73174705275</v>
      </c>
      <c r="AI220" s="33">
        <v>147624424.02312908</v>
      </c>
      <c r="AJ220" s="33">
        <v>-1549754.3957134043</v>
      </c>
      <c r="AN220" s="1131"/>
      <c r="AO220" s="33">
        <v>147624424.00304353</v>
      </c>
    </row>
    <row r="221" spans="1:41" ht="12.75" x14ac:dyDescent="0.2">
      <c r="N221" s="11">
        <f>+N153-N220</f>
        <v>-1258701.4784026574</v>
      </c>
      <c r="P221" s="11">
        <f>+P153-P220</f>
        <v>3167272.2436215281</v>
      </c>
      <c r="R221" s="11">
        <f>+R153-R220</f>
        <v>3167272.2672404349</v>
      </c>
    </row>
    <row r="223" spans="1:41" s="1033" customFormat="1" ht="12.75" x14ac:dyDescent="0.2">
      <c r="A223" s="1132">
        <v>42389</v>
      </c>
      <c r="B223" s="1034" t="s">
        <v>1214</v>
      </c>
      <c r="C223" s="982">
        <v>113262070.30212228</v>
      </c>
      <c r="D223" s="982">
        <v>17403732.784836918</v>
      </c>
      <c r="E223" s="982">
        <v>190248.24839585926</v>
      </c>
      <c r="F223" s="982">
        <v>3121256.8403640892</v>
      </c>
      <c r="G223" s="982">
        <v>4383843.5868403465</v>
      </c>
      <c r="H223" s="982">
        <v>602146.67489330529</v>
      </c>
      <c r="I223" s="982">
        <v>9450000</v>
      </c>
      <c r="J223" s="982">
        <v>0</v>
      </c>
      <c r="K223" s="982">
        <v>1584623.6351999997</v>
      </c>
      <c r="L223" s="982">
        <v>1044821.0899999999</v>
      </c>
      <c r="M223" s="982">
        <v>151042743.16265285</v>
      </c>
      <c r="N223" s="982">
        <v>1223225.7572930744</v>
      </c>
      <c r="O223" s="982">
        <v>0</v>
      </c>
      <c r="P223" s="982">
        <v>152265968.9199459</v>
      </c>
      <c r="Q223" s="982">
        <v>-1711566.7004166665</v>
      </c>
      <c r="R223" s="1035">
        <v>150554402.21952921</v>
      </c>
      <c r="S223" s="982">
        <v>1338270</v>
      </c>
      <c r="T223" s="982">
        <v>4231356.2749999994</v>
      </c>
      <c r="U223" s="982">
        <v>1964680.1400000001</v>
      </c>
      <c r="V223" s="982">
        <v>0</v>
      </c>
      <c r="W223" s="982">
        <v>0</v>
      </c>
      <c r="X223" s="982">
        <v>4112808.6277195895</v>
      </c>
      <c r="Y223" s="982">
        <v>0</v>
      </c>
      <c r="Z223" s="1035">
        <v>162201517.26224878</v>
      </c>
      <c r="AA223" s="982"/>
      <c r="AB223" s="982"/>
      <c r="AC223" s="982"/>
      <c r="AD223" s="982"/>
      <c r="AE223" s="982"/>
      <c r="AG223" s="1033">
        <v>109323873.11716524</v>
      </c>
      <c r="AH223" s="1033">
        <v>835163.73174705275</v>
      </c>
      <c r="AI223" s="1033">
        <v>147624424.02312908</v>
      </c>
      <c r="AJ223" s="1033">
        <v>765788.6328044394</v>
      </c>
      <c r="AN223" s="1113"/>
      <c r="AO223" s="1033">
        <v>147624424.00304353</v>
      </c>
    </row>
    <row r="224" spans="1:41" ht="12.75" x14ac:dyDescent="0.2">
      <c r="C224" s="11">
        <f t="shared" ref="C224:L224" si="73">+C99-C223</f>
        <v>1099631.7505060732</v>
      </c>
      <c r="D224" s="11">
        <f t="shared" si="73"/>
        <v>0</v>
      </c>
      <c r="E224" s="11">
        <f t="shared" si="73"/>
        <v>0</v>
      </c>
      <c r="F224" s="11">
        <f t="shared" si="73"/>
        <v>0</v>
      </c>
      <c r="G224" s="11">
        <f t="shared" si="73"/>
        <v>0</v>
      </c>
      <c r="H224" s="11">
        <f t="shared" si="73"/>
        <v>0</v>
      </c>
      <c r="I224" s="11">
        <f t="shared" si="73"/>
        <v>0</v>
      </c>
      <c r="J224" s="11">
        <f t="shared" si="73"/>
        <v>0</v>
      </c>
      <c r="K224" s="11">
        <f t="shared" si="73"/>
        <v>-73879.280000000028</v>
      </c>
      <c r="L224" s="11">
        <f t="shared" si="73"/>
        <v>0</v>
      </c>
      <c r="M224" s="11">
        <f>+M99-M223</f>
        <v>1025752.4705060124</v>
      </c>
      <c r="N224" s="11">
        <f t="shared" ref="N224:AJ224" si="74">+N99-N223</f>
        <v>-233137.75540237187</v>
      </c>
      <c r="O224" s="11">
        <f t="shared" si="74"/>
        <v>0</v>
      </c>
      <c r="P224" s="11">
        <f t="shared" si="74"/>
        <v>792614.71510368586</v>
      </c>
      <c r="Q224" s="11">
        <f t="shared" si="74"/>
        <v>0</v>
      </c>
      <c r="R224" s="11">
        <f t="shared" si="74"/>
        <v>792614.71510365605</v>
      </c>
      <c r="S224" s="11">
        <f t="shared" si="74"/>
        <v>0</v>
      </c>
      <c r="T224" s="11">
        <f t="shared" si="74"/>
        <v>0</v>
      </c>
      <c r="U224" s="11">
        <f t="shared" si="74"/>
        <v>0</v>
      </c>
      <c r="V224" s="11">
        <f t="shared" si="74"/>
        <v>0</v>
      </c>
      <c r="W224" s="11">
        <f t="shared" si="74"/>
        <v>0</v>
      </c>
      <c r="X224" s="11">
        <f t="shared" si="74"/>
        <v>0</v>
      </c>
      <c r="Y224" s="11">
        <f t="shared" si="74"/>
        <v>0</v>
      </c>
      <c r="Z224" s="11">
        <f t="shared" si="74"/>
        <v>792614.71510371566</v>
      </c>
      <c r="AA224" s="11">
        <f t="shared" si="74"/>
        <v>0</v>
      </c>
      <c r="AB224" s="11">
        <f t="shared" si="74"/>
        <v>0</v>
      </c>
      <c r="AC224" s="11">
        <f t="shared" si="74"/>
        <v>0</v>
      </c>
      <c r="AD224" s="11">
        <f t="shared" si="74"/>
        <v>0</v>
      </c>
      <c r="AE224" s="11">
        <f t="shared" si="74"/>
        <v>0</v>
      </c>
      <c r="AF224" s="11">
        <f t="shared" si="74"/>
        <v>0</v>
      </c>
      <c r="AG224" s="11">
        <f t="shared" si="74"/>
        <v>39937.21924674511</v>
      </c>
      <c r="AH224" s="11">
        <f t="shared" si="74"/>
        <v>0</v>
      </c>
      <c r="AI224" s="11">
        <f t="shared" si="74"/>
        <v>0</v>
      </c>
      <c r="AJ224" s="11">
        <f t="shared" si="74"/>
        <v>792614.7151036677</v>
      </c>
    </row>
    <row r="225" spans="1:2" ht="12.75" x14ac:dyDescent="0.2">
      <c r="B225" s="30"/>
    </row>
    <row r="226" spans="1:2" ht="12.75" x14ac:dyDescent="0.2">
      <c r="B226" s="30"/>
    </row>
    <row r="227" spans="1:2" ht="12.75" x14ac:dyDescent="0.2">
      <c r="A227" s="59" t="s">
        <v>238</v>
      </c>
      <c r="B227" s="59">
        <v>206189</v>
      </c>
    </row>
    <row r="228" spans="1:2" ht="12.75" x14ac:dyDescent="0.2">
      <c r="A228" s="59" t="s">
        <v>1301</v>
      </c>
      <c r="B228" s="59">
        <v>2014</v>
      </c>
    </row>
    <row r="229" spans="1:2" ht="12.75" x14ac:dyDescent="0.2">
      <c r="A229" s="59" t="s">
        <v>10</v>
      </c>
      <c r="B229" s="59">
        <v>2012</v>
      </c>
    </row>
    <row r="230" spans="1:2" ht="12.75" x14ac:dyDescent="0.2">
      <c r="A230" s="59" t="s">
        <v>73</v>
      </c>
      <c r="B230" s="59">
        <v>5414</v>
      </c>
    </row>
    <row r="231" spans="1:2" ht="12.75" x14ac:dyDescent="0.2">
      <c r="A231" s="59" t="s">
        <v>846</v>
      </c>
      <c r="B231" s="59">
        <v>4000</v>
      </c>
    </row>
    <row r="232" spans="1:2" ht="12.75" x14ac:dyDescent="0.2">
      <c r="A232" s="59" t="s">
        <v>11</v>
      </c>
      <c r="B232" s="59">
        <v>2443</v>
      </c>
    </row>
    <row r="233" spans="1:2" ht="12.75" x14ac:dyDescent="0.2">
      <c r="A233" s="59" t="s">
        <v>94</v>
      </c>
      <c r="B233" s="59">
        <v>2442</v>
      </c>
    </row>
    <row r="234" spans="1:2" ht="12.75" x14ac:dyDescent="0.2">
      <c r="A234" s="59" t="s">
        <v>241</v>
      </c>
      <c r="B234" s="59" t="s">
        <v>242</v>
      </c>
    </row>
    <row r="235" spans="1:2" ht="12.75" x14ac:dyDescent="0.2">
      <c r="A235" s="59" t="s">
        <v>13</v>
      </c>
      <c r="B235" s="59">
        <v>2629</v>
      </c>
    </row>
    <row r="236" spans="1:2" ht="12.75" x14ac:dyDescent="0.2">
      <c r="A236" s="59" t="s">
        <v>14</v>
      </c>
      <c r="B236" s="59">
        <v>2509</v>
      </c>
    </row>
    <row r="237" spans="1:2" ht="12.75" x14ac:dyDescent="0.2">
      <c r="A237" s="59" t="s">
        <v>2</v>
      </c>
      <c r="B237" s="59">
        <v>1014</v>
      </c>
    </row>
    <row r="238" spans="1:2" ht="12.75" x14ac:dyDescent="0.2">
      <c r="A238" s="59" t="s">
        <v>15</v>
      </c>
      <c r="B238" s="59">
        <v>2005</v>
      </c>
    </row>
    <row r="239" spans="1:2" ht="12.75" x14ac:dyDescent="0.2">
      <c r="A239" s="59" t="s">
        <v>16</v>
      </c>
      <c r="B239" s="59">
        <v>2464</v>
      </c>
    </row>
    <row r="240" spans="1:2" ht="12.75" x14ac:dyDescent="0.2">
      <c r="A240" s="59" t="s">
        <v>706</v>
      </c>
      <c r="B240" s="59" t="s">
        <v>708</v>
      </c>
    </row>
    <row r="241" spans="1:2" ht="12.75" x14ac:dyDescent="0.2">
      <c r="A241" s="59" t="s">
        <v>17</v>
      </c>
      <c r="B241" s="59">
        <v>2004</v>
      </c>
    </row>
    <row r="242" spans="1:2" ht="12.75" x14ac:dyDescent="0.2">
      <c r="A242" s="59" t="s">
        <v>18</v>
      </c>
      <c r="B242" s="59">
        <v>2405</v>
      </c>
    </row>
    <row r="243" spans="1:2" ht="12.75" x14ac:dyDescent="0.2">
      <c r="A243" s="59" t="s">
        <v>243</v>
      </c>
      <c r="B243" s="59" t="s">
        <v>245</v>
      </c>
    </row>
    <row r="244" spans="1:2" ht="12.75" x14ac:dyDescent="0.2">
      <c r="A244" s="59" t="s">
        <v>250</v>
      </c>
      <c r="B244" s="59" t="s">
        <v>709</v>
      </c>
    </row>
    <row r="245" spans="1:2" ht="12.75" x14ac:dyDescent="0.2">
      <c r="A245" s="59" t="s">
        <v>246</v>
      </c>
      <c r="B245" s="59" t="s">
        <v>247</v>
      </c>
    </row>
    <row r="246" spans="1:2" ht="12.75" x14ac:dyDescent="0.2">
      <c r="A246" s="59" t="s">
        <v>248</v>
      </c>
      <c r="B246" s="59" t="s">
        <v>249</v>
      </c>
    </row>
    <row r="247" spans="1:2" ht="12.75" x14ac:dyDescent="0.2">
      <c r="A247" s="59" t="s">
        <v>19</v>
      </c>
      <c r="B247" s="59">
        <v>2011</v>
      </c>
    </row>
    <row r="248" spans="1:2" ht="12.75" x14ac:dyDescent="0.2">
      <c r="A248" s="59" t="s">
        <v>251</v>
      </c>
      <c r="B248" s="59" t="s">
        <v>252</v>
      </c>
    </row>
    <row r="249" spans="1:2" ht="12.75" x14ac:dyDescent="0.2">
      <c r="A249" s="59" t="s">
        <v>20</v>
      </c>
      <c r="B249" s="59">
        <v>5201</v>
      </c>
    </row>
    <row r="250" spans="1:2" ht="12.75" x14ac:dyDescent="0.2">
      <c r="A250" s="59" t="s">
        <v>253</v>
      </c>
      <c r="B250" s="59">
        <v>206124</v>
      </c>
    </row>
    <row r="251" spans="1:2" x14ac:dyDescent="0.25">
      <c r="A251" s="59" t="s">
        <v>21</v>
      </c>
      <c r="B251" s="59">
        <v>2433</v>
      </c>
    </row>
    <row r="252" spans="1:2" x14ac:dyDescent="0.25">
      <c r="A252" s="59" t="s">
        <v>22</v>
      </c>
      <c r="B252" s="59">
        <v>2432</v>
      </c>
    </row>
    <row r="253" spans="1:2" x14ac:dyDescent="0.25">
      <c r="A253" s="59" t="s">
        <v>256</v>
      </c>
      <c r="B253" s="59" t="s">
        <v>258</v>
      </c>
    </row>
    <row r="254" spans="1:2" x14ac:dyDescent="0.25">
      <c r="A254" s="59" t="s">
        <v>188</v>
      </c>
      <c r="B254" s="59">
        <v>2447</v>
      </c>
    </row>
    <row r="255" spans="1:2" x14ac:dyDescent="0.25">
      <c r="A255" s="59" t="s">
        <v>23</v>
      </c>
      <c r="B255" s="59">
        <v>2512</v>
      </c>
    </row>
    <row r="256" spans="1:2" x14ac:dyDescent="0.25">
      <c r="A256" s="59" t="s">
        <v>259</v>
      </c>
      <c r="B256" s="59">
        <v>206126</v>
      </c>
    </row>
    <row r="257" spans="1:2" x14ac:dyDescent="0.25">
      <c r="A257" s="59" t="s">
        <v>261</v>
      </c>
      <c r="B257" s="59">
        <v>206111</v>
      </c>
    </row>
    <row r="258" spans="1:2" x14ac:dyDescent="0.25">
      <c r="A258" s="59" t="s">
        <v>263</v>
      </c>
      <c r="B258" s="59">
        <v>206091</v>
      </c>
    </row>
    <row r="259" spans="1:2" x14ac:dyDescent="0.25">
      <c r="A259" s="59" t="s">
        <v>24</v>
      </c>
      <c r="B259" s="59">
        <v>2456</v>
      </c>
    </row>
    <row r="260" spans="1:2" x14ac:dyDescent="0.25">
      <c r="A260" s="59" t="s">
        <v>3</v>
      </c>
      <c r="B260" s="59">
        <v>1017</v>
      </c>
    </row>
    <row r="261" spans="1:2" x14ac:dyDescent="0.25">
      <c r="A261" s="59" t="s">
        <v>25</v>
      </c>
      <c r="B261" s="59">
        <v>2449</v>
      </c>
    </row>
    <row r="262" spans="1:2" x14ac:dyDescent="0.25">
      <c r="A262" s="59" t="s">
        <v>26</v>
      </c>
      <c r="B262" s="59">
        <v>2448</v>
      </c>
    </row>
    <row r="263" spans="1:2" x14ac:dyDescent="0.25">
      <c r="A263" s="59" t="s">
        <v>4</v>
      </c>
      <c r="B263" s="59">
        <v>1006</v>
      </c>
    </row>
    <row r="264" spans="1:2" x14ac:dyDescent="0.25">
      <c r="A264" s="59" t="s">
        <v>27</v>
      </c>
      <c r="B264" s="59">
        <v>2467</v>
      </c>
    </row>
    <row r="265" spans="1:2" x14ac:dyDescent="0.25">
      <c r="A265" s="59" t="s">
        <v>1373</v>
      </c>
      <c r="B265" s="59">
        <v>484300</v>
      </c>
    </row>
    <row r="266" spans="1:2" x14ac:dyDescent="0.25">
      <c r="A266" s="59" t="s">
        <v>75</v>
      </c>
      <c r="B266" s="59">
        <v>5402</v>
      </c>
    </row>
    <row r="267" spans="1:2" x14ac:dyDescent="0.25">
      <c r="A267" s="59" t="s">
        <v>28</v>
      </c>
      <c r="B267" s="59">
        <v>2455</v>
      </c>
    </row>
    <row r="268" spans="1:2" x14ac:dyDescent="0.25">
      <c r="A268" s="59" t="s">
        <v>29</v>
      </c>
      <c r="B268" s="59">
        <v>5203</v>
      </c>
    </row>
    <row r="269" spans="1:2" x14ac:dyDescent="0.25">
      <c r="A269" s="59" t="s">
        <v>30</v>
      </c>
      <c r="B269" s="59">
        <v>2451</v>
      </c>
    </row>
    <row r="270" spans="1:2" x14ac:dyDescent="0.25">
      <c r="A270" s="59" t="s">
        <v>265</v>
      </c>
      <c r="B270" s="59" t="s">
        <v>266</v>
      </c>
    </row>
    <row r="271" spans="1:2" x14ac:dyDescent="0.25">
      <c r="A271" s="59" t="s">
        <v>267</v>
      </c>
      <c r="B271" s="59">
        <v>206128</v>
      </c>
    </row>
    <row r="272" spans="1:2" x14ac:dyDescent="0.25">
      <c r="A272" s="59" t="s">
        <v>438</v>
      </c>
      <c r="B272" s="59">
        <v>4002</v>
      </c>
    </row>
    <row r="273" spans="1:2" x14ac:dyDescent="0.25">
      <c r="A273" s="59" t="s">
        <v>441</v>
      </c>
      <c r="B273" s="59">
        <v>2430</v>
      </c>
    </row>
    <row r="274" spans="1:2" x14ac:dyDescent="0.25">
      <c r="A274" s="59" t="s">
        <v>269</v>
      </c>
      <c r="B274" s="59" t="s">
        <v>710</v>
      </c>
    </row>
    <row r="275" spans="1:2" x14ac:dyDescent="0.25">
      <c r="A275" s="59" t="s">
        <v>711</v>
      </c>
      <c r="B275" s="59" t="s">
        <v>712</v>
      </c>
    </row>
    <row r="276" spans="1:2" x14ac:dyDescent="0.25">
      <c r="A276" s="59" t="s">
        <v>68</v>
      </c>
      <c r="B276" s="59">
        <v>4608</v>
      </c>
    </row>
    <row r="277" spans="1:2" x14ac:dyDescent="0.25">
      <c r="A277" s="59" t="s">
        <v>31</v>
      </c>
      <c r="B277" s="59">
        <v>2409</v>
      </c>
    </row>
    <row r="278" spans="1:2" x14ac:dyDescent="0.25">
      <c r="A278" s="59" t="s">
        <v>270</v>
      </c>
      <c r="B278" s="59" t="s">
        <v>271</v>
      </c>
    </row>
    <row r="279" spans="1:2" x14ac:dyDescent="0.25">
      <c r="A279" s="59" t="s">
        <v>1283</v>
      </c>
      <c r="B279" s="59" t="s">
        <v>714</v>
      </c>
    </row>
    <row r="280" spans="1:2" x14ac:dyDescent="0.25">
      <c r="A280" s="59" t="s">
        <v>525</v>
      </c>
      <c r="B280" s="59">
        <v>205921</v>
      </c>
    </row>
    <row r="281" spans="1:2" x14ac:dyDescent="0.25">
      <c r="A281" s="59" t="s">
        <v>1256</v>
      </c>
      <c r="B281" s="59" t="s">
        <v>719</v>
      </c>
    </row>
    <row r="282" spans="1:2" x14ac:dyDescent="0.25">
      <c r="A282" s="59" t="s">
        <v>1375</v>
      </c>
      <c r="B282" s="59">
        <v>398922</v>
      </c>
    </row>
    <row r="283" spans="1:2" x14ac:dyDescent="0.25">
      <c r="A283" s="59" t="s">
        <v>1374</v>
      </c>
      <c r="B283" s="59">
        <v>479804</v>
      </c>
    </row>
    <row r="284" spans="1:2" x14ac:dyDescent="0.25">
      <c r="A284" s="59" t="s">
        <v>524</v>
      </c>
      <c r="B284" s="59">
        <v>205999</v>
      </c>
    </row>
    <row r="285" spans="1:2" x14ac:dyDescent="0.25">
      <c r="A285" s="59" t="s">
        <v>523</v>
      </c>
      <c r="B285" s="59" t="s">
        <v>272</v>
      </c>
    </row>
    <row r="286" spans="1:2" x14ac:dyDescent="0.25">
      <c r="A286" s="59" t="s">
        <v>1257</v>
      </c>
      <c r="B286" s="59">
        <v>206065</v>
      </c>
    </row>
    <row r="287" spans="1:2" x14ac:dyDescent="0.25">
      <c r="A287" s="59" t="s">
        <v>1376</v>
      </c>
      <c r="B287" s="59">
        <v>314105</v>
      </c>
    </row>
    <row r="288" spans="1:2" x14ac:dyDescent="0.25">
      <c r="A288" s="59" t="s">
        <v>1400</v>
      </c>
      <c r="B288" s="59" t="s">
        <v>277</v>
      </c>
    </row>
    <row r="289" spans="1:2" x14ac:dyDescent="0.25">
      <c r="A289" s="59" t="s">
        <v>1377</v>
      </c>
      <c r="B289" s="59">
        <v>206076</v>
      </c>
    </row>
    <row r="290" spans="1:2" x14ac:dyDescent="0.25">
      <c r="A290" s="59" t="s">
        <v>561</v>
      </c>
      <c r="B290" s="59" t="s">
        <v>727</v>
      </c>
    </row>
    <row r="291" spans="1:2" x14ac:dyDescent="0.25">
      <c r="A291" s="59" t="s">
        <v>1399</v>
      </c>
      <c r="B291" s="59" t="s">
        <v>730</v>
      </c>
    </row>
    <row r="292" spans="1:2" x14ac:dyDescent="0.25">
      <c r="A292" s="59" t="s">
        <v>562</v>
      </c>
      <c r="B292" s="59" t="s">
        <v>275</v>
      </c>
    </row>
    <row r="293" spans="1:2" x14ac:dyDescent="0.25">
      <c r="A293" s="59" t="s">
        <v>1258</v>
      </c>
      <c r="B293" s="59" t="s">
        <v>724</v>
      </c>
    </row>
    <row r="294" spans="1:2" x14ac:dyDescent="0.25">
      <c r="A294" s="59" t="s">
        <v>1259</v>
      </c>
      <c r="B294" s="59">
        <v>205919</v>
      </c>
    </row>
    <row r="295" spans="1:2" x14ac:dyDescent="0.25">
      <c r="A295" s="59" t="s">
        <v>526</v>
      </c>
      <c r="B295" s="59" t="s">
        <v>276</v>
      </c>
    </row>
    <row r="296" spans="1:2" x14ac:dyDescent="0.25">
      <c r="A296" s="59" t="s">
        <v>1378</v>
      </c>
      <c r="B296" s="59">
        <v>477405</v>
      </c>
    </row>
    <row r="297" spans="1:2" x14ac:dyDescent="0.25">
      <c r="A297" s="59" t="s">
        <v>1260</v>
      </c>
      <c r="B297" s="59" t="s">
        <v>734</v>
      </c>
    </row>
    <row r="298" spans="1:2" x14ac:dyDescent="0.25">
      <c r="A298" s="59" t="s">
        <v>1379</v>
      </c>
      <c r="B298" s="59">
        <v>401536</v>
      </c>
    </row>
    <row r="299" spans="1:2" x14ac:dyDescent="0.25">
      <c r="A299" s="59" t="s">
        <v>1261</v>
      </c>
      <c r="B299" s="59" t="s">
        <v>736</v>
      </c>
    </row>
    <row r="300" spans="1:2" x14ac:dyDescent="0.25">
      <c r="A300" s="59" t="s">
        <v>1263</v>
      </c>
      <c r="B300" s="59" t="s">
        <v>739</v>
      </c>
    </row>
    <row r="301" spans="1:2" x14ac:dyDescent="0.25">
      <c r="A301" s="59" t="s">
        <v>1262</v>
      </c>
      <c r="B301" s="59">
        <v>205849</v>
      </c>
    </row>
    <row r="302" spans="1:2" x14ac:dyDescent="0.25">
      <c r="A302" s="59" t="s">
        <v>566</v>
      </c>
      <c r="B302" s="59" t="s">
        <v>273</v>
      </c>
    </row>
    <row r="303" spans="1:2" x14ac:dyDescent="0.25">
      <c r="A303" s="59" t="s">
        <v>1264</v>
      </c>
      <c r="B303" s="59" t="s">
        <v>741</v>
      </c>
    </row>
    <row r="304" spans="1:2" x14ac:dyDescent="0.25">
      <c r="A304" s="59" t="s">
        <v>1268</v>
      </c>
      <c r="B304" s="59">
        <v>205922</v>
      </c>
    </row>
    <row r="305" spans="1:2" x14ac:dyDescent="0.25">
      <c r="A305" s="59" t="s">
        <v>1267</v>
      </c>
      <c r="B305" s="59">
        <v>205881</v>
      </c>
    </row>
    <row r="306" spans="1:2" x14ac:dyDescent="0.25">
      <c r="A306" s="59" t="s">
        <v>1265</v>
      </c>
      <c r="B306" s="59" t="s">
        <v>744</v>
      </c>
    </row>
    <row r="307" spans="1:2" x14ac:dyDescent="0.25">
      <c r="A307" s="59" t="s">
        <v>527</v>
      </c>
      <c r="B307" s="59" t="s">
        <v>278</v>
      </c>
    </row>
    <row r="308" spans="1:2" x14ac:dyDescent="0.25">
      <c r="A308" s="59" t="s">
        <v>1266</v>
      </c>
      <c r="B308" s="59" t="s">
        <v>749</v>
      </c>
    </row>
    <row r="309" spans="1:2" x14ac:dyDescent="0.25">
      <c r="A309" s="59" t="s">
        <v>1380</v>
      </c>
      <c r="B309" s="59">
        <v>462623</v>
      </c>
    </row>
    <row r="310" spans="1:2" x14ac:dyDescent="0.25">
      <c r="A310" s="59" t="s">
        <v>750</v>
      </c>
      <c r="B310" s="59" t="s">
        <v>751</v>
      </c>
    </row>
    <row r="311" spans="1:2" x14ac:dyDescent="0.25">
      <c r="A311" s="59" t="s">
        <v>1269</v>
      </c>
      <c r="B311" s="59" t="s">
        <v>754</v>
      </c>
    </row>
    <row r="312" spans="1:2" x14ac:dyDescent="0.25">
      <c r="A312" s="59" t="s">
        <v>528</v>
      </c>
      <c r="B312" s="59">
        <v>2</v>
      </c>
    </row>
    <row r="313" spans="1:2" x14ac:dyDescent="0.25">
      <c r="A313" s="59" t="s">
        <v>1270</v>
      </c>
      <c r="B313" s="59" t="s">
        <v>621</v>
      </c>
    </row>
    <row r="314" spans="1:2" x14ac:dyDescent="0.25">
      <c r="A314" s="59" t="s">
        <v>1271</v>
      </c>
      <c r="B314" s="59" t="s">
        <v>639</v>
      </c>
    </row>
    <row r="315" spans="1:2" x14ac:dyDescent="0.25">
      <c r="A315" s="59" t="s">
        <v>1271</v>
      </c>
      <c r="B315" s="59">
        <v>205878</v>
      </c>
    </row>
    <row r="316" spans="1:2" x14ac:dyDescent="0.25">
      <c r="A316" s="59" t="s">
        <v>529</v>
      </c>
      <c r="B316" s="59">
        <v>205956</v>
      </c>
    </row>
    <row r="317" spans="1:2" x14ac:dyDescent="0.25">
      <c r="A317" s="59" t="s">
        <v>1273</v>
      </c>
      <c r="B317" s="59" t="s">
        <v>759</v>
      </c>
    </row>
    <row r="318" spans="1:2" x14ac:dyDescent="0.25">
      <c r="A318" s="59" t="s">
        <v>1382</v>
      </c>
      <c r="B318" s="59">
        <v>472319</v>
      </c>
    </row>
    <row r="319" spans="1:2" x14ac:dyDescent="0.25">
      <c r="A319" s="59" t="s">
        <v>1272</v>
      </c>
      <c r="B319" s="59">
        <v>260849</v>
      </c>
    </row>
    <row r="320" spans="1:2" x14ac:dyDescent="0.25">
      <c r="A320" s="59" t="s">
        <v>1383</v>
      </c>
      <c r="B320" s="59">
        <v>482805</v>
      </c>
    </row>
    <row r="321" spans="1:2" x14ac:dyDescent="0.25">
      <c r="A321" s="59" t="s">
        <v>1381</v>
      </c>
      <c r="B321" s="59">
        <v>447579</v>
      </c>
    </row>
    <row r="322" spans="1:2" x14ac:dyDescent="0.25">
      <c r="A322" s="59" t="s">
        <v>1274</v>
      </c>
      <c r="B322" s="59" t="s">
        <v>280</v>
      </c>
    </row>
    <row r="323" spans="1:2" x14ac:dyDescent="0.25">
      <c r="A323" s="59" t="s">
        <v>1275</v>
      </c>
      <c r="B323" s="59" t="s">
        <v>762</v>
      </c>
    </row>
    <row r="324" spans="1:2" x14ac:dyDescent="0.25">
      <c r="A324" s="59" t="s">
        <v>1277</v>
      </c>
      <c r="B324" s="59" t="s">
        <v>766</v>
      </c>
    </row>
    <row r="325" spans="1:2" x14ac:dyDescent="0.25">
      <c r="A325" s="59" t="s">
        <v>1276</v>
      </c>
      <c r="B325" s="59" t="s">
        <v>764</v>
      </c>
    </row>
    <row r="326" spans="1:2" x14ac:dyDescent="0.25">
      <c r="A326" s="59" t="s">
        <v>1279</v>
      </c>
      <c r="B326" s="59" t="s">
        <v>771</v>
      </c>
    </row>
    <row r="327" spans="1:2" x14ac:dyDescent="0.25">
      <c r="A327" s="437" t="s">
        <v>1278</v>
      </c>
      <c r="B327" s="529" t="s">
        <v>768</v>
      </c>
    </row>
    <row r="328" spans="1:2" x14ac:dyDescent="0.25">
      <c r="A328" s="437" t="s">
        <v>564</v>
      </c>
      <c r="B328" s="529" t="s">
        <v>281</v>
      </c>
    </row>
    <row r="329" spans="1:2" x14ac:dyDescent="0.25">
      <c r="A329" s="59" t="s">
        <v>1284</v>
      </c>
      <c r="B329" s="59" t="s">
        <v>774</v>
      </c>
    </row>
    <row r="330" spans="1:2" x14ac:dyDescent="0.25">
      <c r="A330" s="59" t="s">
        <v>1384</v>
      </c>
      <c r="B330" s="59">
        <v>484039</v>
      </c>
    </row>
    <row r="331" spans="1:2" x14ac:dyDescent="0.25">
      <c r="A331" s="59" t="s">
        <v>1285</v>
      </c>
      <c r="B331" s="59" t="s">
        <v>776</v>
      </c>
    </row>
    <row r="332" spans="1:2" x14ac:dyDescent="0.25">
      <c r="A332" s="59" t="s">
        <v>1385</v>
      </c>
      <c r="B332" s="59">
        <v>343478</v>
      </c>
    </row>
    <row r="333" spans="1:2" x14ac:dyDescent="0.25">
      <c r="A333" s="59" t="s">
        <v>532</v>
      </c>
      <c r="B333" s="59" t="s">
        <v>283</v>
      </c>
    </row>
    <row r="334" spans="1:2" x14ac:dyDescent="0.25">
      <c r="A334" s="59" t="s">
        <v>1280</v>
      </c>
      <c r="B334" s="59">
        <v>206031</v>
      </c>
    </row>
    <row r="335" spans="1:2" x14ac:dyDescent="0.25">
      <c r="A335" s="59" t="s">
        <v>531</v>
      </c>
      <c r="B335" s="59" t="s">
        <v>284</v>
      </c>
    </row>
    <row r="336" spans="1:2" x14ac:dyDescent="0.25">
      <c r="A336" s="59" t="s">
        <v>530</v>
      </c>
      <c r="B336" s="59" t="s">
        <v>282</v>
      </c>
    </row>
    <row r="337" spans="1:2" x14ac:dyDescent="0.25">
      <c r="A337" s="59" t="s">
        <v>1281</v>
      </c>
      <c r="B337" s="59" t="s">
        <v>781</v>
      </c>
    </row>
    <row r="338" spans="1:2" x14ac:dyDescent="0.25">
      <c r="A338" s="59" t="s">
        <v>1255</v>
      </c>
      <c r="B338" s="59" t="s">
        <v>285</v>
      </c>
    </row>
    <row r="339" spans="1:2" x14ac:dyDescent="0.25">
      <c r="A339" s="59" t="s">
        <v>1289</v>
      </c>
      <c r="B339" s="59">
        <v>260848</v>
      </c>
    </row>
    <row r="340" spans="1:2" x14ac:dyDescent="0.25">
      <c r="A340" s="59" t="s">
        <v>565</v>
      </c>
      <c r="B340" s="59">
        <v>206043</v>
      </c>
    </row>
    <row r="341" spans="1:2" x14ac:dyDescent="0.25">
      <c r="A341" s="59" t="s">
        <v>533</v>
      </c>
      <c r="B341" s="59" t="s">
        <v>286</v>
      </c>
    </row>
    <row r="342" spans="1:2" x14ac:dyDescent="0.25">
      <c r="A342" s="59" t="s">
        <v>533</v>
      </c>
      <c r="B342" s="59">
        <v>505502</v>
      </c>
    </row>
    <row r="343" spans="1:2" x14ac:dyDescent="0.25">
      <c r="A343" s="59" t="s">
        <v>563</v>
      </c>
      <c r="B343" s="59">
        <v>205978</v>
      </c>
    </row>
    <row r="344" spans="1:2" x14ac:dyDescent="0.25">
      <c r="A344" s="59" t="s">
        <v>1296</v>
      </c>
      <c r="B344" s="59">
        <v>435150</v>
      </c>
    </row>
    <row r="345" spans="1:2" x14ac:dyDescent="0.25">
      <c r="A345" s="59" t="s">
        <v>1288</v>
      </c>
      <c r="B345" s="59">
        <v>206067</v>
      </c>
    </row>
    <row r="346" spans="1:2" x14ac:dyDescent="0.25">
      <c r="A346" s="59" t="s">
        <v>534</v>
      </c>
      <c r="B346" s="59" t="s">
        <v>287</v>
      </c>
    </row>
    <row r="347" spans="1:2" x14ac:dyDescent="0.25">
      <c r="A347" s="59" t="s">
        <v>1282</v>
      </c>
      <c r="B347" s="59" t="s">
        <v>279</v>
      </c>
    </row>
    <row r="348" spans="1:2" x14ac:dyDescent="0.25">
      <c r="A348" s="59" t="s">
        <v>535</v>
      </c>
      <c r="B348" s="59" t="s">
        <v>288</v>
      </c>
    </row>
    <row r="349" spans="1:2" x14ac:dyDescent="0.25">
      <c r="A349" s="59" t="s">
        <v>1286</v>
      </c>
      <c r="B349" s="59" t="s">
        <v>793</v>
      </c>
    </row>
    <row r="350" spans="1:2" x14ac:dyDescent="0.25">
      <c r="A350" s="59" t="s">
        <v>1386</v>
      </c>
      <c r="B350" s="59">
        <v>414019</v>
      </c>
    </row>
    <row r="351" spans="1:2" x14ac:dyDescent="0.25">
      <c r="A351" s="59" t="s">
        <v>567</v>
      </c>
      <c r="B351" s="59" t="s">
        <v>274</v>
      </c>
    </row>
    <row r="352" spans="1:2" x14ac:dyDescent="0.25">
      <c r="A352" s="59" t="s">
        <v>1387</v>
      </c>
      <c r="B352" s="59">
        <v>458078</v>
      </c>
    </row>
    <row r="353" spans="1:2" x14ac:dyDescent="0.25">
      <c r="A353" s="59" t="s">
        <v>1287</v>
      </c>
      <c r="B353" s="59" t="s">
        <v>795</v>
      </c>
    </row>
    <row r="354" spans="1:2" x14ac:dyDescent="0.25">
      <c r="A354" s="59" t="s">
        <v>289</v>
      </c>
      <c r="B354" s="59" t="s">
        <v>290</v>
      </c>
    </row>
    <row r="355" spans="1:2" x14ac:dyDescent="0.25">
      <c r="A355" s="59" t="s">
        <v>1306</v>
      </c>
      <c r="B355" s="59">
        <v>4003</v>
      </c>
    </row>
    <row r="356" spans="1:2" x14ac:dyDescent="0.25">
      <c r="A356" s="59" t="s">
        <v>797</v>
      </c>
      <c r="B356" s="59" t="s">
        <v>798</v>
      </c>
    </row>
    <row r="357" spans="1:2" x14ac:dyDescent="0.25">
      <c r="A357" s="59" t="s">
        <v>291</v>
      </c>
      <c r="B357" s="59" t="s">
        <v>293</v>
      </c>
    </row>
    <row r="358" spans="1:2" x14ac:dyDescent="0.25">
      <c r="A358" s="59" t="s">
        <v>111</v>
      </c>
      <c r="B358" s="59">
        <v>4178</v>
      </c>
    </row>
    <row r="359" spans="1:2" x14ac:dyDescent="0.25">
      <c r="A359" s="59" t="s">
        <v>98</v>
      </c>
      <c r="B359" s="59">
        <v>3158</v>
      </c>
    </row>
    <row r="360" spans="1:2" x14ac:dyDescent="0.25">
      <c r="A360" s="59" t="s">
        <v>32</v>
      </c>
      <c r="B360" s="59">
        <v>2619</v>
      </c>
    </row>
    <row r="361" spans="1:2" x14ac:dyDescent="0.25">
      <c r="A361" s="59" t="s">
        <v>1388</v>
      </c>
      <c r="B361" s="59">
        <v>479542</v>
      </c>
    </row>
    <row r="362" spans="1:2" x14ac:dyDescent="0.25">
      <c r="A362" s="59" t="s">
        <v>1389</v>
      </c>
      <c r="B362" s="59" t="s">
        <v>1390</v>
      </c>
    </row>
    <row r="363" spans="1:2" x14ac:dyDescent="0.25">
      <c r="A363" s="59" t="s">
        <v>799</v>
      </c>
      <c r="B363" s="59" t="s">
        <v>800</v>
      </c>
    </row>
    <row r="364" spans="1:2" x14ac:dyDescent="0.25">
      <c r="A364" s="59" t="s">
        <v>1391</v>
      </c>
      <c r="B364" s="59">
        <v>487369</v>
      </c>
    </row>
    <row r="365" spans="1:2" x14ac:dyDescent="0.25">
      <c r="A365" s="59" t="s">
        <v>1392</v>
      </c>
      <c r="B365" s="59">
        <v>477763</v>
      </c>
    </row>
    <row r="366" spans="1:2" x14ac:dyDescent="0.25">
      <c r="A366" s="59" t="s">
        <v>294</v>
      </c>
      <c r="B366" s="59" t="s">
        <v>295</v>
      </c>
    </row>
    <row r="367" spans="1:2" x14ac:dyDescent="0.25">
      <c r="A367" s="59" t="s">
        <v>296</v>
      </c>
      <c r="B367" s="59">
        <v>258417</v>
      </c>
    </row>
    <row r="368" spans="1:2" x14ac:dyDescent="0.25">
      <c r="A368" s="59" t="s">
        <v>298</v>
      </c>
      <c r="B368" s="59" t="s">
        <v>300</v>
      </c>
    </row>
    <row r="369" spans="1:2" x14ac:dyDescent="0.25">
      <c r="A369" s="59" t="s">
        <v>301</v>
      </c>
      <c r="B369" s="59" t="s">
        <v>303</v>
      </c>
    </row>
    <row r="370" spans="1:2" x14ac:dyDescent="0.25">
      <c r="A370" s="59" t="s">
        <v>33</v>
      </c>
      <c r="B370" s="59">
        <v>2518</v>
      </c>
    </row>
    <row r="371" spans="1:2" x14ac:dyDescent="0.25">
      <c r="A371" s="59" t="s">
        <v>801</v>
      </c>
      <c r="B371" s="59" t="s">
        <v>802</v>
      </c>
    </row>
    <row r="372" spans="1:2" x14ac:dyDescent="0.25">
      <c r="A372" s="59" t="s">
        <v>304</v>
      </c>
      <c r="B372" s="59">
        <v>206106</v>
      </c>
    </row>
    <row r="373" spans="1:2" x14ac:dyDescent="0.25">
      <c r="A373" s="59" t="s">
        <v>306</v>
      </c>
      <c r="B373" s="59" t="s">
        <v>307</v>
      </c>
    </row>
    <row r="374" spans="1:2" x14ac:dyDescent="0.25">
      <c r="A374" s="59" t="s">
        <v>803</v>
      </c>
      <c r="B374" s="59" t="s">
        <v>804</v>
      </c>
    </row>
    <row r="375" spans="1:2" x14ac:dyDescent="0.25">
      <c r="A375" s="59" t="s">
        <v>34</v>
      </c>
      <c r="B375" s="59">
        <v>2457</v>
      </c>
    </row>
    <row r="376" spans="1:2" x14ac:dyDescent="0.25">
      <c r="A376" s="59" t="s">
        <v>99</v>
      </c>
      <c r="B376" s="59">
        <v>2010</v>
      </c>
    </row>
    <row r="377" spans="1:2" x14ac:dyDescent="0.25">
      <c r="A377" s="59" t="s">
        <v>35</v>
      </c>
      <c r="B377" s="59">
        <v>2002</v>
      </c>
    </row>
    <row r="378" spans="1:2" x14ac:dyDescent="0.25">
      <c r="A378" s="59" t="s">
        <v>36</v>
      </c>
      <c r="B378" s="59">
        <v>3544</v>
      </c>
    </row>
    <row r="379" spans="1:2" x14ac:dyDescent="0.25">
      <c r="A379" s="59" t="s">
        <v>5</v>
      </c>
      <c r="B379" s="59">
        <v>1008</v>
      </c>
    </row>
    <row r="380" spans="1:2" x14ac:dyDescent="0.25">
      <c r="A380" s="59" t="s">
        <v>308</v>
      </c>
      <c r="B380" s="59" t="s">
        <v>309</v>
      </c>
    </row>
    <row r="381" spans="1:2" x14ac:dyDescent="0.25">
      <c r="A381" s="59" t="s">
        <v>100</v>
      </c>
      <c r="B381" s="59">
        <v>2006</v>
      </c>
    </row>
    <row r="382" spans="1:2" x14ac:dyDescent="0.25">
      <c r="A382" s="59" t="s">
        <v>310</v>
      </c>
      <c r="B382" s="59" t="s">
        <v>311</v>
      </c>
    </row>
    <row r="383" spans="1:2" x14ac:dyDescent="0.25">
      <c r="A383" s="59" t="s">
        <v>312</v>
      </c>
      <c r="B383" s="59">
        <v>206133</v>
      </c>
    </row>
    <row r="384" spans="1:2" x14ac:dyDescent="0.25">
      <c r="A384" s="59" t="s">
        <v>806</v>
      </c>
      <c r="B384" s="59" t="s">
        <v>807</v>
      </c>
    </row>
    <row r="385" spans="1:2" x14ac:dyDescent="0.25">
      <c r="A385" s="59" t="s">
        <v>314</v>
      </c>
      <c r="B385" s="59" t="s">
        <v>316</v>
      </c>
    </row>
    <row r="386" spans="1:2" x14ac:dyDescent="0.25">
      <c r="A386" s="59" t="s">
        <v>317</v>
      </c>
      <c r="B386" s="59">
        <v>206134</v>
      </c>
    </row>
    <row r="387" spans="1:2" x14ac:dyDescent="0.25">
      <c r="A387" s="59" t="s">
        <v>321</v>
      </c>
      <c r="B387" s="59" t="s">
        <v>322</v>
      </c>
    </row>
    <row r="388" spans="1:2" x14ac:dyDescent="0.25">
      <c r="A388" s="59" t="s">
        <v>319</v>
      </c>
      <c r="B388" s="59" t="s">
        <v>320</v>
      </c>
    </row>
    <row r="389" spans="1:2" x14ac:dyDescent="0.25">
      <c r="A389" s="59" t="s">
        <v>323</v>
      </c>
      <c r="B389" s="59" t="s">
        <v>324</v>
      </c>
    </row>
    <row r="390" spans="1:2" x14ac:dyDescent="0.25">
      <c r="A390" s="59" t="s">
        <v>325</v>
      </c>
      <c r="B390" s="59">
        <v>206109</v>
      </c>
    </row>
    <row r="391" spans="1:2" x14ac:dyDescent="0.25">
      <c r="A391" s="59" t="s">
        <v>37</v>
      </c>
      <c r="B391" s="59">
        <v>2434</v>
      </c>
    </row>
    <row r="392" spans="1:2" x14ac:dyDescent="0.25">
      <c r="A392" s="59" t="s">
        <v>42</v>
      </c>
      <c r="B392" s="59">
        <v>2009</v>
      </c>
    </row>
    <row r="393" spans="1:2" x14ac:dyDescent="0.25">
      <c r="A393" s="59" t="s">
        <v>569</v>
      </c>
      <c r="B393" s="59">
        <v>6905</v>
      </c>
    </row>
    <row r="394" spans="1:2" x14ac:dyDescent="0.25">
      <c r="A394" s="59" t="s">
        <v>38</v>
      </c>
      <c r="B394" s="59">
        <v>2522</v>
      </c>
    </row>
    <row r="395" spans="1:2" x14ac:dyDescent="0.25">
      <c r="A395" s="59" t="s">
        <v>327</v>
      </c>
      <c r="B395" s="59">
        <v>206110</v>
      </c>
    </row>
    <row r="396" spans="1:2" x14ac:dyDescent="0.25">
      <c r="A396" s="59" t="s">
        <v>329</v>
      </c>
      <c r="B396" s="59">
        <v>206135</v>
      </c>
    </row>
    <row r="397" spans="1:2" x14ac:dyDescent="0.25">
      <c r="A397" s="59" t="s">
        <v>69</v>
      </c>
      <c r="B397" s="59">
        <v>4181</v>
      </c>
    </row>
    <row r="398" spans="1:2" x14ac:dyDescent="0.25">
      <c r="A398" s="59" t="s">
        <v>331</v>
      </c>
      <c r="B398" s="59">
        <v>509195</v>
      </c>
    </row>
    <row r="399" spans="1:2" x14ac:dyDescent="0.25">
      <c r="A399" s="59" t="s">
        <v>1393</v>
      </c>
      <c r="B399" s="59">
        <v>480857</v>
      </c>
    </row>
    <row r="400" spans="1:2" x14ac:dyDescent="0.25">
      <c r="A400" s="59" t="s">
        <v>333</v>
      </c>
      <c r="B400" s="59" t="s">
        <v>334</v>
      </c>
    </row>
    <row r="401" spans="1:2" x14ac:dyDescent="0.25">
      <c r="A401" s="59" t="s">
        <v>335</v>
      </c>
      <c r="B401" s="59" t="s">
        <v>336</v>
      </c>
    </row>
    <row r="402" spans="1:2" x14ac:dyDescent="0.25">
      <c r="A402" s="59" t="s">
        <v>1394</v>
      </c>
      <c r="B402" s="59">
        <v>492973</v>
      </c>
    </row>
    <row r="403" spans="1:2" x14ac:dyDescent="0.25">
      <c r="A403" s="59" t="s">
        <v>337</v>
      </c>
      <c r="B403" s="59" t="s">
        <v>339</v>
      </c>
    </row>
    <row r="404" spans="1:2" x14ac:dyDescent="0.25">
      <c r="A404" s="59" t="s">
        <v>340</v>
      </c>
      <c r="B404" s="59">
        <v>509199</v>
      </c>
    </row>
    <row r="405" spans="1:2" x14ac:dyDescent="0.25">
      <c r="A405" s="59" t="s">
        <v>342</v>
      </c>
      <c r="B405" s="59">
        <v>509197</v>
      </c>
    </row>
    <row r="406" spans="1:2" x14ac:dyDescent="0.25">
      <c r="A406" s="59" t="s">
        <v>808</v>
      </c>
      <c r="B406" s="59">
        <v>479383</v>
      </c>
    </row>
    <row r="407" spans="1:2" x14ac:dyDescent="0.25">
      <c r="A407" s="59" t="s">
        <v>347</v>
      </c>
      <c r="B407" s="59" t="s">
        <v>348</v>
      </c>
    </row>
    <row r="408" spans="1:2" x14ac:dyDescent="0.25">
      <c r="A408" s="59" t="s">
        <v>70</v>
      </c>
      <c r="B408" s="59">
        <v>4182</v>
      </c>
    </row>
    <row r="409" spans="1:2" x14ac:dyDescent="0.25">
      <c r="A409" s="59" t="s">
        <v>344</v>
      </c>
      <c r="B409" s="59" t="s">
        <v>346</v>
      </c>
    </row>
    <row r="410" spans="1:2" x14ac:dyDescent="0.25">
      <c r="A410" s="59" t="s">
        <v>6</v>
      </c>
      <c r="B410" s="59">
        <v>1005</v>
      </c>
    </row>
    <row r="411" spans="1:2" x14ac:dyDescent="0.25">
      <c r="A411" s="59" t="s">
        <v>809</v>
      </c>
      <c r="B411" s="59" t="s">
        <v>810</v>
      </c>
    </row>
    <row r="412" spans="1:2" x14ac:dyDescent="0.25">
      <c r="A412" s="59" t="s">
        <v>39</v>
      </c>
      <c r="B412" s="59">
        <v>2436</v>
      </c>
    </row>
    <row r="413" spans="1:2" x14ac:dyDescent="0.25">
      <c r="A413" s="59" t="s">
        <v>349</v>
      </c>
      <c r="B413" s="59">
        <v>206117</v>
      </c>
    </row>
    <row r="414" spans="1:2" x14ac:dyDescent="0.25">
      <c r="A414" s="59" t="s">
        <v>40</v>
      </c>
      <c r="B414" s="59">
        <v>2452</v>
      </c>
    </row>
    <row r="415" spans="1:2" x14ac:dyDescent="0.25">
      <c r="A415" s="59" t="s">
        <v>71</v>
      </c>
      <c r="B415" s="59">
        <v>4001</v>
      </c>
    </row>
    <row r="416" spans="1:2" x14ac:dyDescent="0.25">
      <c r="A416" s="59" t="s">
        <v>351</v>
      </c>
      <c r="B416" s="59">
        <v>206141</v>
      </c>
    </row>
    <row r="417" spans="1:2" x14ac:dyDescent="0.25">
      <c r="A417" s="59" t="s">
        <v>41</v>
      </c>
      <c r="B417" s="59">
        <v>2627</v>
      </c>
    </row>
    <row r="418" spans="1:2" x14ac:dyDescent="0.25">
      <c r="A418" s="59" t="s">
        <v>112</v>
      </c>
      <c r="B418" s="59">
        <v>5406</v>
      </c>
    </row>
    <row r="419" spans="1:2" x14ac:dyDescent="0.25">
      <c r="A419" s="59" t="s">
        <v>113</v>
      </c>
      <c r="B419" s="59">
        <v>5407</v>
      </c>
    </row>
    <row r="420" spans="1:2" x14ac:dyDescent="0.25">
      <c r="A420" s="59" t="s">
        <v>353</v>
      </c>
      <c r="B420" s="59" t="s">
        <v>355</v>
      </c>
    </row>
    <row r="421" spans="1:2" x14ac:dyDescent="0.25">
      <c r="A421" s="59" t="s">
        <v>356</v>
      </c>
      <c r="B421" s="59">
        <v>258404</v>
      </c>
    </row>
    <row r="422" spans="1:2" x14ac:dyDescent="0.25">
      <c r="A422" s="59" t="s">
        <v>101</v>
      </c>
      <c r="B422" s="59">
        <v>2473</v>
      </c>
    </row>
    <row r="423" spans="1:2" x14ac:dyDescent="0.25">
      <c r="A423" s="59" t="s">
        <v>44</v>
      </c>
      <c r="B423" s="59">
        <v>2471</v>
      </c>
    </row>
    <row r="424" spans="1:2" x14ac:dyDescent="0.25">
      <c r="A424" s="59" t="s">
        <v>358</v>
      </c>
      <c r="B424" s="59">
        <v>258405</v>
      </c>
    </row>
    <row r="425" spans="1:2" x14ac:dyDescent="0.25">
      <c r="A425" s="59" t="s">
        <v>360</v>
      </c>
      <c r="B425" s="59">
        <v>258406</v>
      </c>
    </row>
    <row r="426" spans="1:2" x14ac:dyDescent="0.25">
      <c r="A426" s="59" t="s">
        <v>1395</v>
      </c>
      <c r="B426" s="59">
        <v>206145</v>
      </c>
    </row>
    <row r="427" spans="1:2" x14ac:dyDescent="0.25">
      <c r="A427" s="59" t="s">
        <v>43</v>
      </c>
      <c r="B427" s="59">
        <v>2420</v>
      </c>
    </row>
    <row r="428" spans="1:2" x14ac:dyDescent="0.25">
      <c r="A428" s="59" t="s">
        <v>362</v>
      </c>
      <c r="B428" s="59">
        <v>206160</v>
      </c>
    </row>
    <row r="429" spans="1:2" x14ac:dyDescent="0.25">
      <c r="A429" s="59" t="s">
        <v>45</v>
      </c>
      <c r="B429" s="59">
        <v>2003</v>
      </c>
    </row>
    <row r="430" spans="1:2" x14ac:dyDescent="0.25">
      <c r="A430" s="59" t="s">
        <v>46</v>
      </c>
      <c r="B430" s="59">
        <v>2423</v>
      </c>
    </row>
    <row r="431" spans="1:2" x14ac:dyDescent="0.25">
      <c r="A431" s="59" t="s">
        <v>47</v>
      </c>
      <c r="B431" s="59">
        <v>2424</v>
      </c>
    </row>
    <row r="432" spans="1:2" x14ac:dyDescent="0.25">
      <c r="A432" s="59" t="s">
        <v>364</v>
      </c>
      <c r="B432" s="59" t="s">
        <v>366</v>
      </c>
    </row>
    <row r="433" spans="1:2" x14ac:dyDescent="0.25">
      <c r="A433" s="59" t="s">
        <v>367</v>
      </c>
      <c r="B433" s="59" t="s">
        <v>368</v>
      </c>
    </row>
    <row r="434" spans="1:2" x14ac:dyDescent="0.25">
      <c r="A434" s="59" t="s">
        <v>369</v>
      </c>
      <c r="B434" s="59" t="s">
        <v>371</v>
      </c>
    </row>
    <row r="435" spans="1:2" x14ac:dyDescent="0.25">
      <c r="A435" s="59" t="s">
        <v>811</v>
      </c>
      <c r="B435" s="59" t="s">
        <v>812</v>
      </c>
    </row>
    <row r="436" spans="1:2" x14ac:dyDescent="0.25">
      <c r="A436" s="59" t="s">
        <v>372</v>
      </c>
      <c r="B436" s="59">
        <v>206146</v>
      </c>
    </row>
    <row r="437" spans="1:2" x14ac:dyDescent="0.25">
      <c r="A437" s="59" t="s">
        <v>48</v>
      </c>
      <c r="B437" s="59">
        <v>2439</v>
      </c>
    </row>
    <row r="438" spans="1:2" x14ac:dyDescent="0.25">
      <c r="A438" s="59" t="s">
        <v>49</v>
      </c>
      <c r="B438" s="59">
        <v>2440</v>
      </c>
    </row>
    <row r="439" spans="1:2" x14ac:dyDescent="0.25">
      <c r="A439" s="59" t="s">
        <v>374</v>
      </c>
      <c r="B439" s="59" t="s">
        <v>375</v>
      </c>
    </row>
    <row r="440" spans="1:2" x14ac:dyDescent="0.25">
      <c r="A440" s="59" t="s">
        <v>813</v>
      </c>
      <c r="B440" s="59" t="s">
        <v>814</v>
      </c>
    </row>
    <row r="441" spans="1:2" x14ac:dyDescent="0.25">
      <c r="A441" s="59" t="s">
        <v>815</v>
      </c>
      <c r="B441" s="59" t="s">
        <v>816</v>
      </c>
    </row>
    <row r="442" spans="1:2" x14ac:dyDescent="0.25">
      <c r="A442" s="67" t="s">
        <v>377</v>
      </c>
      <c r="B442" s="67" t="s">
        <v>378</v>
      </c>
    </row>
    <row r="443" spans="1:2" x14ac:dyDescent="0.25">
      <c r="A443" s="105" t="s">
        <v>377</v>
      </c>
      <c r="B443" s="110" t="s">
        <v>817</v>
      </c>
    </row>
    <row r="444" spans="1:2" x14ac:dyDescent="0.25">
      <c r="A444" s="105" t="s">
        <v>102</v>
      </c>
      <c r="B444" s="110">
        <v>2462</v>
      </c>
    </row>
    <row r="445" spans="1:2" x14ac:dyDescent="0.25">
      <c r="A445" s="105" t="s">
        <v>50</v>
      </c>
      <c r="B445" s="110">
        <v>2463</v>
      </c>
    </row>
    <row r="446" spans="1:2" x14ac:dyDescent="0.25">
      <c r="A446" s="105" t="s">
        <v>51</v>
      </c>
      <c r="B446" s="67">
        <v>2505</v>
      </c>
    </row>
    <row r="447" spans="1:2" x14ac:dyDescent="0.25">
      <c r="A447" s="105" t="s">
        <v>1304</v>
      </c>
      <c r="B447" s="110">
        <v>2000</v>
      </c>
    </row>
    <row r="448" spans="1:2" x14ac:dyDescent="0.25">
      <c r="A448" s="105" t="s">
        <v>53</v>
      </c>
      <c r="B448" s="67">
        <v>2458</v>
      </c>
    </row>
    <row r="449" spans="1:2" x14ac:dyDescent="0.25">
      <c r="A449" s="105" t="s">
        <v>379</v>
      </c>
      <c r="B449" s="67" t="s">
        <v>381</v>
      </c>
    </row>
    <row r="450" spans="1:2" x14ac:dyDescent="0.25">
      <c r="A450" s="105" t="s">
        <v>54</v>
      </c>
      <c r="B450" s="67">
        <v>2001</v>
      </c>
    </row>
    <row r="451" spans="1:2" x14ac:dyDescent="0.25">
      <c r="A451" s="105" t="s">
        <v>382</v>
      </c>
      <c r="B451" s="67" t="s">
        <v>383</v>
      </c>
    </row>
    <row r="452" spans="1:2" x14ac:dyDescent="0.25">
      <c r="A452" s="105" t="s">
        <v>55</v>
      </c>
      <c r="B452" s="67">
        <v>2429</v>
      </c>
    </row>
    <row r="453" spans="1:2" x14ac:dyDescent="0.25">
      <c r="A453" s="105" t="s">
        <v>384</v>
      </c>
      <c r="B453" s="67">
        <v>113044</v>
      </c>
    </row>
    <row r="454" spans="1:2" x14ac:dyDescent="0.25">
      <c r="A454" s="105" t="s">
        <v>386</v>
      </c>
      <c r="B454" s="67" t="s">
        <v>388</v>
      </c>
    </row>
    <row r="455" spans="1:2" x14ac:dyDescent="0.25">
      <c r="A455" s="105" t="s">
        <v>72</v>
      </c>
      <c r="B455" s="67">
        <v>4607</v>
      </c>
    </row>
    <row r="456" spans="1:2" x14ac:dyDescent="0.25">
      <c r="A456" s="105" t="s">
        <v>818</v>
      </c>
      <c r="B456" s="67" t="s">
        <v>819</v>
      </c>
    </row>
    <row r="457" spans="1:2" x14ac:dyDescent="0.25">
      <c r="A457" s="105" t="s">
        <v>820</v>
      </c>
      <c r="B457" s="67" t="s">
        <v>821</v>
      </c>
    </row>
    <row r="458" spans="1:2" x14ac:dyDescent="0.25">
      <c r="A458" s="105" t="s">
        <v>56</v>
      </c>
      <c r="B458" s="67">
        <v>2444</v>
      </c>
    </row>
    <row r="459" spans="1:2" x14ac:dyDescent="0.25">
      <c r="A459" s="105" t="s">
        <v>57</v>
      </c>
      <c r="B459" s="67">
        <v>5209</v>
      </c>
    </row>
    <row r="460" spans="1:2" x14ac:dyDescent="0.25">
      <c r="A460" s="105" t="s">
        <v>389</v>
      </c>
      <c r="B460" s="67" t="s">
        <v>391</v>
      </c>
    </row>
    <row r="461" spans="1:2" x14ac:dyDescent="0.25">
      <c r="A461" s="105" t="s">
        <v>392</v>
      </c>
      <c r="B461" s="67" t="s">
        <v>394</v>
      </c>
    </row>
    <row r="462" spans="1:2" x14ac:dyDescent="0.25">
      <c r="A462" s="105" t="s">
        <v>58</v>
      </c>
      <c r="B462" s="67">
        <v>2469</v>
      </c>
    </row>
    <row r="463" spans="1:2" x14ac:dyDescent="0.25">
      <c r="A463" s="105" t="s">
        <v>395</v>
      </c>
      <c r="B463" s="110" t="s">
        <v>397</v>
      </c>
    </row>
    <row r="464" spans="1:2" x14ac:dyDescent="0.25">
      <c r="A464" s="105" t="s">
        <v>398</v>
      </c>
      <c r="B464" s="67" t="s">
        <v>399</v>
      </c>
    </row>
    <row r="465" spans="1:2" x14ac:dyDescent="0.25">
      <c r="A465" s="59" t="s">
        <v>59</v>
      </c>
      <c r="B465" s="59">
        <v>2466</v>
      </c>
    </row>
    <row r="466" spans="1:2" x14ac:dyDescent="0.25">
      <c r="A466" s="59" t="s">
        <v>60</v>
      </c>
      <c r="B466" s="59">
        <v>3543</v>
      </c>
    </row>
    <row r="467" spans="1:2" x14ac:dyDescent="0.25">
      <c r="A467" s="59" t="s">
        <v>400</v>
      </c>
      <c r="B467" s="59">
        <v>206152</v>
      </c>
    </row>
    <row r="468" spans="1:2" x14ac:dyDescent="0.25">
      <c r="A468" s="59" t="s">
        <v>402</v>
      </c>
      <c r="B468" s="59">
        <v>206153</v>
      </c>
    </row>
    <row r="469" spans="1:2" x14ac:dyDescent="0.25">
      <c r="A469" s="59" t="s">
        <v>62</v>
      </c>
      <c r="B469" s="59">
        <v>3531</v>
      </c>
    </row>
    <row r="470" spans="1:2" x14ac:dyDescent="0.25">
      <c r="A470" s="59" t="s">
        <v>63</v>
      </c>
      <c r="B470" s="59">
        <v>3526</v>
      </c>
    </row>
    <row r="471" spans="1:2" x14ac:dyDescent="0.25">
      <c r="A471" s="59" t="s">
        <v>104</v>
      </c>
      <c r="B471" s="59">
        <v>3535</v>
      </c>
    </row>
    <row r="472" spans="1:2" x14ac:dyDescent="0.25">
      <c r="A472" s="59" t="s">
        <v>64</v>
      </c>
      <c r="B472" s="59">
        <v>2008</v>
      </c>
    </row>
    <row r="473" spans="1:2" x14ac:dyDescent="0.25">
      <c r="A473" s="59" t="s">
        <v>105</v>
      </c>
      <c r="B473" s="59">
        <v>3542</v>
      </c>
    </row>
    <row r="474" spans="1:2" x14ac:dyDescent="0.25">
      <c r="A474" s="59" t="s">
        <v>404</v>
      </c>
      <c r="B474" s="59">
        <v>206154</v>
      </c>
    </row>
    <row r="475" spans="1:2" x14ac:dyDescent="0.25">
      <c r="A475" s="59" t="s">
        <v>106</v>
      </c>
      <c r="B475" s="59">
        <v>3528</v>
      </c>
    </row>
    <row r="476" spans="1:2" x14ac:dyDescent="0.25">
      <c r="A476" s="59" t="s">
        <v>406</v>
      </c>
      <c r="B476" s="59" t="s">
        <v>407</v>
      </c>
    </row>
    <row r="477" spans="1:2" x14ac:dyDescent="0.25">
      <c r="A477" s="59" t="s">
        <v>107</v>
      </c>
      <c r="B477" s="59">
        <v>3534</v>
      </c>
    </row>
    <row r="478" spans="1:2" x14ac:dyDescent="0.25">
      <c r="A478" s="59" t="s">
        <v>108</v>
      </c>
      <c r="B478" s="59">
        <v>3532</v>
      </c>
    </row>
    <row r="479" spans="1:2" x14ac:dyDescent="0.25">
      <c r="A479" s="59" t="s">
        <v>7</v>
      </c>
      <c r="B479" s="59">
        <v>1010</v>
      </c>
    </row>
    <row r="480" spans="1:2" x14ac:dyDescent="0.25">
      <c r="A480" s="59" t="s">
        <v>1396</v>
      </c>
      <c r="B480" s="59">
        <v>484523</v>
      </c>
    </row>
    <row r="481" spans="1:2" x14ac:dyDescent="0.25">
      <c r="A481" s="59" t="s">
        <v>408</v>
      </c>
      <c r="B481" s="59" t="s">
        <v>410</v>
      </c>
    </row>
    <row r="482" spans="1:2" x14ac:dyDescent="0.25">
      <c r="A482" s="59" t="s">
        <v>114</v>
      </c>
      <c r="B482" s="59">
        <v>4177</v>
      </c>
    </row>
    <row r="483" spans="1:2" x14ac:dyDescent="0.25">
      <c r="A483" s="59" t="s">
        <v>822</v>
      </c>
      <c r="B483" s="59" t="s">
        <v>824</v>
      </c>
    </row>
    <row r="484" spans="1:2" x14ac:dyDescent="0.25">
      <c r="A484" s="59" t="s">
        <v>411</v>
      </c>
      <c r="B484" s="59" t="s">
        <v>413</v>
      </c>
    </row>
    <row r="485" spans="1:2" x14ac:dyDescent="0.25">
      <c r="A485" s="59" t="s">
        <v>414</v>
      </c>
      <c r="B485" s="59">
        <v>206103</v>
      </c>
    </row>
    <row r="486" spans="1:2" x14ac:dyDescent="0.25">
      <c r="A486" s="59" t="s">
        <v>415</v>
      </c>
      <c r="B486" s="59" t="s">
        <v>417</v>
      </c>
    </row>
    <row r="487" spans="1:2" x14ac:dyDescent="0.25">
      <c r="A487" s="59" t="s">
        <v>418</v>
      </c>
      <c r="B487" s="59" t="s">
        <v>420</v>
      </c>
    </row>
    <row r="488" spans="1:2" x14ac:dyDescent="0.25">
      <c r="A488" s="59" t="s">
        <v>421</v>
      </c>
      <c r="B488" s="59">
        <v>258420</v>
      </c>
    </row>
    <row r="489" spans="1:2" x14ac:dyDescent="0.25">
      <c r="A489" s="59" t="s">
        <v>423</v>
      </c>
      <c r="B489" s="59">
        <v>258424</v>
      </c>
    </row>
    <row r="490" spans="1:2" x14ac:dyDescent="0.25">
      <c r="A490" s="59" t="s">
        <v>1397</v>
      </c>
      <c r="B490" s="59">
        <v>482634</v>
      </c>
    </row>
    <row r="491" spans="1:2" x14ac:dyDescent="0.25">
      <c r="A491" s="59" t="s">
        <v>425</v>
      </c>
      <c r="B491" s="59" t="s">
        <v>426</v>
      </c>
    </row>
    <row r="492" spans="1:2" x14ac:dyDescent="0.25">
      <c r="A492" s="59" t="s">
        <v>65</v>
      </c>
      <c r="B492" s="59">
        <v>3546</v>
      </c>
    </row>
    <row r="493" spans="1:2" x14ac:dyDescent="0.25">
      <c r="A493" s="59" t="s">
        <v>8</v>
      </c>
      <c r="B493" s="59">
        <v>1009</v>
      </c>
    </row>
    <row r="494" spans="1:2" x14ac:dyDescent="0.25">
      <c r="A494" s="59" t="s">
        <v>1398</v>
      </c>
      <c r="B494" s="59">
        <v>476554</v>
      </c>
    </row>
    <row r="495" spans="1:2" x14ac:dyDescent="0.25">
      <c r="A495" s="59" t="s">
        <v>66</v>
      </c>
      <c r="B495" s="59">
        <v>3530</v>
      </c>
    </row>
    <row r="496" spans="1:2" x14ac:dyDescent="0.25">
      <c r="A496" s="59" t="s">
        <v>74</v>
      </c>
      <c r="B496" s="59">
        <v>5412</v>
      </c>
    </row>
    <row r="497" spans="1:2" x14ac:dyDescent="0.25">
      <c r="A497" s="59" t="s">
        <v>432</v>
      </c>
      <c r="B497" s="59" t="s">
        <v>433</v>
      </c>
    </row>
    <row r="498" spans="1:2" x14ac:dyDescent="0.25">
      <c r="A498" s="59" t="s">
        <v>427</v>
      </c>
      <c r="B498" s="59" t="s">
        <v>429</v>
      </c>
    </row>
    <row r="499" spans="1:2" x14ac:dyDescent="0.25">
      <c r="A499" s="59" t="s">
        <v>9</v>
      </c>
      <c r="B499" s="59">
        <v>1015</v>
      </c>
    </row>
    <row r="500" spans="1:2" x14ac:dyDescent="0.25">
      <c r="A500" s="59" t="s">
        <v>430</v>
      </c>
      <c r="B500" s="59" t="s">
        <v>431</v>
      </c>
    </row>
    <row r="501" spans="1:2" x14ac:dyDescent="0.25">
      <c r="A501" s="59" t="s">
        <v>434</v>
      </c>
      <c r="B501" s="59">
        <v>509204</v>
      </c>
    </row>
    <row r="502" spans="1:2" x14ac:dyDescent="0.25">
      <c r="A502" s="59" t="s">
        <v>434</v>
      </c>
      <c r="B502" s="59" t="s">
        <v>825</v>
      </c>
    </row>
    <row r="503" spans="1:2" x14ac:dyDescent="0.25">
      <c r="A503" s="59" t="s">
        <v>67</v>
      </c>
      <c r="B503" s="59">
        <v>2459</v>
      </c>
    </row>
    <row r="504" spans="1:2" x14ac:dyDescent="0.25">
      <c r="A504" s="59" t="s">
        <v>96</v>
      </c>
      <c r="B504" s="59">
        <v>2007</v>
      </c>
    </row>
    <row r="505" spans="1:2" x14ac:dyDescent="0.25">
      <c r="A505" s="11"/>
      <c r="B505" s="2"/>
    </row>
    <row r="506" spans="1:2" x14ac:dyDescent="0.25">
      <c r="A506" s="11"/>
      <c r="B506" s="2"/>
    </row>
  </sheetData>
  <sheetProtection password="EF5C" sheet="1" objects="1" scenarios="1"/>
  <pageMargins left="0.51181102362204722" right="0.51181102362204722" top="0.55118110236220474" bottom="0.55118110236220474" header="0.31496062992125984" footer="0.31496062992125984"/>
  <pageSetup paperSize="8" scale="85" orientation="landscape" r:id="rId1"/>
  <headerFooter>
    <oddHeader>&amp;L&amp;"arial,Bold"&amp;11&amp;K008040Classification: OFFICIAL</oddHeader>
    <oddFooter>&amp;L&amp;"arial,Bold"&amp;11&amp;K008040Classification: OFFICIAL</oddFooter>
    <evenHeader>&amp;L&amp;"arial,Bold"&amp;11&amp;K008040Classification: OFFICIAL</evenHeader>
    <evenFooter>&amp;L&amp;"arial,Bold"&amp;11&amp;K008040Classification: OFFICIAL</evenFooter>
    <firstHeader>&amp;L&amp;"arial,Bold"&amp;11&amp;K008040Classification: OFFICIAL</firstHeader>
    <firstFooter>&amp;L&amp;"arial,Bold"&amp;11&amp;K008040Classification: OFFICIAL</first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School Formula Budget 2016-17</vt:lpstr>
      <vt:lpstr>Special Schools &amp; PRU</vt:lpstr>
      <vt:lpstr>'2015 Factor % to units'!Print_Area</vt:lpstr>
      <vt:lpstr>'2015-16 FORMULA'!Print_Area</vt:lpstr>
      <vt:lpstr>'2016-17 Nursery Budget Final'!Print_Area</vt:lpstr>
      <vt:lpstr>'IMS after cleansed by EFA'!Print_Area</vt:lpstr>
      <vt:lpstr>RATES!Print_Area</vt:lpstr>
      <vt:lpstr>'School Formula Budget 2016-17'!Print_Area</vt:lpstr>
      <vt:lpstr>'Special Schools &amp; PRU'!Print_Area</vt:lpstr>
      <vt:lpstr>'Summary for Prints'!Print_Area</vt:lpstr>
      <vt:lpstr>'2015 Factor % to units'!Print_Titles</vt:lpstr>
      <vt:lpstr>'2015-16 FORMULA'!Print_Titles</vt:lpstr>
      <vt:lpstr>'2016-17 Nursery Budget Final'!Print_Titles</vt:lpstr>
      <vt:lpstr>'ERS 2015-16'!Print_Titles</vt:lpstr>
      <vt:lpstr>'IMS after cleansed by EFA'!Print_Titles</vt:lpstr>
      <vt:lpstr>RATES!Print_Titles</vt:lpstr>
      <vt:lpstr>'Summary for Prints'!Print_Titles</vt:lpstr>
    </vt:vector>
  </TitlesOfParts>
  <Company>Derby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 Appleby</dc:creator>
  <cp:lastModifiedBy>Olk, Naranvir</cp:lastModifiedBy>
  <cp:lastPrinted>2016-02-10T12:55:45Z</cp:lastPrinted>
  <dcterms:created xsi:type="dcterms:W3CDTF">2013-06-05T12:36:50Z</dcterms:created>
  <dcterms:modified xsi:type="dcterms:W3CDTF">2016-02-12T12:26:22Z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824d2da9-5ca0-41cb-9ff2-4de9ebf057eb</vt:lpwstr>
  </property>
  <property fmtid="{D5CDD505-2E9C-101B-9397-08002B2CF9AE}" pid="3" name="DCCClassification">
    <vt:lpwstr>OFFICIAL</vt:lpwstr>
  </property>
  <property fmtid="{D5CDD505-2E9C-101B-9397-08002B2CF9AE}" pid="4" name="Classification">
    <vt:lpwstr>OFFICIAL</vt:lpwstr>
  </property>
</Properties>
</file>